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mizuk\Desktop\"/>
    </mc:Choice>
  </mc:AlternateContent>
  <xr:revisionPtr revIDLastSave="0" documentId="13_ncr:1_{C1F9F38F-DA69-45F7-8C72-66E8F89F9CFB}" xr6:coauthVersionLast="47" xr6:coauthVersionMax="47" xr10:uidLastSave="{00000000-0000-0000-0000-000000000000}"/>
  <bookViews>
    <workbookView xWindow="120" yWindow="360" windowWidth="28680" windowHeight="15120" tabRatio="500" xr2:uid="{00000000-000D-0000-FFFF-FFFF00000000}"/>
  </bookViews>
  <sheets>
    <sheet name="読んで 使い方" sheetId="1" r:id="rId1"/>
    <sheet name="設定" sheetId="2" r:id="rId2"/>
    <sheet name="従業員マスタ" sheetId="3" r:id="rId3"/>
    <sheet name="現場マスタ" sheetId="4" r:id="rId4"/>
    <sheet name="1月" sheetId="5" r:id="rId5"/>
    <sheet name="2月" sheetId="6" r:id="rId6"/>
    <sheet name="3月" sheetId="7" r:id="rId7"/>
    <sheet name="4月" sheetId="8" r:id="rId8"/>
    <sheet name="5月" sheetId="9" r:id="rId9"/>
    <sheet name="6月" sheetId="10" r:id="rId10"/>
    <sheet name="7月" sheetId="11" r:id="rId11"/>
    <sheet name="8月" sheetId="12" r:id="rId12"/>
    <sheet name="9月" sheetId="13" r:id="rId13"/>
    <sheet name="10月" sheetId="14" r:id="rId14"/>
    <sheet name="11月" sheetId="15" r:id="rId15"/>
    <sheet name="12月" sheetId="16" r:id="rId16"/>
    <sheet name="個人別出勤簿" sheetId="17" r:id="rId17"/>
    <sheet name="全社員一括印刷" sheetId="18" r:id="rId18"/>
    <sheet name="年間集計" sheetId="19" r:id="rId19"/>
    <sheet name="現場別集計" sheetId="20" r:id="rId20"/>
  </sheets>
  <definedNames>
    <definedName name="_xlnm.Print_Area" localSheetId="16">個人別出勤簿!$A$1:$H$39</definedName>
    <definedName name="_xlnm.Print_Titles" localSheetId="13">'10月'!$1:$3</definedName>
    <definedName name="_xlnm.Print_Titles" localSheetId="14">'11月'!$1:$3</definedName>
    <definedName name="_xlnm.Print_Titles" localSheetId="15">'12月'!$1:$3</definedName>
    <definedName name="_xlnm.Print_Titles" localSheetId="4">'1月'!$1:$3</definedName>
    <definedName name="_xlnm.Print_Titles" localSheetId="5">'2月'!$1:$3</definedName>
    <definedName name="_xlnm.Print_Titles" localSheetId="6">'3月'!$1:$3</definedName>
    <definedName name="_xlnm.Print_Titles" localSheetId="7">'4月'!$1:$3</definedName>
    <definedName name="_xlnm.Print_Titles" localSheetId="8">'5月'!$1:$3</definedName>
    <definedName name="_xlnm.Print_Titles" localSheetId="9">'6月'!$1:$3</definedName>
    <definedName name="_xlnm.Print_Titles" localSheetId="10">'7月'!$1:$3</definedName>
    <definedName name="_xlnm.Print_Titles" localSheetId="11">'8月'!$1:$3</definedName>
    <definedName name="_xlnm.Print_Titles" localSheetId="12">'9月'!$1:$3</definedName>
    <definedName name="_xlnm.Print_Titles" localSheetId="19">現場別集計!$1:$2</definedName>
    <definedName name="_xlnm.Print_Titles" localSheetId="18">年間集計!$1:$3</definedName>
    <definedName name="祝日リスト">設定!$F$4:$F$92</definedName>
    <definedName name="対象年度">設定!$C$3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42" i="20" l="1"/>
  <c r="N41" i="20"/>
  <c r="M41" i="20"/>
  <c r="L41" i="20"/>
  <c r="K41" i="20"/>
  <c r="J41" i="20"/>
  <c r="I41" i="20"/>
  <c r="F41" i="20"/>
  <c r="B41" i="20"/>
  <c r="H41" i="20" s="1"/>
  <c r="N40" i="20"/>
  <c r="M40" i="20"/>
  <c r="L40" i="20"/>
  <c r="K40" i="20"/>
  <c r="J40" i="20"/>
  <c r="I40" i="20"/>
  <c r="H40" i="20"/>
  <c r="G40" i="20"/>
  <c r="D40" i="20"/>
  <c r="B40" i="20"/>
  <c r="F40" i="20" s="1"/>
  <c r="B39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B38" i="20"/>
  <c r="J37" i="20"/>
  <c r="I37" i="20"/>
  <c r="H37" i="20"/>
  <c r="E37" i="20"/>
  <c r="B37" i="20"/>
  <c r="B36" i="20"/>
  <c r="B35" i="20"/>
  <c r="N34" i="20"/>
  <c r="K34" i="20"/>
  <c r="H34" i="20"/>
  <c r="F34" i="20"/>
  <c r="C34" i="20"/>
  <c r="B34" i="20"/>
  <c r="K33" i="20"/>
  <c r="J33" i="20"/>
  <c r="I33" i="20"/>
  <c r="F33" i="20"/>
  <c r="D33" i="20"/>
  <c r="C33" i="20"/>
  <c r="B33" i="20"/>
  <c r="B32" i="20"/>
  <c r="N31" i="20"/>
  <c r="M31" i="20"/>
  <c r="L31" i="20"/>
  <c r="K31" i="20"/>
  <c r="J31" i="20"/>
  <c r="G31" i="20"/>
  <c r="F31" i="20"/>
  <c r="E31" i="20"/>
  <c r="B31" i="20"/>
  <c r="N30" i="20"/>
  <c r="M30" i="20"/>
  <c r="L30" i="20"/>
  <c r="K30" i="20"/>
  <c r="J30" i="20"/>
  <c r="I30" i="20"/>
  <c r="H30" i="20"/>
  <c r="G30" i="20"/>
  <c r="F30" i="20"/>
  <c r="E30" i="20"/>
  <c r="D30" i="20"/>
  <c r="C30" i="20"/>
  <c r="B30" i="20"/>
  <c r="B29" i="20"/>
  <c r="H28" i="20"/>
  <c r="G28" i="20"/>
  <c r="C28" i="20"/>
  <c r="B28" i="20"/>
  <c r="M27" i="20"/>
  <c r="G27" i="20"/>
  <c r="F27" i="20"/>
  <c r="B27" i="20"/>
  <c r="L26" i="20"/>
  <c r="B26" i="20"/>
  <c r="L25" i="20"/>
  <c r="K25" i="20"/>
  <c r="B25" i="20"/>
  <c r="N24" i="20"/>
  <c r="M24" i="20"/>
  <c r="L24" i="20"/>
  <c r="K24" i="20"/>
  <c r="J24" i="20"/>
  <c r="I24" i="20"/>
  <c r="H24" i="20"/>
  <c r="G24" i="20"/>
  <c r="D24" i="20"/>
  <c r="B24" i="20"/>
  <c r="K23" i="20"/>
  <c r="I23" i="20"/>
  <c r="H23" i="20"/>
  <c r="B23" i="20"/>
  <c r="N22" i="20"/>
  <c r="M22" i="20"/>
  <c r="L22" i="20"/>
  <c r="K22" i="20"/>
  <c r="J22" i="20"/>
  <c r="I22" i="20"/>
  <c r="H22" i="20"/>
  <c r="G22" i="20"/>
  <c r="F22" i="20"/>
  <c r="E22" i="20"/>
  <c r="D22" i="20"/>
  <c r="C22" i="20"/>
  <c r="B22" i="20"/>
  <c r="B21" i="20"/>
  <c r="L20" i="20"/>
  <c r="J20" i="20"/>
  <c r="I20" i="20"/>
  <c r="H20" i="20"/>
  <c r="G20" i="20"/>
  <c r="F20" i="20"/>
  <c r="E20" i="20"/>
  <c r="D20" i="20"/>
  <c r="C20" i="20"/>
  <c r="B20" i="20"/>
  <c r="D19" i="20"/>
  <c r="B19" i="20"/>
  <c r="M18" i="20"/>
  <c r="L18" i="20"/>
  <c r="E18" i="20"/>
  <c r="D18" i="20"/>
  <c r="C18" i="20"/>
  <c r="B18" i="20"/>
  <c r="N17" i="20"/>
  <c r="M17" i="20"/>
  <c r="L17" i="20"/>
  <c r="K17" i="20"/>
  <c r="J17" i="20"/>
  <c r="I17" i="20"/>
  <c r="F17" i="20"/>
  <c r="D17" i="20"/>
  <c r="C17" i="20"/>
  <c r="B17" i="20"/>
  <c r="N16" i="20"/>
  <c r="M16" i="20"/>
  <c r="K16" i="20"/>
  <c r="I16" i="20"/>
  <c r="D16" i="20"/>
  <c r="B16" i="20"/>
  <c r="E15" i="20"/>
  <c r="B15" i="20"/>
  <c r="N14" i="20"/>
  <c r="M14" i="20"/>
  <c r="L14" i="20"/>
  <c r="K14" i="20"/>
  <c r="J14" i="20"/>
  <c r="I14" i="20"/>
  <c r="H14" i="20"/>
  <c r="G14" i="20"/>
  <c r="F14" i="20"/>
  <c r="E14" i="20"/>
  <c r="D14" i="20"/>
  <c r="C14" i="20"/>
  <c r="B14" i="20"/>
  <c r="K13" i="20"/>
  <c r="J13" i="20"/>
  <c r="E13" i="20"/>
  <c r="B13" i="20"/>
  <c r="L12" i="20"/>
  <c r="J12" i="20"/>
  <c r="I12" i="20"/>
  <c r="H12" i="20"/>
  <c r="G12" i="20"/>
  <c r="F12" i="20"/>
  <c r="E12" i="20"/>
  <c r="D12" i="20"/>
  <c r="C12" i="20"/>
  <c r="B12" i="20"/>
  <c r="B11" i="20"/>
  <c r="F11" i="20" s="1"/>
  <c r="N10" i="20"/>
  <c r="M10" i="20"/>
  <c r="L10" i="20"/>
  <c r="K10" i="20"/>
  <c r="H10" i="20"/>
  <c r="F10" i="20"/>
  <c r="E10" i="20"/>
  <c r="D10" i="20"/>
  <c r="C10" i="20"/>
  <c r="B10" i="20"/>
  <c r="N9" i="20"/>
  <c r="M9" i="20"/>
  <c r="L9" i="20"/>
  <c r="K9" i="20"/>
  <c r="J9" i="20"/>
  <c r="I9" i="20"/>
  <c r="F9" i="20"/>
  <c r="D9" i="20"/>
  <c r="C9" i="20"/>
  <c r="B9" i="20"/>
  <c r="N8" i="20"/>
  <c r="M8" i="20"/>
  <c r="L8" i="20"/>
  <c r="J8" i="20"/>
  <c r="I8" i="20"/>
  <c r="H8" i="20"/>
  <c r="G8" i="20"/>
  <c r="D8" i="20"/>
  <c r="B8" i="20"/>
  <c r="B7" i="20"/>
  <c r="L7" i="20" s="1"/>
  <c r="N6" i="20"/>
  <c r="M6" i="20"/>
  <c r="L6" i="20"/>
  <c r="K6" i="20"/>
  <c r="J6" i="20"/>
  <c r="I6" i="20"/>
  <c r="H6" i="20"/>
  <c r="G6" i="20"/>
  <c r="F6" i="20"/>
  <c r="E6" i="20"/>
  <c r="D6" i="20"/>
  <c r="C6" i="20"/>
  <c r="B6" i="20"/>
  <c r="L5" i="20"/>
  <c r="K5" i="20"/>
  <c r="J5" i="20"/>
  <c r="I5" i="20"/>
  <c r="H5" i="20"/>
  <c r="G5" i="20"/>
  <c r="F5" i="20"/>
  <c r="E5" i="20"/>
  <c r="D5" i="20"/>
  <c r="C5" i="20"/>
  <c r="B5" i="20"/>
  <c r="B4" i="20"/>
  <c r="D4" i="20" s="1"/>
  <c r="N3" i="20"/>
  <c r="M3" i="20"/>
  <c r="J3" i="20"/>
  <c r="H3" i="20"/>
  <c r="G3" i="20"/>
  <c r="F3" i="20"/>
  <c r="B3" i="20"/>
  <c r="A1" i="20"/>
  <c r="B33" i="19"/>
  <c r="B32" i="19"/>
  <c r="B31" i="19"/>
  <c r="B30" i="19"/>
  <c r="B29" i="19"/>
  <c r="B28" i="19"/>
  <c r="B27" i="19"/>
  <c r="B26" i="19"/>
  <c r="B25" i="19"/>
  <c r="B24" i="19"/>
  <c r="B23" i="19"/>
  <c r="T22" i="19"/>
  <c r="B22" i="19"/>
  <c r="B21" i="19"/>
  <c r="B20" i="19"/>
  <c r="B19" i="19"/>
  <c r="B18" i="19"/>
  <c r="T17" i="19"/>
  <c r="B17" i="19"/>
  <c r="B16" i="19"/>
  <c r="B15" i="19"/>
  <c r="B14" i="19"/>
  <c r="B13" i="19"/>
  <c r="B12" i="19"/>
  <c r="B11" i="19"/>
  <c r="B10" i="19"/>
  <c r="B9" i="19"/>
  <c r="B8" i="19"/>
  <c r="B7" i="19"/>
  <c r="B6" i="19"/>
  <c r="B5" i="19"/>
  <c r="B4" i="19"/>
  <c r="A1" i="19"/>
  <c r="B480" i="18"/>
  <c r="A480" i="18"/>
  <c r="B479" i="18"/>
  <c r="A479" i="18"/>
  <c r="B478" i="18"/>
  <c r="A478" i="18"/>
  <c r="B477" i="18"/>
  <c r="A477" i="18"/>
  <c r="B476" i="18"/>
  <c r="A476" i="18"/>
  <c r="B475" i="18"/>
  <c r="A475" i="18"/>
  <c r="B474" i="18"/>
  <c r="A474" i="18"/>
  <c r="B473" i="18"/>
  <c r="A473" i="18"/>
  <c r="B472" i="18"/>
  <c r="A472" i="18"/>
  <c r="B471" i="18"/>
  <c r="A471" i="18"/>
  <c r="B470" i="18"/>
  <c r="A470" i="18"/>
  <c r="B469" i="18"/>
  <c r="A469" i="18"/>
  <c r="B468" i="18"/>
  <c r="A468" i="18"/>
  <c r="B467" i="18"/>
  <c r="A467" i="18"/>
  <c r="B466" i="18"/>
  <c r="A466" i="18"/>
  <c r="B465" i="18"/>
  <c r="A465" i="18"/>
  <c r="B464" i="18"/>
  <c r="A464" i="18"/>
  <c r="B463" i="18"/>
  <c r="A463" i="18"/>
  <c r="B462" i="18"/>
  <c r="A462" i="18"/>
  <c r="B461" i="18"/>
  <c r="A461" i="18"/>
  <c r="B460" i="18"/>
  <c r="A460" i="18"/>
  <c r="B459" i="18"/>
  <c r="A459" i="18"/>
  <c r="B458" i="18"/>
  <c r="A458" i="18"/>
  <c r="B457" i="18"/>
  <c r="A457" i="18"/>
  <c r="B456" i="18"/>
  <c r="A456" i="18"/>
  <c r="B455" i="18"/>
  <c r="A455" i="18"/>
  <c r="B454" i="18"/>
  <c r="A454" i="18"/>
  <c r="B453" i="18"/>
  <c r="A453" i="18"/>
  <c r="B452" i="18"/>
  <c r="A452" i="18"/>
  <c r="B451" i="18"/>
  <c r="A451" i="18"/>
  <c r="B450" i="18"/>
  <c r="A450" i="18"/>
  <c r="E446" i="18"/>
  <c r="B446" i="18"/>
  <c r="B440" i="18"/>
  <c r="A440" i="18"/>
  <c r="B439" i="18"/>
  <c r="A439" i="18"/>
  <c r="B438" i="18"/>
  <c r="A438" i="18"/>
  <c r="B437" i="18"/>
  <c r="A437" i="18"/>
  <c r="B436" i="18"/>
  <c r="A436" i="18"/>
  <c r="B435" i="18"/>
  <c r="A435" i="18"/>
  <c r="B434" i="18"/>
  <c r="A434" i="18"/>
  <c r="B433" i="18"/>
  <c r="A433" i="18"/>
  <c r="B432" i="18"/>
  <c r="A432" i="18"/>
  <c r="B431" i="18"/>
  <c r="A431" i="18"/>
  <c r="B430" i="18"/>
  <c r="A430" i="18"/>
  <c r="B429" i="18"/>
  <c r="A429" i="18"/>
  <c r="B428" i="18"/>
  <c r="A428" i="18"/>
  <c r="B427" i="18"/>
  <c r="A427" i="18"/>
  <c r="B426" i="18"/>
  <c r="A426" i="18"/>
  <c r="B425" i="18"/>
  <c r="A425" i="18"/>
  <c r="B424" i="18"/>
  <c r="A424" i="18"/>
  <c r="B423" i="18"/>
  <c r="A423" i="18"/>
  <c r="B422" i="18"/>
  <c r="A422" i="18"/>
  <c r="B421" i="18"/>
  <c r="A421" i="18"/>
  <c r="B420" i="18"/>
  <c r="A420" i="18"/>
  <c r="B419" i="18"/>
  <c r="A419" i="18"/>
  <c r="B418" i="18"/>
  <c r="A418" i="18"/>
  <c r="B417" i="18"/>
  <c r="A417" i="18"/>
  <c r="B416" i="18"/>
  <c r="A416" i="18"/>
  <c r="B415" i="18"/>
  <c r="A415" i="18"/>
  <c r="B414" i="18"/>
  <c r="A414" i="18"/>
  <c r="B413" i="18"/>
  <c r="A413" i="18"/>
  <c r="B412" i="18"/>
  <c r="A412" i="18"/>
  <c r="B411" i="18"/>
  <c r="A411" i="18"/>
  <c r="B410" i="18"/>
  <c r="A410" i="18"/>
  <c r="E406" i="18"/>
  <c r="B406" i="18"/>
  <c r="B400" i="18"/>
  <c r="A400" i="18"/>
  <c r="B399" i="18"/>
  <c r="A399" i="18"/>
  <c r="B398" i="18"/>
  <c r="A398" i="18"/>
  <c r="B397" i="18"/>
  <c r="A397" i="18"/>
  <c r="B396" i="18"/>
  <c r="A396" i="18"/>
  <c r="B395" i="18"/>
  <c r="A395" i="18"/>
  <c r="B394" i="18"/>
  <c r="A394" i="18"/>
  <c r="B393" i="18"/>
  <c r="A393" i="18"/>
  <c r="B392" i="18"/>
  <c r="A392" i="18"/>
  <c r="B391" i="18"/>
  <c r="A391" i="18"/>
  <c r="B390" i="18"/>
  <c r="A390" i="18"/>
  <c r="B389" i="18"/>
  <c r="A389" i="18"/>
  <c r="B388" i="18"/>
  <c r="A388" i="18"/>
  <c r="B387" i="18"/>
  <c r="A387" i="18"/>
  <c r="B386" i="18"/>
  <c r="A386" i="18"/>
  <c r="B385" i="18"/>
  <c r="A385" i="18"/>
  <c r="B384" i="18"/>
  <c r="A384" i="18"/>
  <c r="B383" i="18"/>
  <c r="A383" i="18"/>
  <c r="B382" i="18"/>
  <c r="A382" i="18"/>
  <c r="B381" i="18"/>
  <c r="A381" i="18"/>
  <c r="B380" i="18"/>
  <c r="A380" i="18"/>
  <c r="B379" i="18"/>
  <c r="A379" i="18"/>
  <c r="B378" i="18"/>
  <c r="A378" i="18"/>
  <c r="B377" i="18"/>
  <c r="A377" i="18"/>
  <c r="B376" i="18"/>
  <c r="A376" i="18"/>
  <c r="B375" i="18"/>
  <c r="A375" i="18"/>
  <c r="B374" i="18"/>
  <c r="A374" i="18"/>
  <c r="B373" i="18"/>
  <c r="A373" i="18"/>
  <c r="B372" i="18"/>
  <c r="A372" i="18"/>
  <c r="B371" i="18"/>
  <c r="A371" i="18"/>
  <c r="B370" i="18"/>
  <c r="A370" i="18"/>
  <c r="E366" i="18"/>
  <c r="B366" i="18"/>
  <c r="B360" i="18"/>
  <c r="A360" i="18"/>
  <c r="B359" i="18"/>
  <c r="A359" i="18"/>
  <c r="B358" i="18"/>
  <c r="A358" i="18"/>
  <c r="B357" i="18"/>
  <c r="A357" i="18"/>
  <c r="B356" i="18"/>
  <c r="A356" i="18"/>
  <c r="B355" i="18"/>
  <c r="A355" i="18"/>
  <c r="B354" i="18"/>
  <c r="A354" i="18"/>
  <c r="B353" i="18"/>
  <c r="A353" i="18"/>
  <c r="B352" i="18"/>
  <c r="A352" i="18"/>
  <c r="B351" i="18"/>
  <c r="A351" i="18"/>
  <c r="B350" i="18"/>
  <c r="A350" i="18"/>
  <c r="B349" i="18"/>
  <c r="A349" i="18"/>
  <c r="B348" i="18"/>
  <c r="A348" i="18"/>
  <c r="B347" i="18"/>
  <c r="A347" i="18"/>
  <c r="B346" i="18"/>
  <c r="A346" i="18"/>
  <c r="B345" i="18"/>
  <c r="A345" i="18"/>
  <c r="B344" i="18"/>
  <c r="A344" i="18"/>
  <c r="B343" i="18"/>
  <c r="A343" i="18"/>
  <c r="B342" i="18"/>
  <c r="A342" i="18"/>
  <c r="B341" i="18"/>
  <c r="A341" i="18"/>
  <c r="B340" i="18"/>
  <c r="A340" i="18"/>
  <c r="B339" i="18"/>
  <c r="A339" i="18"/>
  <c r="B338" i="18"/>
  <c r="A338" i="18"/>
  <c r="B337" i="18"/>
  <c r="A337" i="18"/>
  <c r="B336" i="18"/>
  <c r="A336" i="18"/>
  <c r="B335" i="18"/>
  <c r="A335" i="18"/>
  <c r="B334" i="18"/>
  <c r="A334" i="18"/>
  <c r="B333" i="18"/>
  <c r="A333" i="18"/>
  <c r="B332" i="18"/>
  <c r="A332" i="18"/>
  <c r="B331" i="18"/>
  <c r="A331" i="18"/>
  <c r="B330" i="18"/>
  <c r="A330" i="18"/>
  <c r="E326" i="18"/>
  <c r="B326" i="18"/>
  <c r="B320" i="18"/>
  <c r="A320" i="18"/>
  <c r="B319" i="18"/>
  <c r="A319" i="18"/>
  <c r="B318" i="18"/>
  <c r="A318" i="18"/>
  <c r="B317" i="18"/>
  <c r="A317" i="18"/>
  <c r="B316" i="18"/>
  <c r="A316" i="18"/>
  <c r="B315" i="18"/>
  <c r="A315" i="18"/>
  <c r="B314" i="18"/>
  <c r="A314" i="18"/>
  <c r="B313" i="18"/>
  <c r="A313" i="18"/>
  <c r="B312" i="18"/>
  <c r="A312" i="18"/>
  <c r="B311" i="18"/>
  <c r="A311" i="18"/>
  <c r="B310" i="18"/>
  <c r="A310" i="18"/>
  <c r="B309" i="18"/>
  <c r="A309" i="18"/>
  <c r="B308" i="18"/>
  <c r="A308" i="18"/>
  <c r="B307" i="18"/>
  <c r="A307" i="18"/>
  <c r="B306" i="18"/>
  <c r="A306" i="18"/>
  <c r="B305" i="18"/>
  <c r="A305" i="18"/>
  <c r="B304" i="18"/>
  <c r="A304" i="18"/>
  <c r="B303" i="18"/>
  <c r="A303" i="18"/>
  <c r="B302" i="18"/>
  <c r="A302" i="18"/>
  <c r="B301" i="18"/>
  <c r="A301" i="18"/>
  <c r="B300" i="18"/>
  <c r="A300" i="18"/>
  <c r="B299" i="18"/>
  <c r="A299" i="18"/>
  <c r="B298" i="18"/>
  <c r="A298" i="18"/>
  <c r="B297" i="18"/>
  <c r="A297" i="18"/>
  <c r="B296" i="18"/>
  <c r="A296" i="18"/>
  <c r="B295" i="18"/>
  <c r="A295" i="18"/>
  <c r="B294" i="18"/>
  <c r="A294" i="18"/>
  <c r="B293" i="18"/>
  <c r="A293" i="18"/>
  <c r="B292" i="18"/>
  <c r="A292" i="18"/>
  <c r="B291" i="18"/>
  <c r="A291" i="18"/>
  <c r="B290" i="18"/>
  <c r="A290" i="18"/>
  <c r="E286" i="18"/>
  <c r="B286" i="18"/>
  <c r="B280" i="18"/>
  <c r="A280" i="18"/>
  <c r="B279" i="18"/>
  <c r="A279" i="18"/>
  <c r="B278" i="18"/>
  <c r="A278" i="18"/>
  <c r="B277" i="18"/>
  <c r="A277" i="18"/>
  <c r="B276" i="18"/>
  <c r="A276" i="18"/>
  <c r="B275" i="18"/>
  <c r="A275" i="18"/>
  <c r="B274" i="18"/>
  <c r="A274" i="18"/>
  <c r="B273" i="18"/>
  <c r="A273" i="18"/>
  <c r="B272" i="18"/>
  <c r="A272" i="18"/>
  <c r="B271" i="18"/>
  <c r="A271" i="18"/>
  <c r="B270" i="18"/>
  <c r="A270" i="18"/>
  <c r="B269" i="18"/>
  <c r="A269" i="18"/>
  <c r="B268" i="18"/>
  <c r="A268" i="18"/>
  <c r="B267" i="18"/>
  <c r="A267" i="18"/>
  <c r="B266" i="18"/>
  <c r="A266" i="18"/>
  <c r="B265" i="18"/>
  <c r="A265" i="18"/>
  <c r="B264" i="18"/>
  <c r="A264" i="18"/>
  <c r="B263" i="18"/>
  <c r="A263" i="18"/>
  <c r="B262" i="18"/>
  <c r="A262" i="18"/>
  <c r="B261" i="18"/>
  <c r="A261" i="18"/>
  <c r="B260" i="18"/>
  <c r="A260" i="18"/>
  <c r="B259" i="18"/>
  <c r="A259" i="18"/>
  <c r="B258" i="18"/>
  <c r="A258" i="18"/>
  <c r="B257" i="18"/>
  <c r="A257" i="18"/>
  <c r="B256" i="18"/>
  <c r="A256" i="18"/>
  <c r="B255" i="18"/>
  <c r="A255" i="18"/>
  <c r="B254" i="18"/>
  <c r="A254" i="18"/>
  <c r="B253" i="18"/>
  <c r="A253" i="18"/>
  <c r="B252" i="18"/>
  <c r="A252" i="18"/>
  <c r="B251" i="18"/>
  <c r="A251" i="18"/>
  <c r="B250" i="18"/>
  <c r="A250" i="18"/>
  <c r="E246" i="18"/>
  <c r="B246" i="18"/>
  <c r="B240" i="18"/>
  <c r="A240" i="18"/>
  <c r="B239" i="18"/>
  <c r="A239" i="18"/>
  <c r="B238" i="18"/>
  <c r="A238" i="18"/>
  <c r="B237" i="18"/>
  <c r="A237" i="18"/>
  <c r="B236" i="18"/>
  <c r="A236" i="18"/>
  <c r="B235" i="18"/>
  <c r="A235" i="18"/>
  <c r="B234" i="18"/>
  <c r="A234" i="18"/>
  <c r="B233" i="18"/>
  <c r="A233" i="18"/>
  <c r="B232" i="18"/>
  <c r="A232" i="18"/>
  <c r="B231" i="18"/>
  <c r="A231" i="18"/>
  <c r="B230" i="18"/>
  <c r="A230" i="18"/>
  <c r="B229" i="18"/>
  <c r="A229" i="18"/>
  <c r="B228" i="18"/>
  <c r="A228" i="18"/>
  <c r="B227" i="18"/>
  <c r="A227" i="18"/>
  <c r="B226" i="18"/>
  <c r="A226" i="18"/>
  <c r="B225" i="18"/>
  <c r="A225" i="18"/>
  <c r="B224" i="18"/>
  <c r="A224" i="18"/>
  <c r="B223" i="18"/>
  <c r="A223" i="18"/>
  <c r="B222" i="18"/>
  <c r="A222" i="18"/>
  <c r="B221" i="18"/>
  <c r="A221" i="18"/>
  <c r="B220" i="18"/>
  <c r="A220" i="18"/>
  <c r="B219" i="18"/>
  <c r="A219" i="18"/>
  <c r="B218" i="18"/>
  <c r="A218" i="18"/>
  <c r="B217" i="18"/>
  <c r="A217" i="18"/>
  <c r="B216" i="18"/>
  <c r="A216" i="18"/>
  <c r="B215" i="18"/>
  <c r="A215" i="18"/>
  <c r="B214" i="18"/>
  <c r="A214" i="18"/>
  <c r="B213" i="18"/>
  <c r="A213" i="18"/>
  <c r="B212" i="18"/>
  <c r="A212" i="18"/>
  <c r="B211" i="18"/>
  <c r="A211" i="18"/>
  <c r="B210" i="18"/>
  <c r="A210" i="18"/>
  <c r="E206" i="18"/>
  <c r="B206" i="18"/>
  <c r="B200" i="18"/>
  <c r="A200" i="18"/>
  <c r="B199" i="18"/>
  <c r="A199" i="18"/>
  <c r="B198" i="18"/>
  <c r="A198" i="18"/>
  <c r="B197" i="18"/>
  <c r="A197" i="18"/>
  <c r="B196" i="18"/>
  <c r="A196" i="18"/>
  <c r="B195" i="18"/>
  <c r="A195" i="18"/>
  <c r="B194" i="18"/>
  <c r="A194" i="18"/>
  <c r="B193" i="18"/>
  <c r="A193" i="18"/>
  <c r="B192" i="18"/>
  <c r="A192" i="18"/>
  <c r="B191" i="18"/>
  <c r="A191" i="18"/>
  <c r="B190" i="18"/>
  <c r="A190" i="18"/>
  <c r="B189" i="18"/>
  <c r="A189" i="18"/>
  <c r="B188" i="18"/>
  <c r="A188" i="18"/>
  <c r="B187" i="18"/>
  <c r="A187" i="18"/>
  <c r="B186" i="18"/>
  <c r="A186" i="18"/>
  <c r="B185" i="18"/>
  <c r="A185" i="18"/>
  <c r="B184" i="18"/>
  <c r="A184" i="18"/>
  <c r="B183" i="18"/>
  <c r="A183" i="18"/>
  <c r="B182" i="18"/>
  <c r="A182" i="18"/>
  <c r="B181" i="18"/>
  <c r="A181" i="18"/>
  <c r="B180" i="18"/>
  <c r="A180" i="18"/>
  <c r="B179" i="18"/>
  <c r="A179" i="18"/>
  <c r="B178" i="18"/>
  <c r="A178" i="18"/>
  <c r="B177" i="18"/>
  <c r="A177" i="18"/>
  <c r="B176" i="18"/>
  <c r="A176" i="18"/>
  <c r="B175" i="18"/>
  <c r="A175" i="18"/>
  <c r="B174" i="18"/>
  <c r="A174" i="18"/>
  <c r="B173" i="18"/>
  <c r="A173" i="18"/>
  <c r="B172" i="18"/>
  <c r="A172" i="18"/>
  <c r="B171" i="18"/>
  <c r="A171" i="18"/>
  <c r="B170" i="18"/>
  <c r="A170" i="18"/>
  <c r="E166" i="18"/>
  <c r="B166" i="18"/>
  <c r="B160" i="18"/>
  <c r="A160" i="18"/>
  <c r="B159" i="18"/>
  <c r="A159" i="18"/>
  <c r="B158" i="18"/>
  <c r="A158" i="18"/>
  <c r="B157" i="18"/>
  <c r="A157" i="18"/>
  <c r="B156" i="18"/>
  <c r="A156" i="18"/>
  <c r="B155" i="18"/>
  <c r="A155" i="18"/>
  <c r="B154" i="18"/>
  <c r="A154" i="18"/>
  <c r="B153" i="18"/>
  <c r="A153" i="18"/>
  <c r="B152" i="18"/>
  <c r="A152" i="18"/>
  <c r="B151" i="18"/>
  <c r="A151" i="18"/>
  <c r="B150" i="18"/>
  <c r="A150" i="18"/>
  <c r="B149" i="18"/>
  <c r="A149" i="18"/>
  <c r="B148" i="18"/>
  <c r="A148" i="18"/>
  <c r="B147" i="18"/>
  <c r="A147" i="18"/>
  <c r="B146" i="18"/>
  <c r="A146" i="18"/>
  <c r="B145" i="18"/>
  <c r="A145" i="18"/>
  <c r="B144" i="18"/>
  <c r="A144" i="18"/>
  <c r="B143" i="18"/>
  <c r="A143" i="18"/>
  <c r="B142" i="18"/>
  <c r="A142" i="18"/>
  <c r="B141" i="18"/>
  <c r="A141" i="18"/>
  <c r="B140" i="18"/>
  <c r="A140" i="18"/>
  <c r="B139" i="18"/>
  <c r="A139" i="18"/>
  <c r="B138" i="18"/>
  <c r="A138" i="18"/>
  <c r="B137" i="18"/>
  <c r="A137" i="18"/>
  <c r="B136" i="18"/>
  <c r="A136" i="18"/>
  <c r="B135" i="18"/>
  <c r="A135" i="18"/>
  <c r="B134" i="18"/>
  <c r="A134" i="18"/>
  <c r="B133" i="18"/>
  <c r="A133" i="18"/>
  <c r="B132" i="18"/>
  <c r="A132" i="18"/>
  <c r="B131" i="18"/>
  <c r="A131" i="18"/>
  <c r="B130" i="18"/>
  <c r="A130" i="18"/>
  <c r="E126" i="18"/>
  <c r="B126" i="18"/>
  <c r="B120" i="18"/>
  <c r="A120" i="18"/>
  <c r="B119" i="18"/>
  <c r="A119" i="18"/>
  <c r="B118" i="18"/>
  <c r="A118" i="18"/>
  <c r="B117" i="18"/>
  <c r="A117" i="18"/>
  <c r="B116" i="18"/>
  <c r="A116" i="18"/>
  <c r="B115" i="18"/>
  <c r="A115" i="18"/>
  <c r="B114" i="18"/>
  <c r="A114" i="18"/>
  <c r="B113" i="18"/>
  <c r="A113" i="18"/>
  <c r="B112" i="18"/>
  <c r="A112" i="18"/>
  <c r="B111" i="18"/>
  <c r="A111" i="18"/>
  <c r="B110" i="18"/>
  <c r="A110" i="18"/>
  <c r="B109" i="18"/>
  <c r="A109" i="18"/>
  <c r="B108" i="18"/>
  <c r="A108" i="18"/>
  <c r="B107" i="18"/>
  <c r="A107" i="18"/>
  <c r="B106" i="18"/>
  <c r="A106" i="18"/>
  <c r="B105" i="18"/>
  <c r="A105" i="18"/>
  <c r="B104" i="18"/>
  <c r="A104" i="18"/>
  <c r="B103" i="18"/>
  <c r="A103" i="18"/>
  <c r="B102" i="18"/>
  <c r="A102" i="18"/>
  <c r="B101" i="18"/>
  <c r="A101" i="18"/>
  <c r="B100" i="18"/>
  <c r="A100" i="18"/>
  <c r="B99" i="18"/>
  <c r="A99" i="18"/>
  <c r="B98" i="18"/>
  <c r="A98" i="18"/>
  <c r="B97" i="18"/>
  <c r="A97" i="18"/>
  <c r="B96" i="18"/>
  <c r="A96" i="18"/>
  <c r="B95" i="18"/>
  <c r="A95" i="18"/>
  <c r="B94" i="18"/>
  <c r="A94" i="18"/>
  <c r="B93" i="18"/>
  <c r="A93" i="18"/>
  <c r="B92" i="18"/>
  <c r="A92" i="18"/>
  <c r="B91" i="18"/>
  <c r="A91" i="18"/>
  <c r="B90" i="18"/>
  <c r="A90" i="18"/>
  <c r="E86" i="18"/>
  <c r="B86" i="18"/>
  <c r="B80" i="18"/>
  <c r="A80" i="18"/>
  <c r="B79" i="18"/>
  <c r="A79" i="18"/>
  <c r="B78" i="18"/>
  <c r="A78" i="18"/>
  <c r="B77" i="18"/>
  <c r="A77" i="18"/>
  <c r="B76" i="18"/>
  <c r="A76" i="18"/>
  <c r="B75" i="18"/>
  <c r="A75" i="18"/>
  <c r="B74" i="18"/>
  <c r="A74" i="18"/>
  <c r="B73" i="18"/>
  <c r="A73" i="18"/>
  <c r="B72" i="18"/>
  <c r="A72" i="18"/>
  <c r="B71" i="18"/>
  <c r="A71" i="18"/>
  <c r="B70" i="18"/>
  <c r="A70" i="18"/>
  <c r="B69" i="18"/>
  <c r="A69" i="18"/>
  <c r="B68" i="18"/>
  <c r="A68" i="18"/>
  <c r="B67" i="18"/>
  <c r="A67" i="18"/>
  <c r="B66" i="18"/>
  <c r="A66" i="18"/>
  <c r="B65" i="18"/>
  <c r="A65" i="18"/>
  <c r="B64" i="18"/>
  <c r="A64" i="18"/>
  <c r="B63" i="18"/>
  <c r="A63" i="18"/>
  <c r="B62" i="18"/>
  <c r="A62" i="18"/>
  <c r="B61" i="18"/>
  <c r="A61" i="18"/>
  <c r="B60" i="18"/>
  <c r="A60" i="18"/>
  <c r="B59" i="18"/>
  <c r="A59" i="18"/>
  <c r="B58" i="18"/>
  <c r="A58" i="18"/>
  <c r="B57" i="18"/>
  <c r="A57" i="18"/>
  <c r="B56" i="18"/>
  <c r="A56" i="18"/>
  <c r="B55" i="18"/>
  <c r="A55" i="18"/>
  <c r="B54" i="18"/>
  <c r="A54" i="18"/>
  <c r="B53" i="18"/>
  <c r="A53" i="18"/>
  <c r="B52" i="18"/>
  <c r="A52" i="18"/>
  <c r="B51" i="18"/>
  <c r="A51" i="18"/>
  <c r="B50" i="18"/>
  <c r="A50" i="18"/>
  <c r="E46" i="18"/>
  <c r="B46" i="18"/>
  <c r="B40" i="18"/>
  <c r="A40" i="18"/>
  <c r="B39" i="18"/>
  <c r="A39" i="18"/>
  <c r="B38" i="18"/>
  <c r="A38" i="18"/>
  <c r="B37" i="18"/>
  <c r="A37" i="18"/>
  <c r="B36" i="18"/>
  <c r="A36" i="18"/>
  <c r="B35" i="18"/>
  <c r="A35" i="18"/>
  <c r="B34" i="18"/>
  <c r="A34" i="18"/>
  <c r="B33" i="18"/>
  <c r="A33" i="18"/>
  <c r="B32" i="18"/>
  <c r="A32" i="18"/>
  <c r="B31" i="18"/>
  <c r="A31" i="18"/>
  <c r="B30" i="18"/>
  <c r="A30" i="18"/>
  <c r="B29" i="18"/>
  <c r="A29" i="18"/>
  <c r="B28" i="18"/>
  <c r="A28" i="18"/>
  <c r="B27" i="18"/>
  <c r="A27" i="18"/>
  <c r="B26" i="18"/>
  <c r="A26" i="18"/>
  <c r="B25" i="18"/>
  <c r="A25" i="18"/>
  <c r="B24" i="18"/>
  <c r="A24" i="18"/>
  <c r="B23" i="18"/>
  <c r="A23" i="18"/>
  <c r="B22" i="18"/>
  <c r="A22" i="18"/>
  <c r="B21" i="18"/>
  <c r="A21" i="18"/>
  <c r="B20" i="18"/>
  <c r="A20" i="18"/>
  <c r="B19" i="18"/>
  <c r="A19" i="18"/>
  <c r="B18" i="18"/>
  <c r="A18" i="18"/>
  <c r="B17" i="18"/>
  <c r="A17" i="18"/>
  <c r="B16" i="18"/>
  <c r="A16" i="18"/>
  <c r="B15" i="18"/>
  <c r="A15" i="18"/>
  <c r="B14" i="18"/>
  <c r="A14" i="18"/>
  <c r="B13" i="18"/>
  <c r="A13" i="18"/>
  <c r="B12" i="18"/>
  <c r="A12" i="18"/>
  <c r="B11" i="18"/>
  <c r="A11" i="18"/>
  <c r="B10" i="18"/>
  <c r="A10" i="18"/>
  <c r="E6" i="18"/>
  <c r="B6" i="18"/>
  <c r="D2" i="18"/>
  <c r="B37" i="17"/>
  <c r="A37" i="17"/>
  <c r="B36" i="17"/>
  <c r="A36" i="17"/>
  <c r="B35" i="17"/>
  <c r="A35" i="17"/>
  <c r="B34" i="17"/>
  <c r="A34" i="17"/>
  <c r="B33" i="17"/>
  <c r="A33" i="17"/>
  <c r="B32" i="17"/>
  <c r="A32" i="17"/>
  <c r="B31" i="17"/>
  <c r="A31" i="17"/>
  <c r="B30" i="17"/>
  <c r="A30" i="17"/>
  <c r="B29" i="17"/>
  <c r="A29" i="17"/>
  <c r="B28" i="17"/>
  <c r="A28" i="17"/>
  <c r="B27" i="17"/>
  <c r="A27" i="17"/>
  <c r="B26" i="17"/>
  <c r="A26" i="17"/>
  <c r="B25" i="17"/>
  <c r="A25" i="17"/>
  <c r="B24" i="17"/>
  <c r="A24" i="17"/>
  <c r="B23" i="17"/>
  <c r="A23" i="17"/>
  <c r="B22" i="17"/>
  <c r="A22" i="17"/>
  <c r="B21" i="17"/>
  <c r="A21" i="17"/>
  <c r="B20" i="17"/>
  <c r="A20" i="17"/>
  <c r="B19" i="17"/>
  <c r="A19" i="17"/>
  <c r="B18" i="17"/>
  <c r="A18" i="17"/>
  <c r="B17" i="17"/>
  <c r="A17" i="17"/>
  <c r="B16" i="17"/>
  <c r="A16" i="17"/>
  <c r="B15" i="17"/>
  <c r="A15" i="17"/>
  <c r="B14" i="17"/>
  <c r="A14" i="17"/>
  <c r="B13" i="17"/>
  <c r="A13" i="17"/>
  <c r="B12" i="17"/>
  <c r="A12" i="17"/>
  <c r="B11" i="17"/>
  <c r="A11" i="17"/>
  <c r="B10" i="17"/>
  <c r="A10" i="17"/>
  <c r="B9" i="17"/>
  <c r="A9" i="17"/>
  <c r="B8" i="17"/>
  <c r="A8" i="17"/>
  <c r="B7" i="17"/>
  <c r="A7" i="17"/>
  <c r="B3" i="17"/>
  <c r="ES40" i="16"/>
  <c r="EN40" i="16"/>
  <c r="EI40" i="16"/>
  <c r="T31" i="19" s="1"/>
  <c r="ED40" i="16"/>
  <c r="DY40" i="16"/>
  <c r="DT40" i="16"/>
  <c r="DO40" i="16"/>
  <c r="DJ40" i="16"/>
  <c r="DE40" i="16"/>
  <c r="CZ40" i="16"/>
  <c r="CU40" i="16"/>
  <c r="CP40" i="16"/>
  <c r="CK40" i="16"/>
  <c r="CF40" i="16"/>
  <c r="CA40" i="16"/>
  <c r="BV40" i="16"/>
  <c r="BQ40" i="16"/>
  <c r="BL40" i="16"/>
  <c r="BG40" i="16"/>
  <c r="BB40" i="16"/>
  <c r="AW40" i="16"/>
  <c r="AR40" i="16"/>
  <c r="AM40" i="16"/>
  <c r="AH40" i="16"/>
  <c r="AC40" i="16"/>
  <c r="X40" i="16"/>
  <c r="S40" i="16"/>
  <c r="N40" i="16"/>
  <c r="I40" i="16"/>
  <c r="D40" i="16"/>
  <c r="ES39" i="16"/>
  <c r="EN39" i="16"/>
  <c r="EI39" i="16"/>
  <c r="ED39" i="16"/>
  <c r="DY39" i="16"/>
  <c r="DT39" i="16"/>
  <c r="DO39" i="16"/>
  <c r="DJ39" i="16"/>
  <c r="DE39" i="16"/>
  <c r="CZ39" i="16"/>
  <c r="CU39" i="16"/>
  <c r="CP39" i="16"/>
  <c r="CK39" i="16"/>
  <c r="CF39" i="16"/>
  <c r="CA39" i="16"/>
  <c r="BV39" i="16"/>
  <c r="BQ39" i="16"/>
  <c r="BL39" i="16"/>
  <c r="BG39" i="16"/>
  <c r="BB39" i="16"/>
  <c r="AW39" i="16"/>
  <c r="AR39" i="16"/>
  <c r="AM39" i="16"/>
  <c r="AH39" i="16"/>
  <c r="AC39" i="16"/>
  <c r="X39" i="16"/>
  <c r="S39" i="16"/>
  <c r="N39" i="16"/>
  <c r="I39" i="16"/>
  <c r="D39" i="16"/>
  <c r="ES38" i="16"/>
  <c r="EN38" i="16"/>
  <c r="EI38" i="16"/>
  <c r="ED38" i="16"/>
  <c r="DY38" i="16"/>
  <c r="DT38" i="16"/>
  <c r="DO38" i="16"/>
  <c r="DJ38" i="16"/>
  <c r="DE38" i="16"/>
  <c r="CZ38" i="16"/>
  <c r="CU38" i="16"/>
  <c r="CP38" i="16"/>
  <c r="CK38" i="16"/>
  <c r="CF38" i="16"/>
  <c r="CA38" i="16"/>
  <c r="BV38" i="16"/>
  <c r="BQ38" i="16"/>
  <c r="BL38" i="16"/>
  <c r="BG38" i="16"/>
  <c r="BB38" i="16"/>
  <c r="AW38" i="16"/>
  <c r="AR38" i="16"/>
  <c r="AM38" i="16"/>
  <c r="AH38" i="16"/>
  <c r="AC38" i="16"/>
  <c r="X38" i="16"/>
  <c r="S38" i="16"/>
  <c r="N38" i="16"/>
  <c r="I38" i="16"/>
  <c r="D38" i="16"/>
  <c r="X35" i="16"/>
  <c r="EU34" i="16"/>
  <c r="EQ34" i="16"/>
  <c r="EP34" i="16"/>
  <c r="EK34" i="16"/>
  <c r="EF34" i="16"/>
  <c r="EB34" i="16"/>
  <c r="EA34" i="16"/>
  <c r="DW34" i="16"/>
  <c r="DV34" i="16"/>
  <c r="DR34" i="16"/>
  <c r="DQ34" i="16"/>
  <c r="DM34" i="16"/>
  <c r="DL34" i="16"/>
  <c r="DG34" i="16"/>
  <c r="DB34" i="16"/>
  <c r="CX34" i="16"/>
  <c r="CW34" i="16"/>
  <c r="CR34" i="16"/>
  <c r="CM34" i="16"/>
  <c r="CH34" i="16"/>
  <c r="CD34" i="16"/>
  <c r="CC34" i="16"/>
  <c r="BY34" i="16"/>
  <c r="BX34" i="16"/>
  <c r="BT34" i="16"/>
  <c r="BS34" i="16"/>
  <c r="BO34" i="16"/>
  <c r="BN34" i="16"/>
  <c r="BI34" i="16"/>
  <c r="BD34" i="16"/>
  <c r="AZ34" i="16"/>
  <c r="AY34" i="16"/>
  <c r="AT34" i="16"/>
  <c r="AO34" i="16"/>
  <c r="AK34" i="16"/>
  <c r="AJ34" i="16"/>
  <c r="AF34" i="16"/>
  <c r="AE34" i="16"/>
  <c r="AA34" i="16"/>
  <c r="Z34" i="16"/>
  <c r="V34" i="16"/>
  <c r="U34" i="16"/>
  <c r="P34" i="16"/>
  <c r="K34" i="16"/>
  <c r="F34" i="16"/>
  <c r="C34" i="16"/>
  <c r="B34" i="16"/>
  <c r="A34" i="16"/>
  <c r="EV33" i="16"/>
  <c r="EU33" i="16"/>
  <c r="EQ33" i="16"/>
  <c r="EP33" i="16"/>
  <c r="EK33" i="16"/>
  <c r="EF33" i="16"/>
  <c r="EA33" i="16"/>
  <c r="DV33" i="16"/>
  <c r="DQ33" i="16"/>
  <c r="DL33" i="16"/>
  <c r="DG33" i="16"/>
  <c r="DC33" i="16"/>
  <c r="DB33" i="16"/>
  <c r="CW33" i="16"/>
  <c r="CR33" i="16"/>
  <c r="CN33" i="16"/>
  <c r="CM33" i="16"/>
  <c r="CH33" i="16"/>
  <c r="CD33" i="16"/>
  <c r="CC33" i="16"/>
  <c r="BX33" i="16"/>
  <c r="BS33" i="16"/>
  <c r="BN33" i="16"/>
  <c r="BI33" i="16"/>
  <c r="BD33" i="16"/>
  <c r="AY33" i="16"/>
  <c r="AT33" i="16"/>
  <c r="AP33" i="16"/>
  <c r="AO33" i="16"/>
  <c r="AK33" i="16"/>
  <c r="AJ33" i="16"/>
  <c r="AE33" i="16"/>
  <c r="Z33" i="16"/>
  <c r="U33" i="16"/>
  <c r="P33" i="16"/>
  <c r="K33" i="16"/>
  <c r="F33" i="16"/>
  <c r="C33" i="16"/>
  <c r="B33" i="16"/>
  <c r="A33" i="16"/>
  <c r="EU32" i="16"/>
  <c r="EP32" i="16"/>
  <c r="EK32" i="16"/>
  <c r="EF32" i="16"/>
  <c r="EA32" i="16"/>
  <c r="DV32" i="16"/>
  <c r="DQ32" i="16"/>
  <c r="DL32" i="16"/>
  <c r="DG32" i="16"/>
  <c r="DB32" i="16"/>
  <c r="CW32" i="16"/>
  <c r="CR32" i="16"/>
  <c r="CM32" i="16"/>
  <c r="CH32" i="16"/>
  <c r="CC32" i="16"/>
  <c r="BX32" i="16"/>
  <c r="BS32" i="16"/>
  <c r="BN32" i="16"/>
  <c r="BI32" i="16"/>
  <c r="BG35" i="16" s="1"/>
  <c r="BD32" i="16"/>
  <c r="AY32" i="16"/>
  <c r="AT32" i="16"/>
  <c r="AO32" i="16"/>
  <c r="AJ32" i="16"/>
  <c r="AE32" i="16"/>
  <c r="Z32" i="16"/>
  <c r="U32" i="16"/>
  <c r="P32" i="16"/>
  <c r="K32" i="16"/>
  <c r="F32" i="16"/>
  <c r="C32" i="16"/>
  <c r="B32" i="16"/>
  <c r="A32" i="16"/>
  <c r="Q32" i="16" s="1"/>
  <c r="EV31" i="16"/>
  <c r="EU31" i="16"/>
  <c r="EQ31" i="16"/>
  <c r="EP31" i="16"/>
  <c r="EL31" i="16"/>
  <c r="EK31" i="16"/>
  <c r="EG31" i="16"/>
  <c r="EF31" i="16"/>
  <c r="EA31" i="16"/>
  <c r="DW31" i="16"/>
  <c r="DV31" i="16"/>
  <c r="DR31" i="16"/>
  <c r="DQ31" i="16"/>
  <c r="DL31" i="16"/>
  <c r="DH31" i="16"/>
  <c r="DG31" i="16"/>
  <c r="DC31" i="16"/>
  <c r="DB31" i="16"/>
  <c r="CX31" i="16"/>
  <c r="CW31" i="16"/>
  <c r="CS31" i="16"/>
  <c r="CR31" i="16"/>
  <c r="CM31" i="16"/>
  <c r="CI31" i="16"/>
  <c r="CH31" i="16"/>
  <c r="CD31" i="16"/>
  <c r="CC31" i="16"/>
  <c r="BY31" i="16"/>
  <c r="BX31" i="16"/>
  <c r="BT31" i="16"/>
  <c r="BS31" i="16"/>
  <c r="BO31" i="16"/>
  <c r="BN31" i="16"/>
  <c r="BJ31" i="16"/>
  <c r="BI31" i="16"/>
  <c r="BE31" i="16"/>
  <c r="BD31" i="16"/>
  <c r="AY31" i="16"/>
  <c r="AU31" i="16"/>
  <c r="AT31" i="16"/>
  <c r="AO31" i="16"/>
  <c r="AK31" i="16"/>
  <c r="AJ31" i="16"/>
  <c r="AE31" i="16"/>
  <c r="AA31" i="16"/>
  <c r="Z31" i="16"/>
  <c r="V31" i="16"/>
  <c r="U31" i="16"/>
  <c r="Q31" i="16"/>
  <c r="P31" i="16"/>
  <c r="K31" i="16"/>
  <c r="G31" i="16"/>
  <c r="F31" i="16"/>
  <c r="C31" i="16"/>
  <c r="B31" i="16"/>
  <c r="A31" i="16"/>
  <c r="EV30" i="16"/>
  <c r="EU30" i="16"/>
  <c r="EP30" i="16"/>
  <c r="EK30" i="16"/>
  <c r="EG30" i="16"/>
  <c r="EF30" i="16"/>
  <c r="EA30" i="16"/>
  <c r="DW30" i="16"/>
  <c r="DV30" i="16"/>
  <c r="DR30" i="16"/>
  <c r="DQ30" i="16"/>
  <c r="DM30" i="16"/>
  <c r="DL30" i="16"/>
  <c r="DG30" i="16"/>
  <c r="DB30" i="16"/>
  <c r="CX30" i="16"/>
  <c r="CW30" i="16"/>
  <c r="CR30" i="16"/>
  <c r="CN30" i="16"/>
  <c r="CM30" i="16"/>
  <c r="CI30" i="16"/>
  <c r="CH30" i="16"/>
  <c r="CD30" i="16"/>
  <c r="CC30" i="16"/>
  <c r="BY30" i="16"/>
  <c r="BX30" i="16"/>
  <c r="BT30" i="16"/>
  <c r="BS30" i="16"/>
  <c r="BN30" i="16"/>
  <c r="BJ30" i="16"/>
  <c r="BI30" i="16"/>
  <c r="BE30" i="16"/>
  <c r="BD30" i="16"/>
  <c r="AZ30" i="16"/>
  <c r="AY30" i="16"/>
  <c r="AU30" i="16"/>
  <c r="AT30" i="16"/>
  <c r="AO30" i="16"/>
  <c r="AK30" i="16"/>
  <c r="AJ30" i="16"/>
  <c r="AF30" i="16"/>
  <c r="AE30" i="16"/>
  <c r="Z30" i="16"/>
  <c r="V30" i="16"/>
  <c r="U30" i="16"/>
  <c r="Q30" i="16"/>
  <c r="P30" i="16"/>
  <c r="K30" i="16"/>
  <c r="G30" i="16"/>
  <c r="F30" i="16"/>
  <c r="C30" i="16"/>
  <c r="B30" i="16"/>
  <c r="A30" i="16"/>
  <c r="EV29" i="16"/>
  <c r="EU29" i="16"/>
  <c r="EQ29" i="16"/>
  <c r="EP29" i="16"/>
  <c r="EK29" i="16"/>
  <c r="EG29" i="16"/>
  <c r="EF29" i="16"/>
  <c r="EB29" i="16"/>
  <c r="EA29" i="16"/>
  <c r="DV29" i="16"/>
  <c r="DR29" i="16"/>
  <c r="DQ29" i="16"/>
  <c r="DM29" i="16"/>
  <c r="DL29" i="16"/>
  <c r="DH29" i="16"/>
  <c r="DG29" i="16"/>
  <c r="DC29" i="16"/>
  <c r="DB29" i="16"/>
  <c r="CW29" i="16"/>
  <c r="CR29" i="16"/>
  <c r="CM29" i="16"/>
  <c r="CH29" i="16"/>
  <c r="CD29" i="16"/>
  <c r="CC29" i="16"/>
  <c r="BY29" i="16"/>
  <c r="BX29" i="16"/>
  <c r="BT29" i="16"/>
  <c r="BS29" i="16"/>
  <c r="BO29" i="16"/>
  <c r="BN29" i="16"/>
  <c r="BJ29" i="16"/>
  <c r="BI29" i="16"/>
  <c r="BE29" i="16"/>
  <c r="BD29" i="16"/>
  <c r="AZ29" i="16"/>
  <c r="AY29" i="16"/>
  <c r="AT29" i="16"/>
  <c r="AP29" i="16"/>
  <c r="AO29" i="16"/>
  <c r="AK29" i="16"/>
  <c r="AJ29" i="16"/>
  <c r="AE29" i="16"/>
  <c r="AA29" i="16"/>
  <c r="Z29" i="16"/>
  <c r="V29" i="16"/>
  <c r="U29" i="16"/>
  <c r="P29" i="16"/>
  <c r="K29" i="16"/>
  <c r="F29" i="16"/>
  <c r="C29" i="16"/>
  <c r="B29" i="16"/>
  <c r="A29" i="16"/>
  <c r="EU28" i="16"/>
  <c r="EP28" i="16"/>
  <c r="EL28" i="16"/>
  <c r="EK28" i="16"/>
  <c r="EG28" i="16"/>
  <c r="EF28" i="16"/>
  <c r="EA28" i="16"/>
  <c r="DW28" i="16"/>
  <c r="DV28" i="16"/>
  <c r="DQ28" i="16"/>
  <c r="DL28" i="16"/>
  <c r="DG28" i="16"/>
  <c r="DB28" i="16"/>
  <c r="CW28" i="16"/>
  <c r="CR28" i="16"/>
  <c r="CM28" i="16"/>
  <c r="CH28" i="16"/>
  <c r="CD28" i="16"/>
  <c r="CC28" i="16"/>
  <c r="BY28" i="16"/>
  <c r="BX28" i="16"/>
  <c r="BS28" i="16"/>
  <c r="BO28" i="16"/>
  <c r="BN28" i="16"/>
  <c r="BI28" i="16"/>
  <c r="BD28" i="16"/>
  <c r="AY28" i="16"/>
  <c r="AU28" i="16"/>
  <c r="AT28" i="16"/>
  <c r="AP28" i="16"/>
  <c r="AO28" i="16"/>
  <c r="AJ28" i="16"/>
  <c r="AE28" i="16"/>
  <c r="Z28" i="16"/>
  <c r="V28" i="16"/>
  <c r="U28" i="16"/>
  <c r="Q28" i="16"/>
  <c r="P28" i="16"/>
  <c r="K28" i="16"/>
  <c r="F28" i="16"/>
  <c r="C28" i="16"/>
  <c r="B28" i="16"/>
  <c r="A28" i="16"/>
  <c r="EQ28" i="16" s="1"/>
  <c r="EU27" i="16"/>
  <c r="EQ27" i="16"/>
  <c r="EP27" i="16"/>
  <c r="EK27" i="16"/>
  <c r="EF27" i="16"/>
  <c r="EB27" i="16"/>
  <c r="EA27" i="16"/>
  <c r="DW27" i="16"/>
  <c r="DV27" i="16"/>
  <c r="DQ27" i="16"/>
  <c r="DL27" i="16"/>
  <c r="DG27" i="16"/>
  <c r="DB27" i="16"/>
  <c r="CX27" i="16"/>
  <c r="CW27" i="16"/>
  <c r="CR27" i="16"/>
  <c r="CN27" i="16"/>
  <c r="CM27" i="16"/>
  <c r="CH27" i="16"/>
  <c r="CC27" i="16"/>
  <c r="BY27" i="16"/>
  <c r="BX27" i="16"/>
  <c r="BT27" i="16"/>
  <c r="BS27" i="16"/>
  <c r="BN27" i="16"/>
  <c r="BI27" i="16"/>
  <c r="BE27" i="16"/>
  <c r="BD27" i="16"/>
  <c r="AY27" i="16"/>
  <c r="AT27" i="16"/>
  <c r="AO27" i="16"/>
  <c r="AK27" i="16"/>
  <c r="AJ27" i="16"/>
  <c r="AF27" i="16"/>
  <c r="AE27" i="16"/>
  <c r="AA27" i="16"/>
  <c r="Z27" i="16"/>
  <c r="U27" i="16"/>
  <c r="P27" i="16"/>
  <c r="K27" i="16"/>
  <c r="F27" i="16"/>
  <c r="C27" i="16"/>
  <c r="B27" i="16"/>
  <c r="A27" i="16"/>
  <c r="EU26" i="16"/>
  <c r="EP26" i="16"/>
  <c r="EL26" i="16"/>
  <c r="EK26" i="16"/>
  <c r="EF26" i="16"/>
  <c r="EB26" i="16"/>
  <c r="EA26" i="16"/>
  <c r="DV26" i="16"/>
  <c r="DQ26" i="16"/>
  <c r="DL26" i="16"/>
  <c r="DG26" i="16"/>
  <c r="DC26" i="16"/>
  <c r="DB26" i="16"/>
  <c r="CW26" i="16"/>
  <c r="CR26" i="16"/>
  <c r="CN26" i="16"/>
  <c r="CM26" i="16"/>
  <c r="CH26" i="16"/>
  <c r="CC26" i="16"/>
  <c r="BY26" i="16"/>
  <c r="BX26" i="16"/>
  <c r="BS26" i="16"/>
  <c r="BN26" i="16"/>
  <c r="BJ26" i="16"/>
  <c r="BI26" i="16"/>
  <c r="BD26" i="16"/>
  <c r="AY26" i="16"/>
  <c r="AT26" i="16"/>
  <c r="AP26" i="16"/>
  <c r="AO26" i="16"/>
  <c r="AJ26" i="16"/>
  <c r="AE26" i="16"/>
  <c r="Z26" i="16"/>
  <c r="V26" i="16"/>
  <c r="U26" i="16"/>
  <c r="P26" i="16"/>
  <c r="K26" i="16"/>
  <c r="G26" i="16"/>
  <c r="F26" i="16"/>
  <c r="C26" i="16"/>
  <c r="B26" i="16"/>
  <c r="A26" i="16"/>
  <c r="EV25" i="16"/>
  <c r="EU25" i="16"/>
  <c r="EQ25" i="16"/>
  <c r="EP25" i="16"/>
  <c r="EL25" i="16"/>
  <c r="EK25" i="16"/>
  <c r="EG25" i="16"/>
  <c r="EF25" i="16"/>
  <c r="EB25" i="16"/>
  <c r="EA25" i="16"/>
  <c r="DW25" i="16"/>
  <c r="DV25" i="16"/>
  <c r="DR25" i="16"/>
  <c r="DQ25" i="16"/>
  <c r="DL25" i="16"/>
  <c r="DH25" i="16"/>
  <c r="DG25" i="16"/>
  <c r="DC25" i="16"/>
  <c r="DB25" i="16"/>
  <c r="CX25" i="16"/>
  <c r="CW25" i="16"/>
  <c r="CS25" i="16"/>
  <c r="CR25" i="16"/>
  <c r="CN25" i="16"/>
  <c r="CM25" i="16"/>
  <c r="CI25" i="16"/>
  <c r="CH25" i="16"/>
  <c r="CD25" i="16"/>
  <c r="CC25" i="16"/>
  <c r="BX25" i="16"/>
  <c r="BT25" i="16"/>
  <c r="BS25" i="16"/>
  <c r="BO25" i="16"/>
  <c r="BN25" i="16"/>
  <c r="BJ25" i="16"/>
  <c r="BI25" i="16"/>
  <c r="BE25" i="16"/>
  <c r="BD25" i="16"/>
  <c r="AZ25" i="16"/>
  <c r="AY25" i="16"/>
  <c r="AU25" i="16"/>
  <c r="AT25" i="16"/>
  <c r="AP25" i="16"/>
  <c r="AO25" i="16"/>
  <c r="AJ25" i="16"/>
  <c r="AF25" i="16"/>
  <c r="AE25" i="16"/>
  <c r="AA25" i="16"/>
  <c r="Z25" i="16"/>
  <c r="V25" i="16"/>
  <c r="U25" i="16"/>
  <c r="Q25" i="16"/>
  <c r="P25" i="16"/>
  <c r="L25" i="16"/>
  <c r="K25" i="16"/>
  <c r="G25" i="16"/>
  <c r="F25" i="16"/>
  <c r="C25" i="16"/>
  <c r="B25" i="16"/>
  <c r="A25" i="16"/>
  <c r="DM25" i="16" s="1"/>
  <c r="EV24" i="16"/>
  <c r="EU24" i="16"/>
  <c r="EP24" i="16"/>
  <c r="EL24" i="16"/>
  <c r="EK24" i="16"/>
  <c r="EG24" i="16"/>
  <c r="EF24" i="16"/>
  <c r="EB24" i="16"/>
  <c r="EA24" i="16"/>
  <c r="DW24" i="16"/>
  <c r="DV24" i="16"/>
  <c r="DR24" i="16"/>
  <c r="DQ24" i="16"/>
  <c r="DM24" i="16"/>
  <c r="DL24" i="16"/>
  <c r="DH24" i="16"/>
  <c r="DG24" i="16"/>
  <c r="DB24" i="16"/>
  <c r="CX24" i="16"/>
  <c r="CW24" i="16"/>
  <c r="CS24" i="16"/>
  <c r="CR24" i="16"/>
  <c r="CN24" i="16"/>
  <c r="CM24" i="16"/>
  <c r="CI24" i="16"/>
  <c r="CH24" i="16"/>
  <c r="CC24" i="16"/>
  <c r="BY24" i="16"/>
  <c r="BX24" i="16"/>
  <c r="BT24" i="16"/>
  <c r="BS24" i="16"/>
  <c r="BN24" i="16"/>
  <c r="BJ24" i="16"/>
  <c r="BI24" i="16"/>
  <c r="BE24" i="16"/>
  <c r="BD24" i="16"/>
  <c r="AZ24" i="16"/>
  <c r="AY24" i="16"/>
  <c r="AU24" i="16"/>
  <c r="AT24" i="16"/>
  <c r="AP24" i="16"/>
  <c r="AO24" i="16"/>
  <c r="AK24" i="16"/>
  <c r="AJ24" i="16"/>
  <c r="AF24" i="16"/>
  <c r="AE24" i="16"/>
  <c r="Z24" i="16"/>
  <c r="V24" i="16"/>
  <c r="U24" i="16"/>
  <c r="Q24" i="16"/>
  <c r="P24" i="16"/>
  <c r="L24" i="16"/>
  <c r="K24" i="16"/>
  <c r="G24" i="16"/>
  <c r="F24" i="16"/>
  <c r="C24" i="16"/>
  <c r="B24" i="16"/>
  <c r="A24" i="16"/>
  <c r="EU23" i="16"/>
  <c r="EP23" i="16"/>
  <c r="EK23" i="16"/>
  <c r="EF23" i="16"/>
  <c r="EA23" i="16"/>
  <c r="DV23" i="16"/>
  <c r="DQ23" i="16"/>
  <c r="DL23" i="16"/>
  <c r="DG23" i="16"/>
  <c r="DB23" i="16"/>
  <c r="CW23" i="16"/>
  <c r="CR23" i="16"/>
  <c r="CM23" i="16"/>
  <c r="CH23" i="16"/>
  <c r="CC23" i="16"/>
  <c r="BX23" i="16"/>
  <c r="BS23" i="16"/>
  <c r="BN23" i="16"/>
  <c r="BI23" i="16"/>
  <c r="BD23" i="16"/>
  <c r="AZ23" i="16"/>
  <c r="AY23" i="16"/>
  <c r="AT23" i="16"/>
  <c r="AO23" i="16"/>
  <c r="AJ23" i="16"/>
  <c r="AE23" i="16"/>
  <c r="Z23" i="16"/>
  <c r="U23" i="16"/>
  <c r="P23" i="16"/>
  <c r="K23" i="16"/>
  <c r="G23" i="16"/>
  <c r="F23" i="16"/>
  <c r="C23" i="16"/>
  <c r="B23" i="16"/>
  <c r="A23" i="16"/>
  <c r="EU22" i="16"/>
  <c r="EP22" i="16"/>
  <c r="EK22" i="16"/>
  <c r="EF22" i="16"/>
  <c r="EA22" i="16"/>
  <c r="DV22" i="16"/>
  <c r="DQ22" i="16"/>
  <c r="DL22" i="16"/>
  <c r="DG22" i="16"/>
  <c r="DB22" i="16"/>
  <c r="CW22" i="16"/>
  <c r="CR22" i="16"/>
  <c r="CM22" i="16"/>
  <c r="CH22" i="16"/>
  <c r="CC22" i="16"/>
  <c r="BX22" i="16"/>
  <c r="BS22" i="16"/>
  <c r="BN22" i="16"/>
  <c r="BI22" i="16"/>
  <c r="BD22" i="16"/>
  <c r="AY22" i="16"/>
  <c r="AT22" i="16"/>
  <c r="AO22" i="16"/>
  <c r="AJ22" i="16"/>
  <c r="AE22" i="16"/>
  <c r="Z22" i="16"/>
  <c r="U22" i="16"/>
  <c r="P22" i="16"/>
  <c r="K22" i="16"/>
  <c r="F22" i="16"/>
  <c r="C22" i="16"/>
  <c r="B22" i="16"/>
  <c r="A22" i="16"/>
  <c r="EV22" i="16" s="1"/>
  <c r="EV21" i="16"/>
  <c r="EU21" i="16"/>
  <c r="EP21" i="16"/>
  <c r="EL21" i="16"/>
  <c r="EK21" i="16"/>
  <c r="EF21" i="16"/>
  <c r="EA21" i="16"/>
  <c r="DV21" i="16"/>
  <c r="DQ21" i="16"/>
  <c r="DL21" i="16"/>
  <c r="DH21" i="16"/>
  <c r="DG21" i="16"/>
  <c r="DB21" i="16"/>
  <c r="CW21" i="16"/>
  <c r="CS21" i="16"/>
  <c r="CR21" i="16"/>
  <c r="CM21" i="16"/>
  <c r="CH21" i="16"/>
  <c r="CC21" i="16"/>
  <c r="BX21" i="16"/>
  <c r="BT21" i="16"/>
  <c r="BS21" i="16"/>
  <c r="BN21" i="16"/>
  <c r="BI21" i="16"/>
  <c r="BD21" i="16"/>
  <c r="AZ21" i="16"/>
  <c r="AY21" i="16"/>
  <c r="AT21" i="16"/>
  <c r="AO21" i="16"/>
  <c r="AJ21" i="16"/>
  <c r="AE21" i="16"/>
  <c r="Z21" i="16"/>
  <c r="U21" i="16"/>
  <c r="Q21" i="16"/>
  <c r="P21" i="16"/>
  <c r="K21" i="16"/>
  <c r="F21" i="16"/>
  <c r="C21" i="16"/>
  <c r="B21" i="16"/>
  <c r="A21" i="16"/>
  <c r="EV20" i="16"/>
  <c r="EU20" i="16"/>
  <c r="EQ20" i="16"/>
  <c r="EP20" i="16"/>
  <c r="EL20" i="16"/>
  <c r="EK20" i="16"/>
  <c r="EG20" i="16"/>
  <c r="EF20" i="16"/>
  <c r="EB20" i="16"/>
  <c r="EA20" i="16"/>
  <c r="DW20" i="16"/>
  <c r="DV20" i="16"/>
  <c r="DR20" i="16"/>
  <c r="DQ20" i="16"/>
  <c r="DL20" i="16"/>
  <c r="DH20" i="16"/>
  <c r="DG20" i="16"/>
  <c r="DC20" i="16"/>
  <c r="DB20" i="16"/>
  <c r="CX20" i="16"/>
  <c r="CW20" i="16"/>
  <c r="CS20" i="16"/>
  <c r="CR20" i="16"/>
  <c r="CN20" i="16"/>
  <c r="CM20" i="16"/>
  <c r="CI20" i="16"/>
  <c r="CH20" i="16"/>
  <c r="CD20" i="16"/>
  <c r="CC20" i="16"/>
  <c r="BX20" i="16"/>
  <c r="BT20" i="16"/>
  <c r="BS20" i="16"/>
  <c r="BO20" i="16"/>
  <c r="BN20" i="16"/>
  <c r="BJ20" i="16"/>
  <c r="BI20" i="16"/>
  <c r="BE20" i="16"/>
  <c r="BD20" i="16"/>
  <c r="AZ20" i="16"/>
  <c r="AY20" i="16"/>
  <c r="AU20" i="16"/>
  <c r="AT20" i="16"/>
  <c r="AP20" i="16"/>
  <c r="AO20" i="16"/>
  <c r="AJ20" i="16"/>
  <c r="AF20" i="16"/>
  <c r="AE20" i="16"/>
  <c r="AA20" i="16"/>
  <c r="Z20" i="16"/>
  <c r="V20" i="16"/>
  <c r="U20" i="16"/>
  <c r="Q20" i="16"/>
  <c r="P20" i="16"/>
  <c r="L20" i="16"/>
  <c r="K20" i="16"/>
  <c r="G20" i="16"/>
  <c r="F20" i="16"/>
  <c r="C20" i="16"/>
  <c r="B20" i="16"/>
  <c r="A20" i="16"/>
  <c r="DM20" i="16" s="1"/>
  <c r="EV19" i="16"/>
  <c r="EU19" i="16"/>
  <c r="EP19" i="16"/>
  <c r="EK19" i="16"/>
  <c r="EG19" i="16"/>
  <c r="EF19" i="16"/>
  <c r="EB19" i="16"/>
  <c r="EA19" i="16"/>
  <c r="DW19" i="16"/>
  <c r="DV19" i="16"/>
  <c r="DR19" i="16"/>
  <c r="DQ19" i="16"/>
  <c r="DM19" i="16"/>
  <c r="DL19" i="16"/>
  <c r="DG19" i="16"/>
  <c r="DC19" i="16"/>
  <c r="DB19" i="16"/>
  <c r="CW19" i="16"/>
  <c r="CS19" i="16"/>
  <c r="CR19" i="16"/>
  <c r="CN19" i="16"/>
  <c r="CM19" i="16"/>
  <c r="CI19" i="16"/>
  <c r="CH19" i="16"/>
  <c r="CD19" i="16"/>
  <c r="CC19" i="16"/>
  <c r="BY19" i="16"/>
  <c r="BX19" i="16"/>
  <c r="BT19" i="16"/>
  <c r="BS19" i="16"/>
  <c r="BO19" i="16"/>
  <c r="BN19" i="16"/>
  <c r="BI19" i="16"/>
  <c r="BD19" i="16"/>
  <c r="AZ19" i="16"/>
  <c r="AY19" i="16"/>
  <c r="AT19" i="16"/>
  <c r="AO19" i="16"/>
  <c r="AK19" i="16"/>
  <c r="AJ19" i="16"/>
  <c r="AF19" i="16"/>
  <c r="AE19" i="16"/>
  <c r="Z19" i="16"/>
  <c r="U19" i="16"/>
  <c r="Q19" i="16"/>
  <c r="P19" i="16"/>
  <c r="L19" i="16"/>
  <c r="K19" i="16"/>
  <c r="G19" i="16"/>
  <c r="F19" i="16"/>
  <c r="C19" i="16"/>
  <c r="B19" i="16"/>
  <c r="A19" i="16"/>
  <c r="EV18" i="16"/>
  <c r="EU18" i="16"/>
  <c r="EP18" i="16"/>
  <c r="EK18" i="16"/>
  <c r="EF18" i="16"/>
  <c r="EB18" i="16"/>
  <c r="EA18" i="16"/>
  <c r="DW18" i="16"/>
  <c r="DV18" i="16"/>
  <c r="DR18" i="16"/>
  <c r="DQ18" i="16"/>
  <c r="DL18" i="16"/>
  <c r="DH18" i="16"/>
  <c r="DG18" i="16"/>
  <c r="DC18" i="16"/>
  <c r="DB18" i="16"/>
  <c r="CW18" i="16"/>
  <c r="CS18" i="16"/>
  <c r="CR18" i="16"/>
  <c r="CM18" i="16"/>
  <c r="CI18" i="16"/>
  <c r="CH18" i="16"/>
  <c r="CD18" i="16"/>
  <c r="CC18" i="16"/>
  <c r="BY18" i="16"/>
  <c r="BX18" i="16"/>
  <c r="BT18" i="16"/>
  <c r="BS18" i="16"/>
  <c r="BN18" i="16"/>
  <c r="BI18" i="16"/>
  <c r="BE18" i="16"/>
  <c r="BD18" i="16"/>
  <c r="AZ18" i="16"/>
  <c r="AY18" i="16"/>
  <c r="AT18" i="16"/>
  <c r="AP18" i="16"/>
  <c r="AO18" i="16"/>
  <c r="AJ18" i="16"/>
  <c r="AE18" i="16"/>
  <c r="AC35" i="16" s="1"/>
  <c r="AA18" i="16"/>
  <c r="Z18" i="16"/>
  <c r="U18" i="16"/>
  <c r="P18" i="16"/>
  <c r="L18" i="16"/>
  <c r="K18" i="16"/>
  <c r="G18" i="16"/>
  <c r="F18" i="16"/>
  <c r="C18" i="16"/>
  <c r="B18" i="16"/>
  <c r="A18" i="16"/>
  <c r="EU17" i="16"/>
  <c r="EP17" i="16"/>
  <c r="EK17" i="16"/>
  <c r="EF17" i="16"/>
  <c r="EB17" i="16"/>
  <c r="EA17" i="16"/>
  <c r="DV17" i="16"/>
  <c r="DQ17" i="16"/>
  <c r="DL17" i="16"/>
  <c r="DG17" i="16"/>
  <c r="DB17" i="16"/>
  <c r="CW17" i="16"/>
  <c r="CR17" i="16"/>
  <c r="CM17" i="16"/>
  <c r="CH17" i="16"/>
  <c r="CC17" i="16"/>
  <c r="BX17" i="16"/>
  <c r="BS17" i="16"/>
  <c r="BN17" i="16"/>
  <c r="BI17" i="16"/>
  <c r="BD17" i="16"/>
  <c r="AY17" i="16"/>
  <c r="AT17" i="16"/>
  <c r="AP17" i="16"/>
  <c r="AO17" i="16"/>
  <c r="AJ17" i="16"/>
  <c r="AE17" i="16"/>
  <c r="AA17" i="16"/>
  <c r="Z17" i="16"/>
  <c r="U17" i="16"/>
  <c r="P17" i="16"/>
  <c r="K17" i="16"/>
  <c r="F17" i="16"/>
  <c r="C17" i="16"/>
  <c r="B17" i="16"/>
  <c r="A17" i="16"/>
  <c r="DR17" i="16" s="1"/>
  <c r="EV16" i="16"/>
  <c r="EU16" i="16"/>
  <c r="EQ16" i="16"/>
  <c r="EP16" i="16"/>
  <c r="EL16" i="16"/>
  <c r="EK16" i="16"/>
  <c r="EG16" i="16"/>
  <c r="EF16" i="16"/>
  <c r="EA16" i="16"/>
  <c r="DV16" i="16"/>
  <c r="DR16" i="16"/>
  <c r="DQ16" i="16"/>
  <c r="DM16" i="16"/>
  <c r="DL16" i="16"/>
  <c r="DH16" i="16"/>
  <c r="DG16" i="16"/>
  <c r="DC16" i="16"/>
  <c r="DB16" i="16"/>
  <c r="CX16" i="16"/>
  <c r="CW16" i="16"/>
  <c r="CS16" i="16"/>
  <c r="CR16" i="16"/>
  <c r="CN16" i="16"/>
  <c r="CM16" i="16"/>
  <c r="CH16" i="16"/>
  <c r="CC16" i="16"/>
  <c r="BY16" i="16"/>
  <c r="BX16" i="16"/>
  <c r="BT16" i="16"/>
  <c r="BS16" i="16"/>
  <c r="BO16" i="16"/>
  <c r="BN16" i="16"/>
  <c r="BJ16" i="16"/>
  <c r="BI16" i="16"/>
  <c r="BE16" i="16"/>
  <c r="BD16" i="16"/>
  <c r="AZ16" i="16"/>
  <c r="AY16" i="16"/>
  <c r="AT16" i="16"/>
  <c r="AP16" i="16"/>
  <c r="AO16" i="16"/>
  <c r="AK16" i="16"/>
  <c r="AJ16" i="16"/>
  <c r="AF16" i="16"/>
  <c r="AE16" i="16"/>
  <c r="AA16" i="16"/>
  <c r="Z16" i="16"/>
  <c r="V16" i="16"/>
  <c r="U16" i="16"/>
  <c r="Q16" i="16"/>
  <c r="P16" i="16"/>
  <c r="L16" i="16"/>
  <c r="K16" i="16"/>
  <c r="F16" i="16"/>
  <c r="C16" i="16"/>
  <c r="B16" i="16"/>
  <c r="A16" i="16"/>
  <c r="EU15" i="16"/>
  <c r="EQ15" i="16"/>
  <c r="EP15" i="16"/>
  <c r="EK15" i="16"/>
  <c r="EG15" i="16"/>
  <c r="EF15" i="16"/>
  <c r="EA15" i="16"/>
  <c r="DW15" i="16"/>
  <c r="DV15" i="16"/>
  <c r="DQ15" i="16"/>
  <c r="DM15" i="16"/>
  <c r="DL15" i="16"/>
  <c r="DH15" i="16"/>
  <c r="DG15" i="16"/>
  <c r="DB15" i="16"/>
  <c r="CW15" i="16"/>
  <c r="CR15" i="16"/>
  <c r="CM15" i="16"/>
  <c r="CH15" i="16"/>
  <c r="CD15" i="16"/>
  <c r="CC15" i="16"/>
  <c r="BY15" i="16"/>
  <c r="BX15" i="16"/>
  <c r="BS15" i="16"/>
  <c r="BN15" i="16"/>
  <c r="BI15" i="16"/>
  <c r="BE15" i="16"/>
  <c r="BD15" i="16"/>
  <c r="AY15" i="16"/>
  <c r="AT15" i="16"/>
  <c r="AO15" i="16"/>
  <c r="AJ15" i="16"/>
  <c r="AE15" i="16"/>
  <c r="Z15" i="16"/>
  <c r="V15" i="16"/>
  <c r="U15" i="16"/>
  <c r="P15" i="16"/>
  <c r="K15" i="16"/>
  <c r="F15" i="16"/>
  <c r="C15" i="16"/>
  <c r="B15" i="16"/>
  <c r="A15" i="16"/>
  <c r="EU14" i="16"/>
  <c r="EQ14" i="16"/>
  <c r="EP14" i="16"/>
  <c r="EL14" i="16"/>
  <c r="EK14" i="16"/>
  <c r="EG14" i="16"/>
  <c r="EF14" i="16"/>
  <c r="EB14" i="16"/>
  <c r="EA14" i="16"/>
  <c r="DW14" i="16"/>
  <c r="DV14" i="16"/>
  <c r="DR14" i="16"/>
  <c r="DQ14" i="16"/>
  <c r="DM14" i="16"/>
  <c r="DL14" i="16"/>
  <c r="DG14" i="16"/>
  <c r="DC14" i="16"/>
  <c r="DB14" i="16"/>
  <c r="CX14" i="16"/>
  <c r="CW14" i="16"/>
  <c r="CR14" i="16"/>
  <c r="CN14" i="16"/>
  <c r="CM14" i="16"/>
  <c r="CI14" i="16"/>
  <c r="CH14" i="16"/>
  <c r="CD14" i="16"/>
  <c r="CC14" i="16"/>
  <c r="BY14" i="16"/>
  <c r="BX14" i="16"/>
  <c r="BS14" i="16"/>
  <c r="BO14" i="16"/>
  <c r="BN14" i="16"/>
  <c r="BJ14" i="16"/>
  <c r="BI14" i="16"/>
  <c r="BE14" i="16"/>
  <c r="BD14" i="16"/>
  <c r="AZ14" i="16"/>
  <c r="AY14" i="16"/>
  <c r="AU14" i="16"/>
  <c r="AT14" i="16"/>
  <c r="AO14" i="16"/>
  <c r="AK14" i="16"/>
  <c r="AJ14" i="16"/>
  <c r="AE14" i="16"/>
  <c r="AA14" i="16"/>
  <c r="Z14" i="16"/>
  <c r="V14" i="16"/>
  <c r="U14" i="16"/>
  <c r="Q14" i="16"/>
  <c r="P14" i="16"/>
  <c r="K14" i="16"/>
  <c r="G14" i="16"/>
  <c r="F14" i="16"/>
  <c r="C14" i="16"/>
  <c r="B14" i="16"/>
  <c r="A14" i="16"/>
  <c r="EU13" i="16"/>
  <c r="EP13" i="16"/>
  <c r="EK13" i="16"/>
  <c r="EF13" i="16"/>
  <c r="EA13" i="16"/>
  <c r="DV13" i="16"/>
  <c r="DQ13" i="16"/>
  <c r="DL13" i="16"/>
  <c r="DG13" i="16"/>
  <c r="DB13" i="16"/>
  <c r="CW13" i="16"/>
  <c r="CR13" i="16"/>
  <c r="CM13" i="16"/>
  <c r="CH13" i="16"/>
  <c r="CC13" i="16"/>
  <c r="BX13" i="16"/>
  <c r="BS13" i="16"/>
  <c r="BN13" i="16"/>
  <c r="BI13" i="16"/>
  <c r="BD13" i="16"/>
  <c r="AY13" i="16"/>
  <c r="AT13" i="16"/>
  <c r="AO13" i="16"/>
  <c r="AJ13" i="16"/>
  <c r="AE13" i="16"/>
  <c r="Z13" i="16"/>
  <c r="U13" i="16"/>
  <c r="P13" i="16"/>
  <c r="K13" i="16"/>
  <c r="F13" i="16"/>
  <c r="C13" i="16"/>
  <c r="B13" i="16"/>
  <c r="A13" i="16"/>
  <c r="EU12" i="16"/>
  <c r="EP12" i="16"/>
  <c r="EL12" i="16"/>
  <c r="EK12" i="16"/>
  <c r="EF12" i="16"/>
  <c r="EA12" i="16"/>
  <c r="DV12" i="16"/>
  <c r="DQ12" i="16"/>
  <c r="DL12" i="16"/>
  <c r="DG12" i="16"/>
  <c r="DB12" i="16"/>
  <c r="CW12" i="16"/>
  <c r="CR12" i="16"/>
  <c r="CN12" i="16"/>
  <c r="CM12" i="16"/>
  <c r="CH12" i="16"/>
  <c r="CC12" i="16"/>
  <c r="BY12" i="16"/>
  <c r="BX12" i="16"/>
  <c r="BS12" i="16"/>
  <c r="BN12" i="16"/>
  <c r="BI12" i="16"/>
  <c r="BD12" i="16"/>
  <c r="AY12" i="16"/>
  <c r="AT12" i="16"/>
  <c r="AO12" i="16"/>
  <c r="AJ12" i="16"/>
  <c r="AE12" i="16"/>
  <c r="Z12" i="16"/>
  <c r="U12" i="16"/>
  <c r="P12" i="16"/>
  <c r="L12" i="16"/>
  <c r="K12" i="16"/>
  <c r="F12" i="16"/>
  <c r="C12" i="16"/>
  <c r="B12" i="16"/>
  <c r="A12" i="16"/>
  <c r="EU11" i="16"/>
  <c r="EQ11" i="16"/>
  <c r="EP11" i="16"/>
  <c r="EK11" i="16"/>
  <c r="EF11" i="16"/>
  <c r="EB11" i="16"/>
  <c r="EA11" i="16"/>
  <c r="DW11" i="16"/>
  <c r="DV11" i="16"/>
  <c r="DQ11" i="16"/>
  <c r="DL11" i="16"/>
  <c r="DG11" i="16"/>
  <c r="DC11" i="16"/>
  <c r="DB11" i="16"/>
  <c r="CX11" i="16"/>
  <c r="CW11" i="16"/>
  <c r="CR11" i="16"/>
  <c r="CM11" i="16"/>
  <c r="CH11" i="16"/>
  <c r="CC11" i="16"/>
  <c r="BY11" i="16"/>
  <c r="BX11" i="16"/>
  <c r="BT11" i="16"/>
  <c r="BS11" i="16"/>
  <c r="BN11" i="16"/>
  <c r="BI11" i="16"/>
  <c r="BE11" i="16"/>
  <c r="BD11" i="16"/>
  <c r="AY11" i="16"/>
  <c r="AU11" i="16"/>
  <c r="AT11" i="16"/>
  <c r="AO11" i="16"/>
  <c r="AJ11" i="16"/>
  <c r="AE11" i="16"/>
  <c r="Z11" i="16"/>
  <c r="U11" i="16"/>
  <c r="Q11" i="16"/>
  <c r="P11" i="16"/>
  <c r="L11" i="16"/>
  <c r="K11" i="16"/>
  <c r="F11" i="16"/>
  <c r="C11" i="16"/>
  <c r="B11" i="16"/>
  <c r="A11" i="16"/>
  <c r="EU10" i="16"/>
  <c r="EP10" i="16"/>
  <c r="EK10" i="16"/>
  <c r="EF10" i="16"/>
  <c r="EA10" i="16"/>
  <c r="DV10" i="16"/>
  <c r="DQ10" i="16"/>
  <c r="DL10" i="16"/>
  <c r="DG10" i="16"/>
  <c r="DB10" i="16"/>
  <c r="CW10" i="16"/>
  <c r="CR10" i="16"/>
  <c r="CM10" i="16"/>
  <c r="CI10" i="16"/>
  <c r="CH10" i="16"/>
  <c r="CC10" i="16"/>
  <c r="BX10" i="16"/>
  <c r="BS10" i="16"/>
  <c r="BN10" i="16"/>
  <c r="BI10" i="16"/>
  <c r="BD10" i="16"/>
  <c r="AY10" i="16"/>
  <c r="AT10" i="16"/>
  <c r="AO10" i="16"/>
  <c r="AJ10" i="16"/>
  <c r="AF10" i="16"/>
  <c r="AE10" i="16"/>
  <c r="Z10" i="16"/>
  <c r="U10" i="16"/>
  <c r="P10" i="16"/>
  <c r="L10" i="16"/>
  <c r="K10" i="16"/>
  <c r="F10" i="16"/>
  <c r="C10" i="16"/>
  <c r="B10" i="16"/>
  <c r="A10" i="16"/>
  <c r="DC10" i="16" s="1"/>
  <c r="EV9" i="16"/>
  <c r="EU9" i="16"/>
  <c r="EQ9" i="16"/>
  <c r="EP9" i="16"/>
  <c r="EL9" i="16"/>
  <c r="EK9" i="16"/>
  <c r="EG9" i="16"/>
  <c r="EF9" i="16"/>
  <c r="EB9" i="16"/>
  <c r="EA9" i="16"/>
  <c r="DW9" i="16"/>
  <c r="DV9" i="16"/>
  <c r="DR9" i="16"/>
  <c r="DQ9" i="16"/>
  <c r="DL9" i="16"/>
  <c r="DH9" i="16"/>
  <c r="DG9" i="16"/>
  <c r="DC9" i="16"/>
  <c r="DB9" i="16"/>
  <c r="CX9" i="16"/>
  <c r="CW9" i="16"/>
  <c r="CS9" i="16"/>
  <c r="CR9" i="16"/>
  <c r="CN9" i="16"/>
  <c r="CM9" i="16"/>
  <c r="CI9" i="16"/>
  <c r="CH9" i="16"/>
  <c r="CD9" i="16"/>
  <c r="CC9" i="16"/>
  <c r="BX9" i="16"/>
  <c r="BT9" i="16"/>
  <c r="BS9" i="16"/>
  <c r="BO9" i="16"/>
  <c r="BN9" i="16"/>
  <c r="BJ9" i="16"/>
  <c r="BI9" i="16"/>
  <c r="BE9" i="16"/>
  <c r="BD9" i="16"/>
  <c r="AZ9" i="16"/>
  <c r="AY9" i="16"/>
  <c r="AU9" i="16"/>
  <c r="AT9" i="16"/>
  <c r="AP9" i="16"/>
  <c r="AO9" i="16"/>
  <c r="AJ9" i="16"/>
  <c r="AF9" i="16"/>
  <c r="AE9" i="16"/>
  <c r="AA9" i="16"/>
  <c r="Z9" i="16"/>
  <c r="V9" i="16"/>
  <c r="U9" i="16"/>
  <c r="Q9" i="16"/>
  <c r="P9" i="16"/>
  <c r="L9" i="16"/>
  <c r="K9" i="16"/>
  <c r="G9" i="16"/>
  <c r="F9" i="16"/>
  <c r="C9" i="16"/>
  <c r="B9" i="16"/>
  <c r="A9" i="16"/>
  <c r="DM9" i="16" s="1"/>
  <c r="EU8" i="16"/>
  <c r="EP8" i="16"/>
  <c r="EL8" i="16"/>
  <c r="EK8" i="16"/>
  <c r="EG8" i="16"/>
  <c r="EF8" i="16"/>
  <c r="EB8" i="16"/>
  <c r="EA8" i="16"/>
  <c r="DW8" i="16"/>
  <c r="DV8" i="16"/>
  <c r="DQ8" i="16"/>
  <c r="DL8" i="16"/>
  <c r="DG8" i="16"/>
  <c r="DB8" i="16"/>
  <c r="CW8" i="16"/>
  <c r="CR8" i="16"/>
  <c r="CN8" i="16"/>
  <c r="CM8" i="16"/>
  <c r="CI8" i="16"/>
  <c r="CH8" i="16"/>
  <c r="CD8" i="16"/>
  <c r="CC8" i="16"/>
  <c r="BX8" i="16"/>
  <c r="BS8" i="16"/>
  <c r="BN8" i="16"/>
  <c r="BI8" i="16"/>
  <c r="BE8" i="16"/>
  <c r="BD8" i="16"/>
  <c r="AY8" i="16"/>
  <c r="AT8" i="16"/>
  <c r="AP8" i="16"/>
  <c r="AO8" i="16"/>
  <c r="AK8" i="16"/>
  <c r="AJ8" i="16"/>
  <c r="AE8" i="16"/>
  <c r="AA8" i="16"/>
  <c r="Z8" i="16"/>
  <c r="U8" i="16"/>
  <c r="P8" i="16"/>
  <c r="K8" i="16"/>
  <c r="G8" i="16"/>
  <c r="F8" i="16"/>
  <c r="C8" i="16"/>
  <c r="B8" i="16"/>
  <c r="A8" i="16"/>
  <c r="EU7" i="16"/>
  <c r="EP7" i="16"/>
  <c r="EK7" i="16"/>
  <c r="EG7" i="16"/>
  <c r="EF7" i="16"/>
  <c r="EB7" i="16"/>
  <c r="EA7" i="16"/>
  <c r="DV7" i="16"/>
  <c r="DR7" i="16"/>
  <c r="DQ7" i="16"/>
  <c r="DM7" i="16"/>
  <c r="DL7" i="16"/>
  <c r="DG7" i="16"/>
  <c r="DB7" i="16"/>
  <c r="CW7" i="16"/>
  <c r="CS7" i="16"/>
  <c r="CR7" i="16"/>
  <c r="CM7" i="16"/>
  <c r="CI7" i="16"/>
  <c r="CH7" i="16"/>
  <c r="CC7" i="16"/>
  <c r="BX7" i="16"/>
  <c r="BS7" i="16"/>
  <c r="BO7" i="16"/>
  <c r="BN7" i="16"/>
  <c r="BI7" i="16"/>
  <c r="BE7" i="16"/>
  <c r="BD7" i="16"/>
  <c r="AY7" i="16"/>
  <c r="AT7" i="16"/>
  <c r="AO7" i="16"/>
  <c r="AK7" i="16"/>
  <c r="AJ7" i="16"/>
  <c r="AH35" i="16" s="1"/>
  <c r="AE7" i="16"/>
  <c r="AA7" i="16"/>
  <c r="Z7" i="16"/>
  <c r="V7" i="16"/>
  <c r="U7" i="16"/>
  <c r="Q7" i="16"/>
  <c r="P7" i="16"/>
  <c r="L7" i="16"/>
  <c r="K7" i="16"/>
  <c r="F7" i="16"/>
  <c r="C7" i="16"/>
  <c r="B7" i="16"/>
  <c r="A7" i="16"/>
  <c r="EV6" i="16"/>
  <c r="EU6" i="16"/>
  <c r="EQ6" i="16"/>
  <c r="EP6" i="16"/>
  <c r="EL6" i="16"/>
  <c r="EK6" i="16"/>
  <c r="EF6" i="16"/>
  <c r="EA6" i="16"/>
  <c r="DW6" i="16"/>
  <c r="DV6" i="16"/>
  <c r="DQ6" i="16"/>
  <c r="DM6" i="16"/>
  <c r="DL6" i="16"/>
  <c r="DH6" i="16"/>
  <c r="DG6" i="16"/>
  <c r="DC6" i="16"/>
  <c r="DB6" i="16"/>
  <c r="CX6" i="16"/>
  <c r="CW6" i="16"/>
  <c r="CR6" i="16"/>
  <c r="CM6" i="16"/>
  <c r="CH6" i="16"/>
  <c r="CD6" i="16"/>
  <c r="CC6" i="16"/>
  <c r="BX6" i="16"/>
  <c r="BT6" i="16"/>
  <c r="BS6" i="16"/>
  <c r="BO6" i="16"/>
  <c r="BN6" i="16"/>
  <c r="BJ6" i="16"/>
  <c r="BI6" i="16"/>
  <c r="BD6" i="16"/>
  <c r="AY6" i="16"/>
  <c r="AU6" i="16"/>
  <c r="AT6" i="16"/>
  <c r="AP6" i="16"/>
  <c r="AO6" i="16"/>
  <c r="AK6" i="16"/>
  <c r="AJ6" i="16"/>
  <c r="AF6" i="16"/>
  <c r="AE6" i="16"/>
  <c r="AA6" i="16"/>
  <c r="Z6" i="16"/>
  <c r="V6" i="16"/>
  <c r="U6" i="16"/>
  <c r="P6" i="16"/>
  <c r="L6" i="16"/>
  <c r="K6" i="16"/>
  <c r="G6" i="16"/>
  <c r="F6" i="16"/>
  <c r="C6" i="16"/>
  <c r="B6" i="16"/>
  <c r="A6" i="16"/>
  <c r="EU5" i="16"/>
  <c r="EP5" i="16"/>
  <c r="EL5" i="16"/>
  <c r="EK5" i="16"/>
  <c r="EI35" i="16" s="1"/>
  <c r="EF5" i="16"/>
  <c r="EA5" i="16"/>
  <c r="DV5" i="16"/>
  <c r="DQ5" i="16"/>
  <c r="DL5" i="16"/>
  <c r="DG5" i="16"/>
  <c r="DB5" i="16"/>
  <c r="CX5" i="16"/>
  <c r="CW5" i="16"/>
  <c r="CS5" i="16"/>
  <c r="CR5" i="16"/>
  <c r="CP35" i="16" s="1"/>
  <c r="CM5" i="16"/>
  <c r="CH5" i="16"/>
  <c r="CC5" i="16"/>
  <c r="BX5" i="16"/>
  <c r="BS5" i="16"/>
  <c r="BN5" i="16"/>
  <c r="BI5" i="16"/>
  <c r="BD5" i="16"/>
  <c r="AY5" i="16"/>
  <c r="AU5" i="16"/>
  <c r="AT5" i="16"/>
  <c r="AR35" i="16" s="1"/>
  <c r="AP5" i="16"/>
  <c r="AO5" i="16"/>
  <c r="AK5" i="16"/>
  <c r="AJ5" i="16"/>
  <c r="AE5" i="16"/>
  <c r="Z5" i="16"/>
  <c r="U5" i="16"/>
  <c r="P5" i="16"/>
  <c r="K5" i="16"/>
  <c r="F5" i="16"/>
  <c r="C5" i="16"/>
  <c r="B5" i="16"/>
  <c r="A5" i="16"/>
  <c r="EV4" i="16"/>
  <c r="EU4" i="16"/>
  <c r="ES35" i="16" s="1"/>
  <c r="EP4" i="16"/>
  <c r="EK4" i="16"/>
  <c r="EF4" i="16"/>
  <c r="EA4" i="16"/>
  <c r="DV4" i="16"/>
  <c r="DQ4" i="16"/>
  <c r="DL4" i="16"/>
  <c r="DG4" i="16"/>
  <c r="DB4" i="16"/>
  <c r="CW4" i="16"/>
  <c r="CR4" i="16"/>
  <c r="CM4" i="16"/>
  <c r="CI4" i="16"/>
  <c r="CH4" i="16"/>
  <c r="CD4" i="16"/>
  <c r="CC4" i="16"/>
  <c r="BX4" i="16"/>
  <c r="BS4" i="16"/>
  <c r="BN4" i="16"/>
  <c r="BI4" i="16"/>
  <c r="BD4" i="16"/>
  <c r="AY4" i="16"/>
  <c r="AT4" i="16"/>
  <c r="AP4" i="16"/>
  <c r="AO4" i="16"/>
  <c r="AK4" i="16"/>
  <c r="AJ4" i="16"/>
  <c r="AF4" i="16"/>
  <c r="AE4" i="16"/>
  <c r="Z4" i="16"/>
  <c r="U4" i="16"/>
  <c r="P4" i="16"/>
  <c r="K4" i="16"/>
  <c r="F4" i="16"/>
  <c r="C4" i="16"/>
  <c r="B4" i="16"/>
  <c r="A4" i="16"/>
  <c r="DC4" i="16" s="1"/>
  <c r="ES2" i="16"/>
  <c r="EN2" i="16"/>
  <c r="EI2" i="16"/>
  <c r="ED2" i="16"/>
  <c r="DY2" i="16"/>
  <c r="DT2" i="16"/>
  <c r="DO2" i="16"/>
  <c r="DJ2" i="16"/>
  <c r="DE2" i="16"/>
  <c r="CZ2" i="16"/>
  <c r="CU2" i="16"/>
  <c r="CP2" i="16"/>
  <c r="CK2" i="16"/>
  <c r="CF2" i="16"/>
  <c r="CA2" i="16"/>
  <c r="BV2" i="16"/>
  <c r="BQ2" i="16"/>
  <c r="BL2" i="16"/>
  <c r="BG2" i="16"/>
  <c r="BB2" i="16"/>
  <c r="AW2" i="16"/>
  <c r="AR2" i="16"/>
  <c r="AM2" i="16"/>
  <c r="AH2" i="16"/>
  <c r="AC2" i="16"/>
  <c r="X2" i="16"/>
  <c r="S2" i="16"/>
  <c r="N2" i="16"/>
  <c r="I2" i="16"/>
  <c r="D2" i="16"/>
  <c r="A1" i="16"/>
  <c r="ES40" i="15"/>
  <c r="EN40" i="15"/>
  <c r="EI40" i="15"/>
  <c r="ED40" i="15"/>
  <c r="DY40" i="15"/>
  <c r="DT40" i="15"/>
  <c r="DO40" i="15"/>
  <c r="DJ40" i="15"/>
  <c r="DE40" i="15"/>
  <c r="CZ40" i="15"/>
  <c r="CU40" i="15"/>
  <c r="CP40" i="15"/>
  <c r="CK40" i="15"/>
  <c r="CF40" i="15"/>
  <c r="CA40" i="15"/>
  <c r="BV40" i="15"/>
  <c r="BQ40" i="15"/>
  <c r="BL40" i="15"/>
  <c r="BG40" i="15"/>
  <c r="BB40" i="15"/>
  <c r="AW40" i="15"/>
  <c r="AR40" i="15"/>
  <c r="AM40" i="15"/>
  <c r="AH40" i="15"/>
  <c r="AC40" i="15"/>
  <c r="X40" i="15"/>
  <c r="S40" i="15"/>
  <c r="N40" i="15"/>
  <c r="I40" i="15"/>
  <c r="D40" i="15"/>
  <c r="ES39" i="15"/>
  <c r="EN39" i="15"/>
  <c r="EI39" i="15"/>
  <c r="ED39" i="15"/>
  <c r="DY39" i="15"/>
  <c r="DT39" i="15"/>
  <c r="DO39" i="15"/>
  <c r="DJ39" i="15"/>
  <c r="DE39" i="15"/>
  <c r="CZ39" i="15"/>
  <c r="CU39" i="15"/>
  <c r="CP39" i="15"/>
  <c r="CK39" i="15"/>
  <c r="CF39" i="15"/>
  <c r="CA39" i="15"/>
  <c r="BV39" i="15"/>
  <c r="BQ39" i="15"/>
  <c r="BL39" i="15"/>
  <c r="BG39" i="15"/>
  <c r="BB39" i="15"/>
  <c r="AW39" i="15"/>
  <c r="AR39" i="15"/>
  <c r="AM39" i="15"/>
  <c r="AH39" i="15"/>
  <c r="AC39" i="15"/>
  <c r="X39" i="15"/>
  <c r="S39" i="15"/>
  <c r="N39" i="15"/>
  <c r="I39" i="15"/>
  <c r="D39" i="15"/>
  <c r="ES38" i="15"/>
  <c r="EN38" i="15"/>
  <c r="EI38" i="15"/>
  <c r="ED38" i="15"/>
  <c r="DY38" i="15"/>
  <c r="DT38" i="15"/>
  <c r="DO38" i="15"/>
  <c r="DJ38" i="15"/>
  <c r="DE38" i="15"/>
  <c r="CZ38" i="15"/>
  <c r="CU38" i="15"/>
  <c r="CP38" i="15"/>
  <c r="CK38" i="15"/>
  <c r="CF38" i="15"/>
  <c r="CA38" i="15"/>
  <c r="BV38" i="15"/>
  <c r="BQ38" i="15"/>
  <c r="BL38" i="15"/>
  <c r="BG38" i="15"/>
  <c r="BB38" i="15"/>
  <c r="AW38" i="15"/>
  <c r="AR38" i="15"/>
  <c r="AM38" i="15"/>
  <c r="AH38" i="15"/>
  <c r="AC38" i="15"/>
  <c r="X38" i="15"/>
  <c r="S38" i="15"/>
  <c r="N38" i="15"/>
  <c r="I38" i="15"/>
  <c r="D38" i="15"/>
  <c r="EV34" i="15"/>
  <c r="EU34" i="15"/>
  <c r="EQ34" i="15"/>
  <c r="EP34" i="15"/>
  <c r="EL34" i="15"/>
  <c r="EK34" i="15"/>
  <c r="EG34" i="15"/>
  <c r="EF34" i="15"/>
  <c r="EB34" i="15"/>
  <c r="EA34" i="15"/>
  <c r="DW34" i="15"/>
  <c r="DV34" i="15"/>
  <c r="DR34" i="15"/>
  <c r="DQ34" i="15"/>
  <c r="DL34" i="15"/>
  <c r="DH34" i="15"/>
  <c r="DG34" i="15"/>
  <c r="DC34" i="15"/>
  <c r="DB34" i="15"/>
  <c r="CX34" i="15"/>
  <c r="CW34" i="15"/>
  <c r="CS34" i="15"/>
  <c r="CR34" i="15"/>
  <c r="CN34" i="15"/>
  <c r="CM34" i="15"/>
  <c r="CI34" i="15"/>
  <c r="CH34" i="15"/>
  <c r="CD34" i="15"/>
  <c r="CC34" i="15"/>
  <c r="BX34" i="15"/>
  <c r="BT34" i="15"/>
  <c r="BS34" i="15"/>
  <c r="BO34" i="15"/>
  <c r="BN34" i="15"/>
  <c r="BJ34" i="15"/>
  <c r="BI34" i="15"/>
  <c r="BE34" i="15"/>
  <c r="BD34" i="15"/>
  <c r="AZ34" i="15"/>
  <c r="AY34" i="15"/>
  <c r="AU34" i="15"/>
  <c r="AT34" i="15"/>
  <c r="AP34" i="15"/>
  <c r="AO34" i="15"/>
  <c r="AJ34" i="15"/>
  <c r="AF34" i="15"/>
  <c r="AE34" i="15"/>
  <c r="AA34" i="15"/>
  <c r="Z34" i="15"/>
  <c r="V34" i="15"/>
  <c r="U34" i="15"/>
  <c r="Q34" i="15"/>
  <c r="P34" i="15"/>
  <c r="L34" i="15"/>
  <c r="K34" i="15"/>
  <c r="G34" i="15"/>
  <c r="F34" i="15"/>
  <c r="C34" i="15"/>
  <c r="B34" i="15"/>
  <c r="A34" i="15"/>
  <c r="DM34" i="15" s="1"/>
  <c r="EU33" i="15"/>
  <c r="EP33" i="15"/>
  <c r="EL33" i="15"/>
  <c r="EK33" i="15"/>
  <c r="EG33" i="15"/>
  <c r="EF33" i="15"/>
  <c r="EB33" i="15"/>
  <c r="EA33" i="15"/>
  <c r="DV33" i="15"/>
  <c r="DR33" i="15"/>
  <c r="DQ33" i="15"/>
  <c r="DM33" i="15"/>
  <c r="DL33" i="15"/>
  <c r="DG33" i="15"/>
  <c r="DB33" i="15"/>
  <c r="CW33" i="15"/>
  <c r="CR33" i="15"/>
  <c r="CN33" i="15"/>
  <c r="CM33" i="15"/>
  <c r="CH33" i="15"/>
  <c r="CD33" i="15"/>
  <c r="CC33" i="15"/>
  <c r="BY33" i="15"/>
  <c r="BX33" i="15"/>
  <c r="BT33" i="15"/>
  <c r="BS33" i="15"/>
  <c r="BN33" i="15"/>
  <c r="BJ33" i="15"/>
  <c r="BI33" i="15"/>
  <c r="BD33" i="15"/>
  <c r="AY33" i="15"/>
  <c r="AT33" i="15"/>
  <c r="AO33" i="15"/>
  <c r="AK33" i="15"/>
  <c r="AJ33" i="15"/>
  <c r="AF33" i="15"/>
  <c r="AE33" i="15"/>
  <c r="AA33" i="15"/>
  <c r="Z33" i="15"/>
  <c r="V33" i="15"/>
  <c r="U33" i="15"/>
  <c r="Q33" i="15"/>
  <c r="P33" i="15"/>
  <c r="K33" i="15"/>
  <c r="F33" i="15"/>
  <c r="C33" i="15"/>
  <c r="B33" i="15"/>
  <c r="A33" i="15"/>
  <c r="EV32" i="15"/>
  <c r="EU32" i="15"/>
  <c r="EQ32" i="15"/>
  <c r="EP32" i="15"/>
  <c r="EL32" i="15"/>
  <c r="EK32" i="15"/>
  <c r="EG32" i="15"/>
  <c r="EF32" i="15"/>
  <c r="EB32" i="15"/>
  <c r="EA32" i="15"/>
  <c r="DV32" i="15"/>
  <c r="DR32" i="15"/>
  <c r="DQ32" i="15"/>
  <c r="DM32" i="15"/>
  <c r="DL32" i="15"/>
  <c r="DG32" i="15"/>
  <c r="DC32" i="15"/>
  <c r="DB32" i="15"/>
  <c r="CX32" i="15"/>
  <c r="CW32" i="15"/>
  <c r="CS32" i="15"/>
  <c r="CR32" i="15"/>
  <c r="CN32" i="15"/>
  <c r="CM32" i="15"/>
  <c r="CH32" i="15"/>
  <c r="CC32" i="15"/>
  <c r="BY32" i="15"/>
  <c r="BX32" i="15"/>
  <c r="BT32" i="15"/>
  <c r="BS32" i="15"/>
  <c r="BO32" i="15"/>
  <c r="BN32" i="15"/>
  <c r="BJ32" i="15"/>
  <c r="BI32" i="15"/>
  <c r="BE32" i="15"/>
  <c r="BD32" i="15"/>
  <c r="AZ32" i="15"/>
  <c r="AY32" i="15"/>
  <c r="AT32" i="15"/>
  <c r="AP32" i="15"/>
  <c r="AO32" i="15"/>
  <c r="AK32" i="15"/>
  <c r="AJ32" i="15"/>
  <c r="AF32" i="15"/>
  <c r="AE32" i="15"/>
  <c r="Z32" i="15"/>
  <c r="V32" i="15"/>
  <c r="U32" i="15"/>
  <c r="Q32" i="15"/>
  <c r="P32" i="15"/>
  <c r="L32" i="15"/>
  <c r="K32" i="15"/>
  <c r="F32" i="15"/>
  <c r="C32" i="15"/>
  <c r="B32" i="15"/>
  <c r="A32" i="15"/>
  <c r="DH32" i="15" s="1"/>
  <c r="EV31" i="15"/>
  <c r="EU31" i="15"/>
  <c r="EQ31" i="15"/>
  <c r="EP31" i="15"/>
  <c r="EL31" i="15"/>
  <c r="EK31" i="15"/>
  <c r="EF31" i="15"/>
  <c r="EB31" i="15"/>
  <c r="EA31" i="15"/>
  <c r="DW31" i="15"/>
  <c r="DV31" i="15"/>
  <c r="DQ31" i="15"/>
  <c r="DL31" i="15"/>
  <c r="DH31" i="15"/>
  <c r="DG31" i="15"/>
  <c r="DC31" i="15"/>
  <c r="DB31" i="15"/>
  <c r="CX31" i="15"/>
  <c r="CW31" i="15"/>
  <c r="CS31" i="15"/>
  <c r="CR31" i="15"/>
  <c r="CN31" i="15"/>
  <c r="CM31" i="15"/>
  <c r="CI31" i="15"/>
  <c r="CH31" i="15"/>
  <c r="CC31" i="15"/>
  <c r="BY31" i="15"/>
  <c r="BX31" i="15"/>
  <c r="BT31" i="15"/>
  <c r="BS31" i="15"/>
  <c r="BO31" i="15"/>
  <c r="BN31" i="15"/>
  <c r="BJ31" i="15"/>
  <c r="BI31" i="15"/>
  <c r="BE31" i="15"/>
  <c r="BD31" i="15"/>
  <c r="AY31" i="15"/>
  <c r="AU31" i="15"/>
  <c r="AT31" i="15"/>
  <c r="AO31" i="15"/>
  <c r="AJ31" i="15"/>
  <c r="AF31" i="15"/>
  <c r="AE31" i="15"/>
  <c r="AA31" i="15"/>
  <c r="Z31" i="15"/>
  <c r="V31" i="15"/>
  <c r="U31" i="15"/>
  <c r="Q31" i="15"/>
  <c r="P31" i="15"/>
  <c r="L31" i="15"/>
  <c r="K31" i="15"/>
  <c r="G31" i="15"/>
  <c r="F31" i="15"/>
  <c r="C31" i="15"/>
  <c r="B31" i="15"/>
  <c r="A31" i="15"/>
  <c r="EU30" i="15"/>
  <c r="EP30" i="15"/>
  <c r="EK30" i="15"/>
  <c r="EF30" i="15"/>
  <c r="EA30" i="15"/>
  <c r="DV30" i="15"/>
  <c r="DQ30" i="15"/>
  <c r="DL30" i="15"/>
  <c r="DG30" i="15"/>
  <c r="DC30" i="15"/>
  <c r="DB30" i="15"/>
  <c r="CW30" i="15"/>
  <c r="CR30" i="15"/>
  <c r="CM30" i="15"/>
  <c r="CH30" i="15"/>
  <c r="CC30" i="15"/>
  <c r="BX30" i="15"/>
  <c r="BS30" i="15"/>
  <c r="BN30" i="15"/>
  <c r="BI30" i="15"/>
  <c r="BD30" i="15"/>
  <c r="AY30" i="15"/>
  <c r="AT30" i="15"/>
  <c r="AO30" i="15"/>
  <c r="AK30" i="15"/>
  <c r="AJ30" i="15"/>
  <c r="AE30" i="15"/>
  <c r="Z30" i="15"/>
  <c r="U30" i="15"/>
  <c r="P30" i="15"/>
  <c r="K30" i="15"/>
  <c r="F30" i="15"/>
  <c r="C30" i="15"/>
  <c r="B30" i="15"/>
  <c r="A30" i="15"/>
  <c r="EB30" i="15" s="1"/>
  <c r="EV29" i="15"/>
  <c r="EU29" i="15"/>
  <c r="EQ29" i="15"/>
  <c r="EP29" i="15"/>
  <c r="EL29" i="15"/>
  <c r="EK29" i="15"/>
  <c r="EG29" i="15"/>
  <c r="EF29" i="15"/>
  <c r="EB29" i="15"/>
  <c r="EA29" i="15"/>
  <c r="DW29" i="15"/>
  <c r="DV29" i="15"/>
  <c r="DR29" i="15"/>
  <c r="DQ29" i="15"/>
  <c r="DL29" i="15"/>
  <c r="DH29" i="15"/>
  <c r="DG29" i="15"/>
  <c r="DC29" i="15"/>
  <c r="DB29" i="15"/>
  <c r="CX29" i="15"/>
  <c r="CW29" i="15"/>
  <c r="CS29" i="15"/>
  <c r="CR29" i="15"/>
  <c r="CN29" i="15"/>
  <c r="CM29" i="15"/>
  <c r="CI29" i="15"/>
  <c r="CH29" i="15"/>
  <c r="CD29" i="15"/>
  <c r="CC29" i="15"/>
  <c r="BX29" i="15"/>
  <c r="BT29" i="15"/>
  <c r="BS29" i="15"/>
  <c r="BO29" i="15"/>
  <c r="BN29" i="15"/>
  <c r="BJ29" i="15"/>
  <c r="BI29" i="15"/>
  <c r="BE29" i="15"/>
  <c r="BD29" i="15"/>
  <c r="AZ29" i="15"/>
  <c r="AY29" i="15"/>
  <c r="AU29" i="15"/>
  <c r="AT29" i="15"/>
  <c r="AP29" i="15"/>
  <c r="AO29" i="15"/>
  <c r="AJ29" i="15"/>
  <c r="AF29" i="15"/>
  <c r="AE29" i="15"/>
  <c r="AA29" i="15"/>
  <c r="Z29" i="15"/>
  <c r="V29" i="15"/>
  <c r="U29" i="15"/>
  <c r="Q29" i="15"/>
  <c r="P29" i="15"/>
  <c r="L29" i="15"/>
  <c r="K29" i="15"/>
  <c r="G29" i="15"/>
  <c r="F29" i="15"/>
  <c r="C29" i="15"/>
  <c r="B29" i="15"/>
  <c r="A29" i="15"/>
  <c r="DM29" i="15" s="1"/>
  <c r="EU28" i="15"/>
  <c r="EQ28" i="15"/>
  <c r="EP28" i="15"/>
  <c r="EL28" i="15"/>
  <c r="EK28" i="15"/>
  <c r="EG28" i="15"/>
  <c r="EF28" i="15"/>
  <c r="EB28" i="15"/>
  <c r="EA28" i="15"/>
  <c r="DV28" i="15"/>
  <c r="DQ28" i="15"/>
  <c r="DM28" i="15"/>
  <c r="DL28" i="15"/>
  <c r="DG28" i="15"/>
  <c r="DB28" i="15"/>
  <c r="CW28" i="15"/>
  <c r="CS28" i="15"/>
  <c r="CR28" i="15"/>
  <c r="CN28" i="15"/>
  <c r="CM28" i="15"/>
  <c r="CH28" i="15"/>
  <c r="CD28" i="15"/>
  <c r="CC28" i="15"/>
  <c r="BX28" i="15"/>
  <c r="BT28" i="15"/>
  <c r="BS28" i="15"/>
  <c r="BN28" i="15"/>
  <c r="BJ28" i="15"/>
  <c r="BI28" i="15"/>
  <c r="BE28" i="15"/>
  <c r="BD28" i="15"/>
  <c r="AY28" i="15"/>
  <c r="AT28" i="15"/>
  <c r="AP28" i="15"/>
  <c r="AO28" i="15"/>
  <c r="AK28" i="15"/>
  <c r="AJ28" i="15"/>
  <c r="AE28" i="15"/>
  <c r="Z28" i="15"/>
  <c r="U28" i="15"/>
  <c r="P28" i="15"/>
  <c r="L28" i="15"/>
  <c r="K28" i="15"/>
  <c r="F28" i="15"/>
  <c r="C28" i="15"/>
  <c r="B28" i="15"/>
  <c r="A28" i="15"/>
  <c r="EU27" i="15"/>
  <c r="EQ27" i="15"/>
  <c r="EP27" i="15"/>
  <c r="EL27" i="15"/>
  <c r="EK27" i="15"/>
  <c r="EF27" i="15"/>
  <c r="EB27" i="15"/>
  <c r="EA27" i="15"/>
  <c r="DW27" i="15"/>
  <c r="DV27" i="15"/>
  <c r="DQ27" i="15"/>
  <c r="DM27" i="15"/>
  <c r="DL27" i="15"/>
  <c r="DG27" i="15"/>
  <c r="DB27" i="15"/>
  <c r="CX27" i="15"/>
  <c r="CW27" i="15"/>
  <c r="CS27" i="15"/>
  <c r="CR27" i="15"/>
  <c r="CM27" i="15"/>
  <c r="CH27" i="15"/>
  <c r="CD27" i="15"/>
  <c r="CC27" i="15"/>
  <c r="BX27" i="15"/>
  <c r="BS27" i="15"/>
  <c r="BO27" i="15"/>
  <c r="BN27" i="15"/>
  <c r="BJ27" i="15"/>
  <c r="BI27" i="15"/>
  <c r="BE27" i="15"/>
  <c r="BD27" i="15"/>
  <c r="AZ27" i="15"/>
  <c r="AY27" i="15"/>
  <c r="AT27" i="15"/>
  <c r="AO27" i="15"/>
  <c r="AK27" i="15"/>
  <c r="AJ27" i="15"/>
  <c r="AE27" i="15"/>
  <c r="AA27" i="15"/>
  <c r="Z27" i="15"/>
  <c r="U27" i="15"/>
  <c r="Q27" i="15"/>
  <c r="P27" i="15"/>
  <c r="L27" i="15"/>
  <c r="K27" i="15"/>
  <c r="G27" i="15"/>
  <c r="F27" i="15"/>
  <c r="C27" i="15"/>
  <c r="B27" i="15"/>
  <c r="A27" i="15"/>
  <c r="EV26" i="15"/>
  <c r="EU26" i="15"/>
  <c r="EP26" i="15"/>
  <c r="EL26" i="15"/>
  <c r="EK26" i="15"/>
  <c r="EG26" i="15"/>
  <c r="EF26" i="15"/>
  <c r="EB26" i="15"/>
  <c r="EA26" i="15"/>
  <c r="DW26" i="15"/>
  <c r="DV26" i="15"/>
  <c r="DR26" i="15"/>
  <c r="DQ26" i="15"/>
  <c r="DL26" i="15"/>
  <c r="DG26" i="15"/>
  <c r="DB26" i="15"/>
  <c r="CX26" i="15"/>
  <c r="CW26" i="15"/>
  <c r="CS26" i="15"/>
  <c r="CR26" i="15"/>
  <c r="CN26" i="15"/>
  <c r="CM26" i="15"/>
  <c r="CH26" i="15"/>
  <c r="CD26" i="15"/>
  <c r="CC26" i="15"/>
  <c r="BY26" i="15"/>
  <c r="BX26" i="15"/>
  <c r="BS26" i="15"/>
  <c r="BN26" i="15"/>
  <c r="BJ26" i="15"/>
  <c r="BI26" i="15"/>
  <c r="BE26" i="15"/>
  <c r="BD26" i="15"/>
  <c r="AZ26" i="15"/>
  <c r="AY26" i="15"/>
  <c r="AU26" i="15"/>
  <c r="AT26" i="15"/>
  <c r="AO26" i="15"/>
  <c r="AK26" i="15"/>
  <c r="AJ26" i="15"/>
  <c r="AE26" i="15"/>
  <c r="Z26" i="15"/>
  <c r="V26" i="15"/>
  <c r="U26" i="15"/>
  <c r="Q26" i="15"/>
  <c r="P26" i="15"/>
  <c r="L26" i="15"/>
  <c r="K26" i="15"/>
  <c r="G26" i="15"/>
  <c r="F26" i="15"/>
  <c r="C26" i="15"/>
  <c r="B26" i="15"/>
  <c r="A26" i="15"/>
  <c r="EV25" i="15"/>
  <c r="EU25" i="15"/>
  <c r="EP25" i="15"/>
  <c r="EK25" i="15"/>
  <c r="EF25" i="15"/>
  <c r="EA25" i="15"/>
  <c r="DV25" i="15"/>
  <c r="DR25" i="15"/>
  <c r="DQ25" i="15"/>
  <c r="DL25" i="15"/>
  <c r="DG25" i="15"/>
  <c r="DB25" i="15"/>
  <c r="CX25" i="15"/>
  <c r="CW25" i="15"/>
  <c r="CR25" i="15"/>
  <c r="CM25" i="15"/>
  <c r="CI25" i="15"/>
  <c r="CH25" i="15"/>
  <c r="CD25" i="15"/>
  <c r="CC25" i="15"/>
  <c r="BX25" i="15"/>
  <c r="BS25" i="15"/>
  <c r="BN25" i="15"/>
  <c r="BJ25" i="15"/>
  <c r="BI25" i="15"/>
  <c r="BD25" i="15"/>
  <c r="AY25" i="15"/>
  <c r="AT25" i="15"/>
  <c r="AP25" i="15"/>
  <c r="AO25" i="15"/>
  <c r="AK25" i="15"/>
  <c r="AJ25" i="15"/>
  <c r="AF25" i="15"/>
  <c r="AE25" i="15"/>
  <c r="Z25" i="15"/>
  <c r="U25" i="15"/>
  <c r="P25" i="15"/>
  <c r="L25" i="15"/>
  <c r="K25" i="15"/>
  <c r="F25" i="15"/>
  <c r="C25" i="15"/>
  <c r="B25" i="15"/>
  <c r="A25" i="15"/>
  <c r="EV24" i="15"/>
  <c r="EU24" i="15"/>
  <c r="EQ24" i="15"/>
  <c r="EP24" i="15"/>
  <c r="EL24" i="15"/>
  <c r="EK24" i="15"/>
  <c r="EF24" i="15"/>
  <c r="EB24" i="15"/>
  <c r="EA24" i="15"/>
  <c r="DW24" i="15"/>
  <c r="DV24" i="15"/>
  <c r="DQ24" i="15"/>
  <c r="DL24" i="15"/>
  <c r="DH24" i="15"/>
  <c r="DG24" i="15"/>
  <c r="DC24" i="15"/>
  <c r="DB24" i="15"/>
  <c r="CX24" i="15"/>
  <c r="CW24" i="15"/>
  <c r="CS24" i="15"/>
  <c r="CR24" i="15"/>
  <c r="CM24" i="15"/>
  <c r="CI24" i="15"/>
  <c r="CH24" i="15"/>
  <c r="CC24" i="15"/>
  <c r="BX24" i="15"/>
  <c r="BS24" i="15"/>
  <c r="BO24" i="15"/>
  <c r="BN24" i="15"/>
  <c r="BJ24" i="15"/>
  <c r="BI24" i="15"/>
  <c r="BE24" i="15"/>
  <c r="BD24" i="15"/>
  <c r="AZ24" i="15"/>
  <c r="AY24" i="15"/>
  <c r="AU24" i="15"/>
  <c r="AT24" i="15"/>
  <c r="AO24" i="15"/>
  <c r="AK24" i="15"/>
  <c r="AJ24" i="15"/>
  <c r="AE24" i="15"/>
  <c r="Z24" i="15"/>
  <c r="V24" i="15"/>
  <c r="U24" i="15"/>
  <c r="Q24" i="15"/>
  <c r="P24" i="15"/>
  <c r="L24" i="15"/>
  <c r="K24" i="15"/>
  <c r="G24" i="15"/>
  <c r="F24" i="15"/>
  <c r="C24" i="15"/>
  <c r="B24" i="15"/>
  <c r="A24" i="15"/>
  <c r="AA24" i="15" s="1"/>
  <c r="EU23" i="15"/>
  <c r="EP23" i="15"/>
  <c r="EK23" i="15"/>
  <c r="EF23" i="15"/>
  <c r="EB23" i="15"/>
  <c r="EA23" i="15"/>
  <c r="DW23" i="15"/>
  <c r="DV23" i="15"/>
  <c r="DR23" i="15"/>
  <c r="DQ23" i="15"/>
  <c r="DL23" i="15"/>
  <c r="DH23" i="15"/>
  <c r="DG23" i="15"/>
  <c r="DB23" i="15"/>
  <c r="CW23" i="15"/>
  <c r="CS23" i="15"/>
  <c r="CR23" i="15"/>
  <c r="CN23" i="15"/>
  <c r="CM23" i="15"/>
  <c r="CI23" i="15"/>
  <c r="CH23" i="15"/>
  <c r="CD23" i="15"/>
  <c r="CC23" i="15"/>
  <c r="BX23" i="15"/>
  <c r="BS23" i="15"/>
  <c r="BO23" i="15"/>
  <c r="BN23" i="15"/>
  <c r="BI23" i="15"/>
  <c r="BD23" i="15"/>
  <c r="AY23" i="15"/>
  <c r="AT23" i="15"/>
  <c r="AP23" i="15"/>
  <c r="AO23" i="15"/>
  <c r="AJ23" i="15"/>
  <c r="AE23" i="15"/>
  <c r="Z23" i="15"/>
  <c r="U23" i="15"/>
  <c r="Q23" i="15"/>
  <c r="P23" i="15"/>
  <c r="L23" i="15"/>
  <c r="K23" i="15"/>
  <c r="F23" i="15"/>
  <c r="C23" i="15"/>
  <c r="B23" i="15"/>
  <c r="A23" i="15"/>
  <c r="EG23" i="15" s="1"/>
  <c r="EU22" i="15"/>
  <c r="EP22" i="15"/>
  <c r="EK22" i="15"/>
  <c r="EG22" i="15"/>
  <c r="EF22" i="15"/>
  <c r="EB22" i="15"/>
  <c r="EA22" i="15"/>
  <c r="DV22" i="15"/>
  <c r="DQ22" i="15"/>
  <c r="DM22" i="15"/>
  <c r="DL22" i="15"/>
  <c r="DG22" i="15"/>
  <c r="DB22" i="15"/>
  <c r="CX22" i="15"/>
  <c r="CW22" i="15"/>
  <c r="CR22" i="15"/>
  <c r="CN22" i="15"/>
  <c r="CM22" i="15"/>
  <c r="CI22" i="15"/>
  <c r="CH22" i="15"/>
  <c r="CD22" i="15"/>
  <c r="CC22" i="15"/>
  <c r="BX22" i="15"/>
  <c r="BT22" i="15"/>
  <c r="BS22" i="15"/>
  <c r="BN22" i="15"/>
  <c r="BI22" i="15"/>
  <c r="BD22" i="15"/>
  <c r="AY22" i="15"/>
  <c r="AU22" i="15"/>
  <c r="AT22" i="15"/>
  <c r="AP22" i="15"/>
  <c r="AO22" i="15"/>
  <c r="AJ22" i="15"/>
  <c r="AE22" i="15"/>
  <c r="Z22" i="15"/>
  <c r="U22" i="15"/>
  <c r="Q22" i="15"/>
  <c r="P22" i="15"/>
  <c r="K22" i="15"/>
  <c r="F22" i="15"/>
  <c r="C22" i="15"/>
  <c r="B22" i="15"/>
  <c r="A22" i="15"/>
  <c r="EU21" i="15"/>
  <c r="EP21" i="15"/>
  <c r="EK21" i="15"/>
  <c r="EF21" i="15"/>
  <c r="EB21" i="15"/>
  <c r="EA21" i="15"/>
  <c r="DV21" i="15"/>
  <c r="DQ21" i="15"/>
  <c r="DL21" i="15"/>
  <c r="DG21" i="15"/>
  <c r="DB21" i="15"/>
  <c r="CX21" i="15"/>
  <c r="CW21" i="15"/>
  <c r="CR21" i="15"/>
  <c r="CM21" i="15"/>
  <c r="CI21" i="15"/>
  <c r="CH21" i="15"/>
  <c r="CD21" i="15"/>
  <c r="CC21" i="15"/>
  <c r="BY21" i="15"/>
  <c r="BX21" i="15"/>
  <c r="BS21" i="15"/>
  <c r="BO21" i="15"/>
  <c r="BN21" i="15"/>
  <c r="BI21" i="15"/>
  <c r="BD21" i="15"/>
  <c r="AY21" i="15"/>
  <c r="AT21" i="15"/>
  <c r="AP21" i="15"/>
  <c r="AO21" i="15"/>
  <c r="AJ21" i="15"/>
  <c r="AE21" i="15"/>
  <c r="AA21" i="15"/>
  <c r="Z21" i="15"/>
  <c r="U21" i="15"/>
  <c r="P21" i="15"/>
  <c r="K21" i="15"/>
  <c r="F21" i="15"/>
  <c r="C21" i="15"/>
  <c r="B21" i="15"/>
  <c r="A21" i="15"/>
  <c r="EV21" i="15" s="1"/>
  <c r="EV20" i="15"/>
  <c r="EU20" i="15"/>
  <c r="EP20" i="15"/>
  <c r="EK20" i="15"/>
  <c r="EG20" i="15"/>
  <c r="EF20" i="15"/>
  <c r="EA20" i="15"/>
  <c r="DV20" i="15"/>
  <c r="DQ20" i="15"/>
  <c r="DL20" i="15"/>
  <c r="DG20" i="15"/>
  <c r="DB20" i="15"/>
  <c r="CW20" i="15"/>
  <c r="CR20" i="15"/>
  <c r="CN20" i="15"/>
  <c r="CM20" i="15"/>
  <c r="CH20" i="15"/>
  <c r="CC20" i="15"/>
  <c r="BY20" i="15"/>
  <c r="BX20" i="15"/>
  <c r="BS20" i="15"/>
  <c r="BN20" i="15"/>
  <c r="BI20" i="15"/>
  <c r="BD20" i="15"/>
  <c r="AY20" i="15"/>
  <c r="AT20" i="15"/>
  <c r="AO20" i="15"/>
  <c r="AJ20" i="15"/>
  <c r="AE20" i="15"/>
  <c r="Z20" i="15"/>
  <c r="U20" i="15"/>
  <c r="Q20" i="15"/>
  <c r="P20" i="15"/>
  <c r="K20" i="15"/>
  <c r="F20" i="15"/>
  <c r="C20" i="15"/>
  <c r="B20" i="15"/>
  <c r="A20" i="15"/>
  <c r="DC20" i="15" s="1"/>
  <c r="EV19" i="15"/>
  <c r="EU19" i="15"/>
  <c r="EQ19" i="15"/>
  <c r="EP19" i="15"/>
  <c r="EL19" i="15"/>
  <c r="EK19" i="15"/>
  <c r="EG19" i="15"/>
  <c r="EF19" i="15"/>
  <c r="EA19" i="15"/>
  <c r="DW19" i="15"/>
  <c r="DV19" i="15"/>
  <c r="DQ19" i="15"/>
  <c r="DM19" i="15"/>
  <c r="DL19" i="15"/>
  <c r="DH19" i="15"/>
  <c r="DG19" i="15"/>
  <c r="DC19" i="15"/>
  <c r="DB19" i="15"/>
  <c r="CX19" i="15"/>
  <c r="CW19" i="15"/>
  <c r="CS19" i="15"/>
  <c r="CR19" i="15"/>
  <c r="CM19" i="15"/>
  <c r="CH19" i="15"/>
  <c r="CD19" i="15"/>
  <c r="CC19" i="15"/>
  <c r="BX19" i="15"/>
  <c r="BT19" i="15"/>
  <c r="BS19" i="15"/>
  <c r="BO19" i="15"/>
  <c r="BN19" i="15"/>
  <c r="BJ19" i="15"/>
  <c r="BI19" i="15"/>
  <c r="BE19" i="15"/>
  <c r="BD19" i="15"/>
  <c r="AY19" i="15"/>
  <c r="AU19" i="15"/>
  <c r="AT19" i="15"/>
  <c r="AP19" i="15"/>
  <c r="AO19" i="15"/>
  <c r="AK19" i="15"/>
  <c r="AJ19" i="15"/>
  <c r="AF19" i="15"/>
  <c r="AE19" i="15"/>
  <c r="AA19" i="15"/>
  <c r="Z19" i="15"/>
  <c r="V19" i="15"/>
  <c r="U19" i="15"/>
  <c r="Q19" i="15"/>
  <c r="P19" i="15"/>
  <c r="K19" i="15"/>
  <c r="G19" i="15"/>
  <c r="F19" i="15"/>
  <c r="C19" i="15"/>
  <c r="B19" i="15"/>
  <c r="A19" i="15"/>
  <c r="EV18" i="15"/>
  <c r="EU18" i="15"/>
  <c r="EQ18" i="15"/>
  <c r="EP18" i="15"/>
  <c r="EL18" i="15"/>
  <c r="EK18" i="15"/>
  <c r="EG18" i="15"/>
  <c r="EF18" i="15"/>
  <c r="EB18" i="15"/>
  <c r="EA18" i="15"/>
  <c r="DV18" i="15"/>
  <c r="DQ18" i="15"/>
  <c r="DM18" i="15"/>
  <c r="DL18" i="15"/>
  <c r="DH18" i="15"/>
  <c r="DG18" i="15"/>
  <c r="DC18" i="15"/>
  <c r="DB18" i="15"/>
  <c r="CX18" i="15"/>
  <c r="CW18" i="15"/>
  <c r="CS18" i="15"/>
  <c r="CR18" i="15"/>
  <c r="CN18" i="15"/>
  <c r="CM18" i="15"/>
  <c r="CH18" i="15"/>
  <c r="CC18" i="15"/>
  <c r="BY18" i="15"/>
  <c r="BX18" i="15"/>
  <c r="BS18" i="15"/>
  <c r="BO18" i="15"/>
  <c r="BN18" i="15"/>
  <c r="BJ18" i="15"/>
  <c r="BI18" i="15"/>
  <c r="BE18" i="15"/>
  <c r="BD18" i="15"/>
  <c r="AZ18" i="15"/>
  <c r="AY18" i="15"/>
  <c r="AU18" i="15"/>
  <c r="AT18" i="15"/>
  <c r="AO18" i="15"/>
  <c r="AJ18" i="15"/>
  <c r="AF18" i="15"/>
  <c r="AE18" i="15"/>
  <c r="AA18" i="15"/>
  <c r="Z18" i="15"/>
  <c r="V18" i="15"/>
  <c r="U18" i="15"/>
  <c r="Q18" i="15"/>
  <c r="P18" i="15"/>
  <c r="L18" i="15"/>
  <c r="K18" i="15"/>
  <c r="G18" i="15"/>
  <c r="F18" i="15"/>
  <c r="C18" i="15"/>
  <c r="B18" i="15"/>
  <c r="A18" i="15"/>
  <c r="BT18" i="15" s="1"/>
  <c r="EV17" i="15"/>
  <c r="EU17" i="15"/>
  <c r="EQ17" i="15"/>
  <c r="EP17" i="15"/>
  <c r="EL17" i="15"/>
  <c r="EK17" i="15"/>
  <c r="EG17" i="15"/>
  <c r="EF17" i="15"/>
  <c r="EB17" i="15"/>
  <c r="EA17" i="15"/>
  <c r="DW17" i="15"/>
  <c r="DV17" i="15"/>
  <c r="DR17" i="15"/>
  <c r="DQ17" i="15"/>
  <c r="DL17" i="15"/>
  <c r="DH17" i="15"/>
  <c r="DG17" i="15"/>
  <c r="DC17" i="15"/>
  <c r="DB17" i="15"/>
  <c r="CX17" i="15"/>
  <c r="CW17" i="15"/>
  <c r="CS17" i="15"/>
  <c r="CR17" i="15"/>
  <c r="CN17" i="15"/>
  <c r="CM17" i="15"/>
  <c r="CI17" i="15"/>
  <c r="CH17" i="15"/>
  <c r="CD17" i="15"/>
  <c r="CC17" i="15"/>
  <c r="BX17" i="15"/>
  <c r="BT17" i="15"/>
  <c r="BS17" i="15"/>
  <c r="BO17" i="15"/>
  <c r="BN17" i="15"/>
  <c r="BJ17" i="15"/>
  <c r="BI17" i="15"/>
  <c r="BE17" i="15"/>
  <c r="BD17" i="15"/>
  <c r="AZ17" i="15"/>
  <c r="AY17" i="15"/>
  <c r="AU17" i="15"/>
  <c r="AT17" i="15"/>
  <c r="AP17" i="15"/>
  <c r="AO17" i="15"/>
  <c r="AJ17" i="15"/>
  <c r="AF17" i="15"/>
  <c r="AE17" i="15"/>
  <c r="AA17" i="15"/>
  <c r="Z17" i="15"/>
  <c r="V17" i="15"/>
  <c r="U17" i="15"/>
  <c r="Q17" i="15"/>
  <c r="P17" i="15"/>
  <c r="L17" i="15"/>
  <c r="K17" i="15"/>
  <c r="G17" i="15"/>
  <c r="F17" i="15"/>
  <c r="C17" i="15"/>
  <c r="B17" i="15"/>
  <c r="A17" i="15"/>
  <c r="DM17" i="15" s="1"/>
  <c r="EU16" i="15"/>
  <c r="EP16" i="15"/>
  <c r="EK16" i="15"/>
  <c r="EF16" i="15"/>
  <c r="EB16" i="15"/>
  <c r="EA16" i="15"/>
  <c r="DV16" i="15"/>
  <c r="DR16" i="15"/>
  <c r="DQ16" i="15"/>
  <c r="DM16" i="15"/>
  <c r="DL16" i="15"/>
  <c r="DH16" i="15"/>
  <c r="DG16" i="15"/>
  <c r="DB16" i="15"/>
  <c r="CW16" i="15"/>
  <c r="CR16" i="15"/>
  <c r="CM16" i="15"/>
  <c r="CI16" i="15"/>
  <c r="CH16" i="15"/>
  <c r="CD16" i="15"/>
  <c r="CC16" i="15"/>
  <c r="BY16" i="15"/>
  <c r="BX16" i="15"/>
  <c r="BT16" i="15"/>
  <c r="BS16" i="15"/>
  <c r="BO16" i="15"/>
  <c r="BN16" i="15"/>
  <c r="BI16" i="15"/>
  <c r="BD16" i="15"/>
  <c r="AZ16" i="15"/>
  <c r="AY16" i="15"/>
  <c r="AT16" i="15"/>
  <c r="AP16" i="15"/>
  <c r="AO16" i="15"/>
  <c r="AK16" i="15"/>
  <c r="AJ16" i="15"/>
  <c r="AF16" i="15"/>
  <c r="AE16" i="15"/>
  <c r="AA16" i="15"/>
  <c r="Z16" i="15"/>
  <c r="U16" i="15"/>
  <c r="P16" i="15"/>
  <c r="K16" i="15"/>
  <c r="G16" i="15"/>
  <c r="F16" i="15"/>
  <c r="C16" i="15"/>
  <c r="B16" i="15"/>
  <c r="A16" i="15"/>
  <c r="DW16" i="15" s="1"/>
  <c r="EU15" i="15"/>
  <c r="EQ15" i="15"/>
  <c r="EP15" i="15"/>
  <c r="EK15" i="15"/>
  <c r="EG15" i="15"/>
  <c r="EF15" i="15"/>
  <c r="EA15" i="15"/>
  <c r="DV15" i="15"/>
  <c r="DR15" i="15"/>
  <c r="DQ15" i="15"/>
  <c r="DM15" i="15"/>
  <c r="DL15" i="15"/>
  <c r="DG15" i="15"/>
  <c r="DB15" i="15"/>
  <c r="CW15" i="15"/>
  <c r="CS15" i="15"/>
  <c r="CR15" i="15"/>
  <c r="CN15" i="15"/>
  <c r="CM15" i="15"/>
  <c r="CH15" i="15"/>
  <c r="CC15" i="15"/>
  <c r="BY15" i="15"/>
  <c r="BX15" i="15"/>
  <c r="BS15" i="15"/>
  <c r="BO15" i="15"/>
  <c r="BN15" i="15"/>
  <c r="BJ15" i="15"/>
  <c r="BI15" i="15"/>
  <c r="BD15" i="15"/>
  <c r="AY15" i="15"/>
  <c r="AT15" i="15"/>
  <c r="AP15" i="15"/>
  <c r="AO15" i="15"/>
  <c r="AJ15" i="15"/>
  <c r="AE15" i="15"/>
  <c r="AA15" i="15"/>
  <c r="Z15" i="15"/>
  <c r="V15" i="15"/>
  <c r="U15" i="15"/>
  <c r="Q15" i="15"/>
  <c r="P15" i="15"/>
  <c r="K15" i="15"/>
  <c r="F15" i="15"/>
  <c r="C15" i="15"/>
  <c r="B15" i="15"/>
  <c r="A15" i="15"/>
  <c r="EU14" i="15"/>
  <c r="EP14" i="15"/>
  <c r="EK14" i="15"/>
  <c r="EG14" i="15"/>
  <c r="EF14" i="15"/>
  <c r="EB14" i="15"/>
  <c r="EA14" i="15"/>
  <c r="DV14" i="15"/>
  <c r="DQ14" i="15"/>
  <c r="DL14" i="15"/>
  <c r="DG14" i="15"/>
  <c r="DB14" i="15"/>
  <c r="CW14" i="15"/>
  <c r="CR14" i="15"/>
  <c r="CN14" i="15"/>
  <c r="CM14" i="15"/>
  <c r="CH14" i="15"/>
  <c r="CC14" i="15"/>
  <c r="BX14" i="15"/>
  <c r="BS14" i="15"/>
  <c r="BN14" i="15"/>
  <c r="BI14" i="15"/>
  <c r="BD14" i="15"/>
  <c r="AY14" i="15"/>
  <c r="AT14" i="15"/>
  <c r="AO14" i="15"/>
  <c r="AJ14" i="15"/>
  <c r="AF14" i="15"/>
  <c r="AE14" i="15"/>
  <c r="Z14" i="15"/>
  <c r="U14" i="15"/>
  <c r="P14" i="15"/>
  <c r="L14" i="15"/>
  <c r="K14" i="15"/>
  <c r="G14" i="15"/>
  <c r="F14" i="15"/>
  <c r="C14" i="15"/>
  <c r="B14" i="15"/>
  <c r="A14" i="15"/>
  <c r="EV13" i="15"/>
  <c r="EU13" i="15"/>
  <c r="EP13" i="15"/>
  <c r="EL13" i="15"/>
  <c r="EK13" i="15"/>
  <c r="EG13" i="15"/>
  <c r="EF13" i="15"/>
  <c r="EB13" i="15"/>
  <c r="EA13" i="15"/>
  <c r="DW13" i="15"/>
  <c r="DV13" i="15"/>
  <c r="DR13" i="15"/>
  <c r="DQ13" i="15"/>
  <c r="DL13" i="15"/>
  <c r="DH13" i="15"/>
  <c r="DG13" i="15"/>
  <c r="DB13" i="15"/>
  <c r="CX13" i="15"/>
  <c r="CW13" i="15"/>
  <c r="CS13" i="15"/>
  <c r="CR13" i="15"/>
  <c r="CN13" i="15"/>
  <c r="CM13" i="15"/>
  <c r="CI13" i="15"/>
  <c r="CH13" i="15"/>
  <c r="CD13" i="15"/>
  <c r="CC13" i="15"/>
  <c r="BY13" i="15"/>
  <c r="BX13" i="15"/>
  <c r="BT13" i="15"/>
  <c r="BS13" i="15"/>
  <c r="BN13" i="15"/>
  <c r="BJ13" i="15"/>
  <c r="BI13" i="15"/>
  <c r="BE13" i="15"/>
  <c r="BD13" i="15"/>
  <c r="AY13" i="15"/>
  <c r="AU13" i="15"/>
  <c r="AT13" i="15"/>
  <c r="AP13" i="15"/>
  <c r="AO13" i="15"/>
  <c r="AK13" i="15"/>
  <c r="AJ13" i="15"/>
  <c r="AE13" i="15"/>
  <c r="Z13" i="15"/>
  <c r="V13" i="15"/>
  <c r="U13" i="15"/>
  <c r="Q13" i="15"/>
  <c r="P13" i="15"/>
  <c r="L13" i="15"/>
  <c r="K13" i="15"/>
  <c r="F13" i="15"/>
  <c r="C13" i="15"/>
  <c r="B13" i="15"/>
  <c r="A13" i="15"/>
  <c r="EU12" i="15"/>
  <c r="EP12" i="15"/>
  <c r="EL12" i="15"/>
  <c r="EK12" i="15"/>
  <c r="EG12" i="15"/>
  <c r="EF12" i="15"/>
  <c r="EA12" i="15"/>
  <c r="DW12" i="15"/>
  <c r="DV12" i="15"/>
  <c r="DQ12" i="15"/>
  <c r="DL12" i="15"/>
  <c r="DH12" i="15"/>
  <c r="DG12" i="15"/>
  <c r="DB12" i="15"/>
  <c r="CW12" i="15"/>
  <c r="CS12" i="15"/>
  <c r="CR12" i="15"/>
  <c r="CM12" i="15"/>
  <c r="CI12" i="15"/>
  <c r="CH12" i="15"/>
  <c r="CC12" i="15"/>
  <c r="BX12" i="15"/>
  <c r="BT12" i="15"/>
  <c r="BS12" i="15"/>
  <c r="BN12" i="15"/>
  <c r="BI12" i="15"/>
  <c r="BD12" i="15"/>
  <c r="AZ12" i="15"/>
  <c r="AY12" i="15"/>
  <c r="AT12" i="15"/>
  <c r="AP12" i="15"/>
  <c r="AO12" i="15"/>
  <c r="AJ12" i="15"/>
  <c r="AF12" i="15"/>
  <c r="AE12" i="15"/>
  <c r="Z12" i="15"/>
  <c r="U12" i="15"/>
  <c r="P12" i="15"/>
  <c r="K12" i="15"/>
  <c r="F12" i="15"/>
  <c r="C12" i="15"/>
  <c r="B12" i="15"/>
  <c r="A12" i="15"/>
  <c r="EU11" i="15"/>
  <c r="EQ11" i="15"/>
  <c r="EP11" i="15"/>
  <c r="EK11" i="15"/>
  <c r="EG11" i="15"/>
  <c r="EF11" i="15"/>
  <c r="EA11" i="15"/>
  <c r="DW11" i="15"/>
  <c r="DV11" i="15"/>
  <c r="DR11" i="15"/>
  <c r="DQ11" i="15"/>
  <c r="DM11" i="15"/>
  <c r="DL11" i="15"/>
  <c r="DH11" i="15"/>
  <c r="DG11" i="15"/>
  <c r="DC11" i="15"/>
  <c r="DB11" i="15"/>
  <c r="CW11" i="15"/>
  <c r="CS11" i="15"/>
  <c r="CR11" i="15"/>
  <c r="CN11" i="15"/>
  <c r="CM11" i="15"/>
  <c r="CH11" i="15"/>
  <c r="CD11" i="15"/>
  <c r="CC11" i="15"/>
  <c r="BY11" i="15"/>
  <c r="BX11" i="15"/>
  <c r="BT11" i="15"/>
  <c r="BS11" i="15"/>
  <c r="BN11" i="15"/>
  <c r="BI11" i="15"/>
  <c r="BD11" i="15"/>
  <c r="AZ11" i="15"/>
  <c r="AY11" i="15"/>
  <c r="AU11" i="15"/>
  <c r="AT11" i="15"/>
  <c r="AO11" i="15"/>
  <c r="AK11" i="15"/>
  <c r="AJ11" i="15"/>
  <c r="AF11" i="15"/>
  <c r="AE11" i="15"/>
  <c r="AA11" i="15"/>
  <c r="Z11" i="15"/>
  <c r="U11" i="15"/>
  <c r="Q11" i="15"/>
  <c r="P11" i="15"/>
  <c r="L11" i="15"/>
  <c r="K11" i="15"/>
  <c r="G11" i="15"/>
  <c r="F11" i="15"/>
  <c r="C11" i="15"/>
  <c r="B11" i="15"/>
  <c r="A11" i="15"/>
  <c r="EU10" i="15"/>
  <c r="EP10" i="15"/>
  <c r="EL10" i="15"/>
  <c r="EK10" i="15"/>
  <c r="EF10" i="15"/>
  <c r="EA10" i="15"/>
  <c r="DW10" i="15"/>
  <c r="DV10" i="15"/>
  <c r="DQ10" i="15"/>
  <c r="DL10" i="15"/>
  <c r="DG10" i="15"/>
  <c r="DB10" i="15"/>
  <c r="CX10" i="15"/>
  <c r="CW10" i="15"/>
  <c r="CR10" i="15"/>
  <c r="CM10" i="15"/>
  <c r="CH10" i="15"/>
  <c r="CC10" i="15"/>
  <c r="BX10" i="15"/>
  <c r="BT10" i="15"/>
  <c r="BS10" i="15"/>
  <c r="BN10" i="15"/>
  <c r="BJ10" i="15"/>
  <c r="BI10" i="15"/>
  <c r="BD10" i="15"/>
  <c r="AY10" i="15"/>
  <c r="AT10" i="15"/>
  <c r="AO10" i="15"/>
  <c r="AK10" i="15"/>
  <c r="AJ10" i="15"/>
  <c r="AE10" i="15"/>
  <c r="Z10" i="15"/>
  <c r="U10" i="15"/>
  <c r="Q10" i="15"/>
  <c r="P10" i="15"/>
  <c r="K10" i="15"/>
  <c r="F10" i="15"/>
  <c r="C10" i="15"/>
  <c r="B10" i="15"/>
  <c r="A10" i="15"/>
  <c r="EV9" i="15"/>
  <c r="EU9" i="15"/>
  <c r="EQ9" i="15"/>
  <c r="EP9" i="15"/>
  <c r="EL9" i="15"/>
  <c r="EK9" i="15"/>
  <c r="EF9" i="15"/>
  <c r="EB9" i="15"/>
  <c r="EA9" i="15"/>
  <c r="DV9" i="15"/>
  <c r="DR9" i="15"/>
  <c r="DQ9" i="15"/>
  <c r="DM9" i="15"/>
  <c r="DL9" i="15"/>
  <c r="DH9" i="15"/>
  <c r="DG9" i="15"/>
  <c r="DC9" i="15"/>
  <c r="DB9" i="15"/>
  <c r="CX9" i="15"/>
  <c r="CW9" i="15"/>
  <c r="CR9" i="15"/>
  <c r="CM9" i="15"/>
  <c r="CI9" i="15"/>
  <c r="CH9" i="15"/>
  <c r="CD9" i="15"/>
  <c r="CC9" i="15"/>
  <c r="CA35" i="15" s="1"/>
  <c r="BX9" i="15"/>
  <c r="BT9" i="15"/>
  <c r="BS9" i="15"/>
  <c r="BO9" i="15"/>
  <c r="BN9" i="15"/>
  <c r="BJ9" i="15"/>
  <c r="BI9" i="15"/>
  <c r="BD9" i="15"/>
  <c r="AZ9" i="15"/>
  <c r="AY9" i="15"/>
  <c r="AT9" i="15"/>
  <c r="AO9" i="15"/>
  <c r="AK9" i="15"/>
  <c r="AJ9" i="15"/>
  <c r="AE9" i="15"/>
  <c r="AA9" i="15"/>
  <c r="Z9" i="15"/>
  <c r="V9" i="15"/>
  <c r="U9" i="15"/>
  <c r="P9" i="15"/>
  <c r="L9" i="15"/>
  <c r="K9" i="15"/>
  <c r="G9" i="15"/>
  <c r="F9" i="15"/>
  <c r="C9" i="15"/>
  <c r="B9" i="15"/>
  <c r="A9" i="15"/>
  <c r="EV8" i="15"/>
  <c r="EU8" i="15"/>
  <c r="EQ8" i="15"/>
  <c r="EP8" i="15"/>
  <c r="EL8" i="15"/>
  <c r="EK8" i="15"/>
  <c r="EI35" i="15" s="1"/>
  <c r="EG8" i="15"/>
  <c r="EF8" i="15"/>
  <c r="EB8" i="15"/>
  <c r="EA8" i="15"/>
  <c r="DW8" i="15"/>
  <c r="DV8" i="15"/>
  <c r="DR8" i="15"/>
  <c r="DQ8" i="15"/>
  <c r="DL8" i="15"/>
  <c r="DH8" i="15"/>
  <c r="DG8" i="15"/>
  <c r="DC8" i="15"/>
  <c r="DB8" i="15"/>
  <c r="CX8" i="15"/>
  <c r="CW8" i="15"/>
  <c r="CS8" i="15"/>
  <c r="CR8" i="15"/>
  <c r="CN8" i="15"/>
  <c r="CM8" i="15"/>
  <c r="CI8" i="15"/>
  <c r="CH8" i="15"/>
  <c r="CD8" i="15"/>
  <c r="CC8" i="15"/>
  <c r="BX8" i="15"/>
  <c r="BT8" i="15"/>
  <c r="BS8" i="15"/>
  <c r="BO8" i="15"/>
  <c r="BN8" i="15"/>
  <c r="BJ8" i="15"/>
  <c r="BI8" i="15"/>
  <c r="BE8" i="15"/>
  <c r="BD8" i="15"/>
  <c r="AZ8" i="15"/>
  <c r="AY8" i="15"/>
  <c r="AU8" i="15"/>
  <c r="AT8" i="15"/>
  <c r="AP8" i="15"/>
  <c r="AO8" i="15"/>
  <c r="AJ8" i="15"/>
  <c r="AF8" i="15"/>
  <c r="AE8" i="15"/>
  <c r="AA8" i="15"/>
  <c r="Z8" i="15"/>
  <c r="V8" i="15"/>
  <c r="U8" i="15"/>
  <c r="Q8" i="15"/>
  <c r="P8" i="15"/>
  <c r="L8" i="15"/>
  <c r="K8" i="15"/>
  <c r="G8" i="15"/>
  <c r="F8" i="15"/>
  <c r="C8" i="15"/>
  <c r="B8" i="15"/>
  <c r="A8" i="15"/>
  <c r="DM8" i="15" s="1"/>
  <c r="EU7" i="15"/>
  <c r="EP7" i="15"/>
  <c r="EK7" i="15"/>
  <c r="EF7" i="15"/>
  <c r="EA7" i="15"/>
  <c r="DW7" i="15"/>
  <c r="DV7" i="15"/>
  <c r="DR7" i="15"/>
  <c r="DQ7" i="15"/>
  <c r="DM7" i="15"/>
  <c r="DL7" i="15"/>
  <c r="DG7" i="15"/>
  <c r="DC7" i="15"/>
  <c r="DB7" i="15"/>
  <c r="CX7" i="15"/>
  <c r="CW7" i="15"/>
  <c r="CR7" i="15"/>
  <c r="CM7" i="15"/>
  <c r="CI7" i="15"/>
  <c r="CH7" i="15"/>
  <c r="CC7" i="15"/>
  <c r="BY7" i="15"/>
  <c r="BX7" i="15"/>
  <c r="BT7" i="15"/>
  <c r="BS7" i="15"/>
  <c r="BO7" i="15"/>
  <c r="BN7" i="15"/>
  <c r="BJ7" i="15"/>
  <c r="BI7" i="15"/>
  <c r="BD7" i="15"/>
  <c r="AY7" i="15"/>
  <c r="AT7" i="15"/>
  <c r="AP7" i="15"/>
  <c r="AO7" i="15"/>
  <c r="AK7" i="15"/>
  <c r="AJ7" i="15"/>
  <c r="AF7" i="15"/>
  <c r="AE7" i="15"/>
  <c r="Z7" i="15"/>
  <c r="V7" i="15"/>
  <c r="U7" i="15"/>
  <c r="Q7" i="15"/>
  <c r="P7" i="15"/>
  <c r="K7" i="15"/>
  <c r="F7" i="15"/>
  <c r="C7" i="15"/>
  <c r="B7" i="15"/>
  <c r="A7" i="15"/>
  <c r="CD7" i="15" s="1"/>
  <c r="EU6" i="15"/>
  <c r="EQ6" i="15"/>
  <c r="EP6" i="15"/>
  <c r="EK6" i="15"/>
  <c r="EF6" i="15"/>
  <c r="EB6" i="15"/>
  <c r="EA6" i="15"/>
  <c r="DW6" i="15"/>
  <c r="DV6" i="15"/>
  <c r="DQ6" i="15"/>
  <c r="DL6" i="15"/>
  <c r="DH6" i="15"/>
  <c r="DG6" i="15"/>
  <c r="DB6" i="15"/>
  <c r="CW6" i="15"/>
  <c r="CR6" i="15"/>
  <c r="CN6" i="15"/>
  <c r="CM6" i="15"/>
  <c r="CH6" i="15"/>
  <c r="CD6" i="15"/>
  <c r="CC6" i="15"/>
  <c r="BX6" i="15"/>
  <c r="BS6" i="15"/>
  <c r="BO6" i="15"/>
  <c r="BN6" i="15"/>
  <c r="BI6" i="15"/>
  <c r="BD6" i="15"/>
  <c r="AZ6" i="15"/>
  <c r="AY6" i="15"/>
  <c r="AT6" i="15"/>
  <c r="AP6" i="15"/>
  <c r="AO6" i="15"/>
  <c r="AK6" i="15"/>
  <c r="AJ6" i="15"/>
  <c r="AE6" i="15"/>
  <c r="AA6" i="15"/>
  <c r="Z6" i="15"/>
  <c r="U6" i="15"/>
  <c r="Q6" i="15"/>
  <c r="P6" i="15"/>
  <c r="K6" i="15"/>
  <c r="G6" i="15"/>
  <c r="F6" i="15"/>
  <c r="C6" i="15"/>
  <c r="B6" i="15"/>
  <c r="A6" i="15"/>
  <c r="EG6" i="15" s="1"/>
  <c r="EU5" i="15"/>
  <c r="EP5" i="15"/>
  <c r="EK5" i="15"/>
  <c r="EF5" i="15"/>
  <c r="EA5" i="15"/>
  <c r="DV5" i="15"/>
  <c r="DR5" i="15"/>
  <c r="DQ5" i="15"/>
  <c r="DM5" i="15"/>
  <c r="DL5" i="15"/>
  <c r="DG5" i="15"/>
  <c r="DB5" i="15"/>
  <c r="CW5" i="15"/>
  <c r="CR5" i="15"/>
  <c r="CM5" i="15"/>
  <c r="CH5" i="15"/>
  <c r="CC5" i="15"/>
  <c r="BX5" i="15"/>
  <c r="BS5" i="15"/>
  <c r="BN5" i="15"/>
  <c r="BI5" i="15"/>
  <c r="BD5" i="15"/>
  <c r="AY5" i="15"/>
  <c r="AW35" i="15" s="1"/>
  <c r="AT5" i="15"/>
  <c r="AR35" i="15" s="1"/>
  <c r="AP5" i="15"/>
  <c r="AO5" i="15"/>
  <c r="AK5" i="15"/>
  <c r="AJ5" i="15"/>
  <c r="AE5" i="15"/>
  <c r="Z5" i="15"/>
  <c r="U5" i="15"/>
  <c r="P5" i="15"/>
  <c r="K5" i="15"/>
  <c r="F5" i="15"/>
  <c r="C5" i="15"/>
  <c r="B5" i="15"/>
  <c r="A5" i="15"/>
  <c r="EG5" i="15" s="1"/>
  <c r="EV4" i="15"/>
  <c r="EU4" i="15"/>
  <c r="EQ4" i="15"/>
  <c r="EP4" i="15"/>
  <c r="EN35" i="15" s="1"/>
  <c r="EL4" i="15"/>
  <c r="EK4" i="15"/>
  <c r="EG4" i="15"/>
  <c r="EF4" i="15"/>
  <c r="EA4" i="15"/>
  <c r="DV4" i="15"/>
  <c r="DR4" i="15"/>
  <c r="DQ4" i="15"/>
  <c r="DM4" i="15"/>
  <c r="DL4" i="15"/>
  <c r="DH4" i="15"/>
  <c r="DG4" i="15"/>
  <c r="DE35" i="15" s="1"/>
  <c r="DC4" i="15"/>
  <c r="DB4" i="15"/>
  <c r="CZ35" i="15" s="1"/>
  <c r="CX4" i="15"/>
  <c r="CW4" i="15"/>
  <c r="CS4" i="15"/>
  <c r="CR4" i="15"/>
  <c r="CN4" i="15"/>
  <c r="CM4" i="15"/>
  <c r="CH4" i="15"/>
  <c r="CC4" i="15"/>
  <c r="BY4" i="15"/>
  <c r="BX4" i="15"/>
  <c r="BT4" i="15"/>
  <c r="BS4" i="15"/>
  <c r="BO4" i="15"/>
  <c r="BN4" i="15"/>
  <c r="BJ4" i="15"/>
  <c r="BI4" i="15"/>
  <c r="BE4" i="15"/>
  <c r="BD4" i="15"/>
  <c r="BB35" i="15" s="1"/>
  <c r="AZ4" i="15"/>
  <c r="AY4" i="15"/>
  <c r="AT4" i="15"/>
  <c r="AO4" i="15"/>
  <c r="AK4" i="15"/>
  <c r="AJ4" i="15"/>
  <c r="AF4" i="15"/>
  <c r="AE4" i="15"/>
  <c r="AA4" i="15"/>
  <c r="Z4" i="15"/>
  <c r="V4" i="15"/>
  <c r="U4" i="15"/>
  <c r="Q4" i="15"/>
  <c r="P4" i="15"/>
  <c r="L4" i="15"/>
  <c r="K4" i="15"/>
  <c r="I35" i="15" s="1"/>
  <c r="F4" i="15"/>
  <c r="C4" i="15"/>
  <c r="B4" i="15"/>
  <c r="A4" i="15"/>
  <c r="ES2" i="15"/>
  <c r="EN2" i="15"/>
  <c r="EI2" i="15"/>
  <c r="ED2" i="15"/>
  <c r="DY2" i="15"/>
  <c r="DT2" i="15"/>
  <c r="DO2" i="15"/>
  <c r="DJ2" i="15"/>
  <c r="DE2" i="15"/>
  <c r="CZ2" i="15"/>
  <c r="CU2" i="15"/>
  <c r="CP2" i="15"/>
  <c r="CK2" i="15"/>
  <c r="CF2" i="15"/>
  <c r="CA2" i="15"/>
  <c r="BV2" i="15"/>
  <c r="BQ2" i="15"/>
  <c r="BL2" i="15"/>
  <c r="BG2" i="15"/>
  <c r="BB2" i="15"/>
  <c r="AW2" i="15"/>
  <c r="AR2" i="15"/>
  <c r="AM2" i="15"/>
  <c r="AH2" i="15"/>
  <c r="AC2" i="15"/>
  <c r="X2" i="15"/>
  <c r="S2" i="15"/>
  <c r="N2" i="15"/>
  <c r="I2" i="15"/>
  <c r="D2" i="15"/>
  <c r="A1" i="15"/>
  <c r="ES40" i="14"/>
  <c r="EN40" i="14"/>
  <c r="EI40" i="14"/>
  <c r="ED40" i="14"/>
  <c r="DY40" i="14"/>
  <c r="DT40" i="14"/>
  <c r="DO40" i="14"/>
  <c r="DJ40" i="14"/>
  <c r="DE40" i="14"/>
  <c r="CZ40" i="14"/>
  <c r="CU40" i="14"/>
  <c r="CP40" i="14"/>
  <c r="CK40" i="14"/>
  <c r="CF40" i="14"/>
  <c r="CA40" i="14"/>
  <c r="BV40" i="14"/>
  <c r="BQ40" i="14"/>
  <c r="BL40" i="14"/>
  <c r="BG40" i="14"/>
  <c r="BB40" i="14"/>
  <c r="AW40" i="14"/>
  <c r="AR40" i="14"/>
  <c r="AM40" i="14"/>
  <c r="AH40" i="14"/>
  <c r="AC40" i="14"/>
  <c r="X40" i="14"/>
  <c r="S40" i="14"/>
  <c r="N40" i="14"/>
  <c r="I40" i="14"/>
  <c r="D40" i="14"/>
  <c r="ES39" i="14"/>
  <c r="EN39" i="14"/>
  <c r="EI39" i="14"/>
  <c r="ED39" i="14"/>
  <c r="DY39" i="14"/>
  <c r="DT39" i="14"/>
  <c r="DO39" i="14"/>
  <c r="DJ39" i="14"/>
  <c r="DE39" i="14"/>
  <c r="CZ39" i="14"/>
  <c r="CU39" i="14"/>
  <c r="CP39" i="14"/>
  <c r="CK39" i="14"/>
  <c r="CF39" i="14"/>
  <c r="CA39" i="14"/>
  <c r="BV39" i="14"/>
  <c r="BQ39" i="14"/>
  <c r="BL39" i="14"/>
  <c r="BG39" i="14"/>
  <c r="BB39" i="14"/>
  <c r="AW39" i="14"/>
  <c r="AR39" i="14"/>
  <c r="AM39" i="14"/>
  <c r="AH39" i="14"/>
  <c r="AC39" i="14"/>
  <c r="X39" i="14"/>
  <c r="S39" i="14"/>
  <c r="N39" i="14"/>
  <c r="I39" i="14"/>
  <c r="D39" i="14"/>
  <c r="ES38" i="14"/>
  <c r="EN38" i="14"/>
  <c r="EI38" i="14"/>
  <c r="ED38" i="14"/>
  <c r="DY38" i="14"/>
  <c r="DT38" i="14"/>
  <c r="DO38" i="14"/>
  <c r="DJ38" i="14"/>
  <c r="DE38" i="14"/>
  <c r="CZ38" i="14"/>
  <c r="CU38" i="14"/>
  <c r="CP38" i="14"/>
  <c r="CK38" i="14"/>
  <c r="CF38" i="14"/>
  <c r="CA38" i="14"/>
  <c r="BV38" i="14"/>
  <c r="BQ38" i="14"/>
  <c r="BL38" i="14"/>
  <c r="BG38" i="14"/>
  <c r="BB38" i="14"/>
  <c r="AW38" i="14"/>
  <c r="AR38" i="14"/>
  <c r="AM38" i="14"/>
  <c r="AH38" i="14"/>
  <c r="AC38" i="14"/>
  <c r="X38" i="14"/>
  <c r="S38" i="14"/>
  <c r="N38" i="14"/>
  <c r="I38" i="14"/>
  <c r="D38" i="14"/>
  <c r="DO35" i="14"/>
  <c r="S35" i="14"/>
  <c r="EU34" i="14"/>
  <c r="EP34" i="14"/>
  <c r="EL34" i="14"/>
  <c r="EK34" i="14"/>
  <c r="EF34" i="14"/>
  <c r="EA34" i="14"/>
  <c r="DW34" i="14"/>
  <c r="DV34" i="14"/>
  <c r="DQ34" i="14"/>
  <c r="DM34" i="14"/>
  <c r="DL34" i="14"/>
  <c r="DH34" i="14"/>
  <c r="DG34" i="14"/>
  <c r="DB34" i="14"/>
  <c r="CX34" i="14"/>
  <c r="CW34" i="14"/>
  <c r="CS34" i="14"/>
  <c r="CR34" i="14"/>
  <c r="CM34" i="14"/>
  <c r="CI34" i="14"/>
  <c r="CH34" i="14"/>
  <c r="CD34" i="14"/>
  <c r="CC34" i="14"/>
  <c r="BY34" i="14"/>
  <c r="BX34" i="14"/>
  <c r="BT34" i="14"/>
  <c r="BS34" i="14"/>
  <c r="BN34" i="14"/>
  <c r="BI34" i="14"/>
  <c r="BE34" i="14"/>
  <c r="BD34" i="14"/>
  <c r="AY34" i="14"/>
  <c r="AU34" i="14"/>
  <c r="AT34" i="14"/>
  <c r="AO34" i="14"/>
  <c r="AK34" i="14"/>
  <c r="AJ34" i="14"/>
  <c r="AE34" i="14"/>
  <c r="Z34" i="14"/>
  <c r="U34" i="14"/>
  <c r="Q34" i="14"/>
  <c r="P34" i="14"/>
  <c r="L34" i="14"/>
  <c r="K34" i="14"/>
  <c r="G34" i="14"/>
  <c r="F34" i="14"/>
  <c r="C34" i="14"/>
  <c r="B34" i="14"/>
  <c r="A34" i="14"/>
  <c r="DR34" i="14" s="1"/>
  <c r="EU33" i="14"/>
  <c r="EP33" i="14"/>
  <c r="EK33" i="14"/>
  <c r="EF33" i="14"/>
  <c r="EA33" i="14"/>
  <c r="DV33" i="14"/>
  <c r="DQ33" i="14"/>
  <c r="DL33" i="14"/>
  <c r="DH33" i="14"/>
  <c r="DG33" i="14"/>
  <c r="DB33" i="14"/>
  <c r="CW33" i="14"/>
  <c r="CR33" i="14"/>
  <c r="CM33" i="14"/>
  <c r="CH33" i="14"/>
  <c r="CC33" i="14"/>
  <c r="BX33" i="14"/>
  <c r="BS33" i="14"/>
  <c r="BN33" i="14"/>
  <c r="BI33" i="14"/>
  <c r="BD33" i="14"/>
  <c r="AZ33" i="14"/>
  <c r="AY33" i="14"/>
  <c r="AT33" i="14"/>
  <c r="AO33" i="14"/>
  <c r="AJ33" i="14"/>
  <c r="AE33" i="14"/>
  <c r="Z33" i="14"/>
  <c r="U33" i="14"/>
  <c r="P33" i="14"/>
  <c r="K33" i="14"/>
  <c r="F33" i="14"/>
  <c r="C33" i="14"/>
  <c r="B33" i="14"/>
  <c r="A33" i="14"/>
  <c r="EU32" i="14"/>
  <c r="EP32" i="14"/>
  <c r="EL32" i="14"/>
  <c r="EK32" i="14"/>
  <c r="EG32" i="14"/>
  <c r="EF32" i="14"/>
  <c r="EA32" i="14"/>
  <c r="DW32" i="14"/>
  <c r="DV32" i="14"/>
  <c r="DQ32" i="14"/>
  <c r="DL32" i="14"/>
  <c r="DH32" i="14"/>
  <c r="DG32" i="14"/>
  <c r="DB32" i="14"/>
  <c r="CW32" i="14"/>
  <c r="CR32" i="14"/>
  <c r="CM32" i="14"/>
  <c r="CI32" i="14"/>
  <c r="CH32" i="14"/>
  <c r="CD32" i="14"/>
  <c r="CC32" i="14"/>
  <c r="BX32" i="14"/>
  <c r="BT32" i="14"/>
  <c r="BS32" i="14"/>
  <c r="BN32" i="14"/>
  <c r="BI32" i="14"/>
  <c r="BE32" i="14"/>
  <c r="BD32" i="14"/>
  <c r="AY32" i="14"/>
  <c r="AT32" i="14"/>
  <c r="AP32" i="14"/>
  <c r="AO32" i="14"/>
  <c r="AK32" i="14"/>
  <c r="AJ32" i="14"/>
  <c r="AE32" i="14"/>
  <c r="AA32" i="14"/>
  <c r="Z32" i="14"/>
  <c r="U32" i="14"/>
  <c r="P32" i="14"/>
  <c r="K32" i="14"/>
  <c r="F32" i="14"/>
  <c r="C32" i="14"/>
  <c r="B32" i="14"/>
  <c r="A32" i="14"/>
  <c r="AU32" i="14" s="1"/>
  <c r="EU31" i="14"/>
  <c r="EQ31" i="14"/>
  <c r="EP31" i="14"/>
  <c r="EK31" i="14"/>
  <c r="EF31" i="14"/>
  <c r="EA31" i="14"/>
  <c r="DV31" i="14"/>
  <c r="DQ31" i="14"/>
  <c r="DM31" i="14"/>
  <c r="DL31" i="14"/>
  <c r="DG31" i="14"/>
  <c r="DC31" i="14"/>
  <c r="DB31" i="14"/>
  <c r="CW31" i="14"/>
  <c r="CS31" i="14"/>
  <c r="CR31" i="14"/>
  <c r="CM31" i="14"/>
  <c r="CH31" i="14"/>
  <c r="CC31" i="14"/>
  <c r="BX31" i="14"/>
  <c r="BS31" i="14"/>
  <c r="BN31" i="14"/>
  <c r="BJ31" i="14"/>
  <c r="BI31" i="14"/>
  <c r="BD31" i="14"/>
  <c r="AY31" i="14"/>
  <c r="AT31" i="14"/>
  <c r="AO31" i="14"/>
  <c r="AJ31" i="14"/>
  <c r="AE31" i="14"/>
  <c r="Z31" i="14"/>
  <c r="U31" i="14"/>
  <c r="P31" i="14"/>
  <c r="L31" i="14"/>
  <c r="K31" i="14"/>
  <c r="G31" i="14"/>
  <c r="F31" i="14"/>
  <c r="C31" i="14"/>
  <c r="B31" i="14"/>
  <c r="A31" i="14"/>
  <c r="AA31" i="14" s="1"/>
  <c r="EV30" i="14"/>
  <c r="EU30" i="14"/>
  <c r="EQ30" i="14"/>
  <c r="EP30" i="14"/>
  <c r="EL30" i="14"/>
  <c r="EK30" i="14"/>
  <c r="EG30" i="14"/>
  <c r="EF30" i="14"/>
  <c r="EB30" i="14"/>
  <c r="EA30" i="14"/>
  <c r="DW30" i="14"/>
  <c r="DV30" i="14"/>
  <c r="DT35" i="14" s="1"/>
  <c r="DQ30" i="14"/>
  <c r="DL30" i="14"/>
  <c r="DH30" i="14"/>
  <c r="DG30" i="14"/>
  <c r="DC30" i="14"/>
  <c r="DB30" i="14"/>
  <c r="CX30" i="14"/>
  <c r="CW30" i="14"/>
  <c r="CS30" i="14"/>
  <c r="CR30" i="14"/>
  <c r="CN30" i="14"/>
  <c r="CM30" i="14"/>
  <c r="CI30" i="14"/>
  <c r="CH30" i="14"/>
  <c r="CC30" i="14"/>
  <c r="BX30" i="14"/>
  <c r="BT30" i="14"/>
  <c r="BS30" i="14"/>
  <c r="BO30" i="14"/>
  <c r="BN30" i="14"/>
  <c r="BJ30" i="14"/>
  <c r="BI30" i="14"/>
  <c r="BE30" i="14"/>
  <c r="BD30" i="14"/>
  <c r="AZ30" i="14"/>
  <c r="AY30" i="14"/>
  <c r="AU30" i="14"/>
  <c r="AT30" i="14"/>
  <c r="AO30" i="14"/>
  <c r="AJ30" i="14"/>
  <c r="AF30" i="14"/>
  <c r="AE30" i="14"/>
  <c r="AA30" i="14"/>
  <c r="Z30" i="14"/>
  <c r="V30" i="14"/>
  <c r="U30" i="14"/>
  <c r="Q30" i="14"/>
  <c r="P30" i="14"/>
  <c r="L30" i="14"/>
  <c r="K30" i="14"/>
  <c r="G30" i="14"/>
  <c r="F30" i="14"/>
  <c r="C30" i="14"/>
  <c r="B30" i="14"/>
  <c r="A30" i="14"/>
  <c r="DR30" i="14" s="1"/>
  <c r="EV29" i="14"/>
  <c r="EU29" i="14"/>
  <c r="EQ29" i="14"/>
  <c r="EP29" i="14"/>
  <c r="EL29" i="14"/>
  <c r="EK29" i="14"/>
  <c r="EG29" i="14"/>
  <c r="EF29" i="14"/>
  <c r="EB29" i="14"/>
  <c r="EA29" i="14"/>
  <c r="DW29" i="14"/>
  <c r="DV29" i="14"/>
  <c r="DR29" i="14"/>
  <c r="DQ29" i="14"/>
  <c r="DL29" i="14"/>
  <c r="DH29" i="14"/>
  <c r="DG29" i="14"/>
  <c r="DC29" i="14"/>
  <c r="DB29" i="14"/>
  <c r="CX29" i="14"/>
  <c r="CW29" i="14"/>
  <c r="CS29" i="14"/>
  <c r="CR29" i="14"/>
  <c r="CN29" i="14"/>
  <c r="CM29" i="14"/>
  <c r="CI29" i="14"/>
  <c r="CH29" i="14"/>
  <c r="CD29" i="14"/>
  <c r="CC29" i="14"/>
  <c r="BX29" i="14"/>
  <c r="BT29" i="14"/>
  <c r="BS29" i="14"/>
  <c r="BO29" i="14"/>
  <c r="BN29" i="14"/>
  <c r="BJ29" i="14"/>
  <c r="BI29" i="14"/>
  <c r="BE29" i="14"/>
  <c r="BD29" i="14"/>
  <c r="AZ29" i="14"/>
  <c r="AY29" i="14"/>
  <c r="AU29" i="14"/>
  <c r="AT29" i="14"/>
  <c r="AP29" i="14"/>
  <c r="AO29" i="14"/>
  <c r="AJ29" i="14"/>
  <c r="AF29" i="14"/>
  <c r="AE29" i="14"/>
  <c r="AA29" i="14"/>
  <c r="Z29" i="14"/>
  <c r="V29" i="14"/>
  <c r="U29" i="14"/>
  <c r="Q29" i="14"/>
  <c r="P29" i="14"/>
  <c r="L29" i="14"/>
  <c r="K29" i="14"/>
  <c r="G29" i="14"/>
  <c r="F29" i="14"/>
  <c r="C29" i="14"/>
  <c r="B29" i="14"/>
  <c r="A29" i="14"/>
  <c r="DM29" i="14" s="1"/>
  <c r="EU28" i="14"/>
  <c r="EP28" i="14"/>
  <c r="EK28" i="14"/>
  <c r="EG28" i="14"/>
  <c r="EF28" i="14"/>
  <c r="EB28" i="14"/>
  <c r="EA28" i="14"/>
  <c r="DV28" i="14"/>
  <c r="DQ28" i="14"/>
  <c r="DL28" i="14"/>
  <c r="DG28" i="14"/>
  <c r="DB28" i="14"/>
  <c r="CW28" i="14"/>
  <c r="CS28" i="14"/>
  <c r="CR28" i="14"/>
  <c r="CM28" i="14"/>
  <c r="CH28" i="14"/>
  <c r="CD28" i="14"/>
  <c r="CC28" i="14"/>
  <c r="BY28" i="14"/>
  <c r="BX28" i="14"/>
  <c r="BS28" i="14"/>
  <c r="BN28" i="14"/>
  <c r="BI28" i="14"/>
  <c r="BD28" i="14"/>
  <c r="AZ28" i="14"/>
  <c r="AY28" i="14"/>
  <c r="AT28" i="14"/>
  <c r="AO28" i="14"/>
  <c r="AK28" i="14"/>
  <c r="AJ28" i="14"/>
  <c r="AE28" i="14"/>
  <c r="Z28" i="14"/>
  <c r="U28" i="14"/>
  <c r="Q28" i="14"/>
  <c r="P28" i="14"/>
  <c r="K28" i="14"/>
  <c r="F28" i="14"/>
  <c r="C28" i="14"/>
  <c r="B28" i="14"/>
  <c r="A28" i="14"/>
  <c r="AU28" i="14" s="1"/>
  <c r="EU27" i="14"/>
  <c r="EP27" i="14"/>
  <c r="EK27" i="14"/>
  <c r="EG27" i="14"/>
  <c r="EF27" i="14"/>
  <c r="EA27" i="14"/>
  <c r="DW27" i="14"/>
  <c r="DV27" i="14"/>
  <c r="DQ27" i="14"/>
  <c r="DM27" i="14"/>
  <c r="DL27" i="14"/>
  <c r="DG27" i="14"/>
  <c r="DC27" i="14"/>
  <c r="DB27" i="14"/>
  <c r="CW27" i="14"/>
  <c r="CR27" i="14"/>
  <c r="CM27" i="14"/>
  <c r="CH27" i="14"/>
  <c r="CD27" i="14"/>
  <c r="CC27" i="14"/>
  <c r="BY27" i="14"/>
  <c r="BX27" i="14"/>
  <c r="BS27" i="14"/>
  <c r="BO27" i="14"/>
  <c r="BN27" i="14"/>
  <c r="BI27" i="14"/>
  <c r="BD27" i="14"/>
  <c r="AY27" i="14"/>
  <c r="AU27" i="14"/>
  <c r="AT27" i="14"/>
  <c r="AO27" i="14"/>
  <c r="AJ27" i="14"/>
  <c r="AE27" i="14"/>
  <c r="AA27" i="14"/>
  <c r="Z27" i="14"/>
  <c r="V27" i="14"/>
  <c r="U27" i="14"/>
  <c r="P27" i="14"/>
  <c r="K27" i="14"/>
  <c r="F27" i="14"/>
  <c r="C27" i="14"/>
  <c r="B27" i="14"/>
  <c r="A27" i="14"/>
  <c r="EU26" i="14"/>
  <c r="EP26" i="14"/>
  <c r="EL26" i="14"/>
  <c r="EK26" i="14"/>
  <c r="EF26" i="14"/>
  <c r="EA26" i="14"/>
  <c r="DV26" i="14"/>
  <c r="DR26" i="14"/>
  <c r="DQ26" i="14"/>
  <c r="DL26" i="14"/>
  <c r="DG26" i="14"/>
  <c r="DC26" i="14"/>
  <c r="DB26" i="14"/>
  <c r="CW26" i="14"/>
  <c r="CR26" i="14"/>
  <c r="CM26" i="14"/>
  <c r="CH26" i="14"/>
  <c r="CD26" i="14"/>
  <c r="CC26" i="14"/>
  <c r="BY26" i="14"/>
  <c r="BX26" i="14"/>
  <c r="BT26" i="14"/>
  <c r="BS26" i="14"/>
  <c r="BO26" i="14"/>
  <c r="BN26" i="14"/>
  <c r="BJ26" i="14"/>
  <c r="BI26" i="14"/>
  <c r="BD26" i="14"/>
  <c r="AY26" i="14"/>
  <c r="AT26" i="14"/>
  <c r="AO26" i="14"/>
  <c r="AK26" i="14"/>
  <c r="AJ26" i="14"/>
  <c r="AE26" i="14"/>
  <c r="AA26" i="14"/>
  <c r="Z26" i="14"/>
  <c r="V26" i="14"/>
  <c r="U26" i="14"/>
  <c r="Q26" i="14"/>
  <c r="P26" i="14"/>
  <c r="K26" i="14"/>
  <c r="F26" i="14"/>
  <c r="C26" i="14"/>
  <c r="B26" i="14"/>
  <c r="A26" i="14"/>
  <c r="EV25" i="14"/>
  <c r="EU25" i="14"/>
  <c r="EP25" i="14"/>
  <c r="EL25" i="14"/>
  <c r="EK25" i="14"/>
  <c r="EG25" i="14"/>
  <c r="EF25" i="14"/>
  <c r="EB25" i="14"/>
  <c r="EA25" i="14"/>
  <c r="DV25" i="14"/>
  <c r="DR25" i="14"/>
  <c r="DQ25" i="14"/>
  <c r="DM25" i="14"/>
  <c r="DL25" i="14"/>
  <c r="DH25" i="14"/>
  <c r="DG25" i="14"/>
  <c r="DB25" i="14"/>
  <c r="CX25" i="14"/>
  <c r="CW25" i="14"/>
  <c r="CS25" i="14"/>
  <c r="CR25" i="14"/>
  <c r="CN25" i="14"/>
  <c r="CM25" i="14"/>
  <c r="CH25" i="14"/>
  <c r="CC25" i="14"/>
  <c r="BY25" i="14"/>
  <c r="BX25" i="14"/>
  <c r="BT25" i="14"/>
  <c r="BS25" i="14"/>
  <c r="BN25" i="14"/>
  <c r="BJ25" i="14"/>
  <c r="BI25" i="14"/>
  <c r="BE25" i="14"/>
  <c r="BD25" i="14"/>
  <c r="AZ25" i="14"/>
  <c r="AY25" i="14"/>
  <c r="AU25" i="14"/>
  <c r="AT25" i="14"/>
  <c r="AO25" i="14"/>
  <c r="AK25" i="14"/>
  <c r="AJ25" i="14"/>
  <c r="AF25" i="14"/>
  <c r="AE25" i="14"/>
  <c r="Z25" i="14"/>
  <c r="V25" i="14"/>
  <c r="U25" i="14"/>
  <c r="Q25" i="14"/>
  <c r="P25" i="14"/>
  <c r="L25" i="14"/>
  <c r="K25" i="14"/>
  <c r="G25" i="14"/>
  <c r="F25" i="14"/>
  <c r="C25" i="14"/>
  <c r="B25" i="14"/>
  <c r="A25" i="14"/>
  <c r="EV24" i="14"/>
  <c r="EU24" i="14"/>
  <c r="EQ24" i="14"/>
  <c r="EP24" i="14"/>
  <c r="EL24" i="14"/>
  <c r="EK24" i="14"/>
  <c r="EG24" i="14"/>
  <c r="EF24" i="14"/>
  <c r="EB24" i="14"/>
  <c r="EA24" i="14"/>
  <c r="DW24" i="14"/>
  <c r="DV24" i="14"/>
  <c r="DR24" i="14"/>
  <c r="DQ24" i="14"/>
  <c r="DL24" i="14"/>
  <c r="DH24" i="14"/>
  <c r="DG24" i="14"/>
  <c r="DC24" i="14"/>
  <c r="DB24" i="14"/>
  <c r="CX24" i="14"/>
  <c r="CW24" i="14"/>
  <c r="CS24" i="14"/>
  <c r="CR24" i="14"/>
  <c r="CN24" i="14"/>
  <c r="CM24" i="14"/>
  <c r="CI24" i="14"/>
  <c r="CH24" i="14"/>
  <c r="CD24" i="14"/>
  <c r="CC24" i="14"/>
  <c r="BX24" i="14"/>
  <c r="BT24" i="14"/>
  <c r="BS24" i="14"/>
  <c r="BO24" i="14"/>
  <c r="BN24" i="14"/>
  <c r="BJ24" i="14"/>
  <c r="BI24" i="14"/>
  <c r="BE24" i="14"/>
  <c r="BD24" i="14"/>
  <c r="AZ24" i="14"/>
  <c r="AY24" i="14"/>
  <c r="AU24" i="14"/>
  <c r="AT24" i="14"/>
  <c r="AP24" i="14"/>
  <c r="AO24" i="14"/>
  <c r="AJ24" i="14"/>
  <c r="AF24" i="14"/>
  <c r="AE24" i="14"/>
  <c r="AA24" i="14"/>
  <c r="Z24" i="14"/>
  <c r="V24" i="14"/>
  <c r="U24" i="14"/>
  <c r="Q24" i="14"/>
  <c r="P24" i="14"/>
  <c r="L24" i="14"/>
  <c r="K24" i="14"/>
  <c r="G24" i="14"/>
  <c r="F24" i="14"/>
  <c r="C24" i="14"/>
  <c r="B24" i="14"/>
  <c r="A24" i="14"/>
  <c r="DM24" i="14" s="1"/>
  <c r="EU23" i="14"/>
  <c r="EQ23" i="14"/>
  <c r="EP23" i="14"/>
  <c r="EK23" i="14"/>
  <c r="EG23" i="14"/>
  <c r="EF23" i="14"/>
  <c r="EB23" i="14"/>
  <c r="EA23" i="14"/>
  <c r="DV23" i="14"/>
  <c r="DQ23" i="14"/>
  <c r="DM23" i="14"/>
  <c r="DL23" i="14"/>
  <c r="DG23" i="14"/>
  <c r="DB23" i="14"/>
  <c r="CW23" i="14"/>
  <c r="CS23" i="14"/>
  <c r="CR23" i="14"/>
  <c r="CN23" i="14"/>
  <c r="CM23" i="14"/>
  <c r="CI23" i="14"/>
  <c r="CH23" i="14"/>
  <c r="CD23" i="14"/>
  <c r="CC23" i="14"/>
  <c r="BX23" i="14"/>
  <c r="BS23" i="14"/>
  <c r="BN23" i="14"/>
  <c r="BI23" i="14"/>
  <c r="BD23" i="14"/>
  <c r="AY23" i="14"/>
  <c r="AT23" i="14"/>
  <c r="AP23" i="14"/>
  <c r="AO23" i="14"/>
  <c r="AK23" i="14"/>
  <c r="AJ23" i="14"/>
  <c r="AF23" i="14"/>
  <c r="AE23" i="14"/>
  <c r="Z23" i="14"/>
  <c r="U23" i="14"/>
  <c r="P23" i="14"/>
  <c r="K23" i="14"/>
  <c r="G23" i="14"/>
  <c r="F23" i="14"/>
  <c r="C23" i="14"/>
  <c r="B23" i="14"/>
  <c r="A23" i="14"/>
  <c r="EU22" i="14"/>
  <c r="EP22" i="14"/>
  <c r="EK22" i="14"/>
  <c r="EF22" i="14"/>
  <c r="EA22" i="14"/>
  <c r="DV22" i="14"/>
  <c r="DQ22" i="14"/>
  <c r="DM22" i="14"/>
  <c r="DL22" i="14"/>
  <c r="DG22" i="14"/>
  <c r="DB22" i="14"/>
  <c r="CW22" i="14"/>
  <c r="CR22" i="14"/>
  <c r="CM22" i="14"/>
  <c r="CH22" i="14"/>
  <c r="CC22" i="14"/>
  <c r="BX22" i="14"/>
  <c r="BS22" i="14"/>
  <c r="BN22" i="14"/>
  <c r="BI22" i="14"/>
  <c r="BD22" i="14"/>
  <c r="AY22" i="14"/>
  <c r="AT22" i="14"/>
  <c r="AO22" i="14"/>
  <c r="AJ22" i="14"/>
  <c r="AE22" i="14"/>
  <c r="Z22" i="14"/>
  <c r="U22" i="14"/>
  <c r="P22" i="14"/>
  <c r="K22" i="14"/>
  <c r="F22" i="14"/>
  <c r="C22" i="14"/>
  <c r="B22" i="14"/>
  <c r="A22" i="14"/>
  <c r="EV21" i="14"/>
  <c r="EU21" i="14"/>
  <c r="EP21" i="14"/>
  <c r="EK21" i="14"/>
  <c r="EF21" i="14"/>
  <c r="EB21" i="14"/>
  <c r="EA21" i="14"/>
  <c r="DW21" i="14"/>
  <c r="DV21" i="14"/>
  <c r="DQ21" i="14"/>
  <c r="DM21" i="14"/>
  <c r="DL21" i="14"/>
  <c r="DG21" i="14"/>
  <c r="DC21" i="14"/>
  <c r="DB21" i="14"/>
  <c r="CX21" i="14"/>
  <c r="CW21" i="14"/>
  <c r="CR21" i="14"/>
  <c r="CM21" i="14"/>
  <c r="CI21" i="14"/>
  <c r="CH21" i="14"/>
  <c r="CD21" i="14"/>
  <c r="CC21" i="14"/>
  <c r="BX21" i="14"/>
  <c r="BT21" i="14"/>
  <c r="BS21" i="14"/>
  <c r="BN21" i="14"/>
  <c r="BI21" i="14"/>
  <c r="BD21" i="14"/>
  <c r="AY21" i="14"/>
  <c r="AU21" i="14"/>
  <c r="AT21" i="14"/>
  <c r="AO21" i="14"/>
  <c r="AK21" i="14"/>
  <c r="AJ21" i="14"/>
  <c r="AE21" i="14"/>
  <c r="Z21" i="14"/>
  <c r="U21" i="14"/>
  <c r="P21" i="14"/>
  <c r="K21" i="14"/>
  <c r="F21" i="14"/>
  <c r="C21" i="14"/>
  <c r="B21" i="14"/>
  <c r="A21" i="14"/>
  <c r="EV20" i="14"/>
  <c r="EU20" i="14"/>
  <c r="EP20" i="14"/>
  <c r="EK20" i="14"/>
  <c r="EG20" i="14"/>
  <c r="EF20" i="14"/>
  <c r="EA20" i="14"/>
  <c r="DV20" i="14"/>
  <c r="DQ20" i="14"/>
  <c r="DL20" i="14"/>
  <c r="DH20" i="14"/>
  <c r="DG20" i="14"/>
  <c r="DB20" i="14"/>
  <c r="CW20" i="14"/>
  <c r="CR20" i="14"/>
  <c r="CN20" i="14"/>
  <c r="CM20" i="14"/>
  <c r="CH20" i="14"/>
  <c r="CC20" i="14"/>
  <c r="BY20" i="14"/>
  <c r="BX20" i="14"/>
  <c r="BT20" i="14"/>
  <c r="BS20" i="14"/>
  <c r="BN20" i="14"/>
  <c r="BJ20" i="14"/>
  <c r="BI20" i="14"/>
  <c r="BD20" i="14"/>
  <c r="AY20" i="14"/>
  <c r="AT20" i="14"/>
  <c r="AP20" i="14"/>
  <c r="AO20" i="14"/>
  <c r="AJ20" i="14"/>
  <c r="AF20" i="14"/>
  <c r="AE20" i="14"/>
  <c r="AA20" i="14"/>
  <c r="Z20" i="14"/>
  <c r="V20" i="14"/>
  <c r="U20" i="14"/>
  <c r="P20" i="14"/>
  <c r="K20" i="14"/>
  <c r="F20" i="14"/>
  <c r="C20" i="14"/>
  <c r="B20" i="14"/>
  <c r="A20" i="14"/>
  <c r="EV19" i="14"/>
  <c r="EU19" i="14"/>
  <c r="EQ19" i="14"/>
  <c r="EP19" i="14"/>
  <c r="EL19" i="14"/>
  <c r="EK19" i="14"/>
  <c r="EG19" i="14"/>
  <c r="EF19" i="14"/>
  <c r="EA19" i="14"/>
  <c r="DW19" i="14"/>
  <c r="DV19" i="14"/>
  <c r="DR19" i="14"/>
  <c r="DQ19" i="14"/>
  <c r="DM19" i="14"/>
  <c r="DL19" i="14"/>
  <c r="DH19" i="14"/>
  <c r="DG19" i="14"/>
  <c r="DC19" i="14"/>
  <c r="DB19" i="14"/>
  <c r="CX19" i="14"/>
  <c r="CW19" i="14"/>
  <c r="CS19" i="14"/>
  <c r="CR19" i="14"/>
  <c r="CM19" i="14"/>
  <c r="CI19" i="14"/>
  <c r="CH19" i="14"/>
  <c r="CC19" i="14"/>
  <c r="BY19" i="14"/>
  <c r="BX19" i="14"/>
  <c r="BT19" i="14"/>
  <c r="BS19" i="14"/>
  <c r="BO19" i="14"/>
  <c r="BN19" i="14"/>
  <c r="BJ19" i="14"/>
  <c r="BI19" i="14"/>
  <c r="BE19" i="14"/>
  <c r="BD19" i="14"/>
  <c r="AY19" i="14"/>
  <c r="AU19" i="14"/>
  <c r="AT19" i="14"/>
  <c r="AP19" i="14"/>
  <c r="AO19" i="14"/>
  <c r="AK19" i="14"/>
  <c r="AJ19" i="14"/>
  <c r="AF19" i="14"/>
  <c r="AE19" i="14"/>
  <c r="AA19" i="14"/>
  <c r="Z19" i="14"/>
  <c r="V19" i="14"/>
  <c r="U19" i="14"/>
  <c r="Q19" i="14"/>
  <c r="P19" i="14"/>
  <c r="K19" i="14"/>
  <c r="G19" i="14"/>
  <c r="F19" i="14"/>
  <c r="C19" i="14"/>
  <c r="B19" i="14"/>
  <c r="A19" i="14"/>
  <c r="EU18" i="14"/>
  <c r="EP18" i="14"/>
  <c r="EK18" i="14"/>
  <c r="EF18" i="14"/>
  <c r="EA18" i="14"/>
  <c r="DV18" i="14"/>
  <c r="DQ18" i="14"/>
  <c r="DM18" i="14"/>
  <c r="DL18" i="14"/>
  <c r="DG18" i="14"/>
  <c r="DB18" i="14"/>
  <c r="CW18" i="14"/>
  <c r="CR18" i="14"/>
  <c r="CM18" i="14"/>
  <c r="CH18" i="14"/>
  <c r="CC18" i="14"/>
  <c r="BX18" i="14"/>
  <c r="BS18" i="14"/>
  <c r="BN18" i="14"/>
  <c r="BI18" i="14"/>
  <c r="BD18" i="14"/>
  <c r="AY18" i="14"/>
  <c r="AU18" i="14"/>
  <c r="AT18" i="14"/>
  <c r="AO18" i="14"/>
  <c r="AJ18" i="14"/>
  <c r="AE18" i="14"/>
  <c r="Z18" i="14"/>
  <c r="U18" i="14"/>
  <c r="P18" i="14"/>
  <c r="L18" i="14"/>
  <c r="K18" i="14"/>
  <c r="F18" i="14"/>
  <c r="C18" i="14"/>
  <c r="B18" i="14"/>
  <c r="A18" i="14"/>
  <c r="EU17" i="14"/>
  <c r="EP17" i="14"/>
  <c r="EL17" i="14"/>
  <c r="EK17" i="14"/>
  <c r="EF17" i="14"/>
  <c r="EB17" i="14"/>
  <c r="EA17" i="14"/>
  <c r="DV17" i="14"/>
  <c r="DR17" i="14"/>
  <c r="DQ17" i="14"/>
  <c r="DM17" i="14"/>
  <c r="DL17" i="14"/>
  <c r="DH17" i="14"/>
  <c r="DG17" i="14"/>
  <c r="DB17" i="14"/>
  <c r="CX17" i="14"/>
  <c r="CW17" i="14"/>
  <c r="CS17" i="14"/>
  <c r="CR17" i="14"/>
  <c r="CM17" i="14"/>
  <c r="CH17" i="14"/>
  <c r="CD17" i="14"/>
  <c r="CC17" i="14"/>
  <c r="BY17" i="14"/>
  <c r="BX17" i="14"/>
  <c r="BT17" i="14"/>
  <c r="BS17" i="14"/>
  <c r="BN17" i="14"/>
  <c r="BI17" i="14"/>
  <c r="BE17" i="14"/>
  <c r="BD17" i="14"/>
  <c r="AZ17" i="14"/>
  <c r="AY17" i="14"/>
  <c r="AT17" i="14"/>
  <c r="AO17" i="14"/>
  <c r="AK17" i="14"/>
  <c r="AJ17" i="14"/>
  <c r="AE17" i="14"/>
  <c r="AA17" i="14"/>
  <c r="Z17" i="14"/>
  <c r="U17" i="14"/>
  <c r="Q17" i="14"/>
  <c r="P17" i="14"/>
  <c r="L17" i="14"/>
  <c r="K17" i="14"/>
  <c r="F17" i="14"/>
  <c r="C17" i="14"/>
  <c r="B17" i="14"/>
  <c r="A17" i="14"/>
  <c r="AF17" i="14" s="1"/>
  <c r="EU16" i="14"/>
  <c r="EP16" i="14"/>
  <c r="EL16" i="14"/>
  <c r="EK16" i="14"/>
  <c r="EF16" i="14"/>
  <c r="EB16" i="14"/>
  <c r="EA16" i="14"/>
  <c r="DV16" i="14"/>
  <c r="DQ16" i="14"/>
  <c r="DM16" i="14"/>
  <c r="DL16" i="14"/>
  <c r="DG16" i="14"/>
  <c r="DB16" i="14"/>
  <c r="CW16" i="14"/>
  <c r="CR16" i="14"/>
  <c r="CM16" i="14"/>
  <c r="CI16" i="14"/>
  <c r="CH16" i="14"/>
  <c r="CC16" i="14"/>
  <c r="BX16" i="14"/>
  <c r="BS16" i="14"/>
  <c r="BN16" i="14"/>
  <c r="BI16" i="14"/>
  <c r="BD16" i="14"/>
  <c r="AY16" i="14"/>
  <c r="AU16" i="14"/>
  <c r="AT16" i="14"/>
  <c r="AO16" i="14"/>
  <c r="AJ16" i="14"/>
  <c r="AE16" i="14"/>
  <c r="Z16" i="14"/>
  <c r="U16" i="14"/>
  <c r="P16" i="14"/>
  <c r="L16" i="14"/>
  <c r="K16" i="14"/>
  <c r="G16" i="14"/>
  <c r="F16" i="14"/>
  <c r="C16" i="14"/>
  <c r="B16" i="14"/>
  <c r="A16" i="14"/>
  <c r="DW16" i="14" s="1"/>
  <c r="EV15" i="14"/>
  <c r="EU15" i="14"/>
  <c r="EQ15" i="14"/>
  <c r="EP15" i="14"/>
  <c r="EK15" i="14"/>
  <c r="EF15" i="14"/>
  <c r="EA15" i="14"/>
  <c r="DV15" i="14"/>
  <c r="DQ15" i="14"/>
  <c r="DM15" i="14"/>
  <c r="DL15" i="14"/>
  <c r="DH15" i="14"/>
  <c r="DG15" i="14"/>
  <c r="DB15" i="14"/>
  <c r="CX15" i="14"/>
  <c r="CW15" i="14"/>
  <c r="CR15" i="14"/>
  <c r="CM15" i="14"/>
  <c r="CH15" i="14"/>
  <c r="CC15" i="14"/>
  <c r="BY15" i="14"/>
  <c r="BX15" i="14"/>
  <c r="BS15" i="14"/>
  <c r="BO15" i="14"/>
  <c r="BN15" i="14"/>
  <c r="BJ15" i="14"/>
  <c r="BI15" i="14"/>
  <c r="BD15" i="14"/>
  <c r="AY15" i="14"/>
  <c r="AT15" i="14"/>
  <c r="AO15" i="14"/>
  <c r="AJ15" i="14"/>
  <c r="AE15" i="14"/>
  <c r="AA15" i="14"/>
  <c r="Z15" i="14"/>
  <c r="U15" i="14"/>
  <c r="Q15" i="14"/>
  <c r="P15" i="14"/>
  <c r="L15" i="14"/>
  <c r="K15" i="14"/>
  <c r="F15" i="14"/>
  <c r="C15" i="14"/>
  <c r="B15" i="14"/>
  <c r="A15" i="14"/>
  <c r="EV14" i="14"/>
  <c r="EU14" i="14"/>
  <c r="EP14" i="14"/>
  <c r="EL14" i="14"/>
  <c r="EK14" i="14"/>
  <c r="EG14" i="14"/>
  <c r="EF14" i="14"/>
  <c r="EB14" i="14"/>
  <c r="EA14" i="14"/>
  <c r="DV14" i="14"/>
  <c r="DQ14" i="14"/>
  <c r="DM14" i="14"/>
  <c r="DL14" i="14"/>
  <c r="DG14" i="14"/>
  <c r="DB14" i="14"/>
  <c r="CW14" i="14"/>
  <c r="CR14" i="14"/>
  <c r="CN14" i="14"/>
  <c r="CM14" i="14"/>
  <c r="CH14" i="14"/>
  <c r="CC14" i="14"/>
  <c r="BY14" i="14"/>
  <c r="BX14" i="14"/>
  <c r="BT14" i="14"/>
  <c r="BS14" i="14"/>
  <c r="BN14" i="14"/>
  <c r="BJ14" i="14"/>
  <c r="BI14" i="14"/>
  <c r="BD14" i="14"/>
  <c r="AY14" i="14"/>
  <c r="AT14" i="14"/>
  <c r="AO14" i="14"/>
  <c r="AK14" i="14"/>
  <c r="AJ14" i="14"/>
  <c r="AF14" i="14"/>
  <c r="AE14" i="14"/>
  <c r="AA14" i="14"/>
  <c r="Z14" i="14"/>
  <c r="U14" i="14"/>
  <c r="P14" i="14"/>
  <c r="K14" i="14"/>
  <c r="F14" i="14"/>
  <c r="C14" i="14"/>
  <c r="B14" i="14"/>
  <c r="A14" i="14"/>
  <c r="EV13" i="14"/>
  <c r="EU13" i="14"/>
  <c r="EQ13" i="14"/>
  <c r="EP13" i="14"/>
  <c r="EL13" i="14"/>
  <c r="EK13" i="14"/>
  <c r="EG13" i="14"/>
  <c r="EF13" i="14"/>
  <c r="EB13" i="14"/>
  <c r="EA13" i="14"/>
  <c r="DW13" i="14"/>
  <c r="DV13" i="14"/>
  <c r="DR13" i="14"/>
  <c r="DQ13" i="14"/>
  <c r="DL13" i="14"/>
  <c r="DH13" i="14"/>
  <c r="DG13" i="14"/>
  <c r="DC13" i="14"/>
  <c r="DB13" i="14"/>
  <c r="CX13" i="14"/>
  <c r="CW13" i="14"/>
  <c r="CS13" i="14"/>
  <c r="CR13" i="14"/>
  <c r="CN13" i="14"/>
  <c r="CM13" i="14"/>
  <c r="CI13" i="14"/>
  <c r="CH13" i="14"/>
  <c r="CD13" i="14"/>
  <c r="CC13" i="14"/>
  <c r="BX13" i="14"/>
  <c r="BT13" i="14"/>
  <c r="BS13" i="14"/>
  <c r="BO13" i="14"/>
  <c r="BN13" i="14"/>
  <c r="BJ13" i="14"/>
  <c r="BI13" i="14"/>
  <c r="BE13" i="14"/>
  <c r="BD13" i="14"/>
  <c r="AZ13" i="14"/>
  <c r="AY13" i="14"/>
  <c r="AU13" i="14"/>
  <c r="AT13" i="14"/>
  <c r="AP13" i="14"/>
  <c r="AO13" i="14"/>
  <c r="AJ13" i="14"/>
  <c r="AF13" i="14"/>
  <c r="AE13" i="14"/>
  <c r="AA13" i="14"/>
  <c r="Z13" i="14"/>
  <c r="V13" i="14"/>
  <c r="U13" i="14"/>
  <c r="Q13" i="14"/>
  <c r="P13" i="14"/>
  <c r="L13" i="14"/>
  <c r="K13" i="14"/>
  <c r="G13" i="14"/>
  <c r="F13" i="14"/>
  <c r="C13" i="14"/>
  <c r="B13" i="14"/>
  <c r="A13" i="14"/>
  <c r="DM13" i="14" s="1"/>
  <c r="EU12" i="14"/>
  <c r="EQ12" i="14"/>
  <c r="EP12" i="14"/>
  <c r="EL12" i="14"/>
  <c r="EK12" i="14"/>
  <c r="EG12" i="14"/>
  <c r="EF12" i="14"/>
  <c r="EB12" i="14"/>
  <c r="EA12" i="14"/>
  <c r="DV12" i="14"/>
  <c r="DR12" i="14"/>
  <c r="DQ12" i="14"/>
  <c r="DM12" i="14"/>
  <c r="DL12" i="14"/>
  <c r="DG12" i="14"/>
  <c r="DC12" i="14"/>
  <c r="DB12" i="14"/>
  <c r="CX12" i="14"/>
  <c r="CW12" i="14"/>
  <c r="CS12" i="14"/>
  <c r="CR12" i="14"/>
  <c r="CN12" i="14"/>
  <c r="CM12" i="14"/>
  <c r="CI12" i="14"/>
  <c r="CH12" i="14"/>
  <c r="CC12" i="14"/>
  <c r="BY12" i="14"/>
  <c r="BX12" i="14"/>
  <c r="BS12" i="14"/>
  <c r="BO12" i="14"/>
  <c r="BN12" i="14"/>
  <c r="BJ12" i="14"/>
  <c r="BI12" i="14"/>
  <c r="BE12" i="14"/>
  <c r="BD12" i="14"/>
  <c r="AZ12" i="14"/>
  <c r="AY12" i="14"/>
  <c r="AU12" i="14"/>
  <c r="AT12" i="14"/>
  <c r="AO12" i="14"/>
  <c r="AK12" i="14"/>
  <c r="AJ12" i="14"/>
  <c r="AE12" i="14"/>
  <c r="Z12" i="14"/>
  <c r="V12" i="14"/>
  <c r="U12" i="14"/>
  <c r="Q12" i="14"/>
  <c r="P12" i="14"/>
  <c r="N35" i="14" s="1"/>
  <c r="L12" i="14"/>
  <c r="K12" i="14"/>
  <c r="G12" i="14"/>
  <c r="F12" i="14"/>
  <c r="C12" i="14"/>
  <c r="B12" i="14"/>
  <c r="A12" i="14"/>
  <c r="AA12" i="14" s="1"/>
  <c r="EU11" i="14"/>
  <c r="EP11" i="14"/>
  <c r="EK11" i="14"/>
  <c r="EF11" i="14"/>
  <c r="EA11" i="14"/>
  <c r="DV11" i="14"/>
  <c r="DQ11" i="14"/>
  <c r="DL11" i="14"/>
  <c r="DG11" i="14"/>
  <c r="DB11" i="14"/>
  <c r="CW11" i="14"/>
  <c r="CS11" i="14"/>
  <c r="CR11" i="14"/>
  <c r="CM11" i="14"/>
  <c r="CI11" i="14"/>
  <c r="CH11" i="14"/>
  <c r="CC11" i="14"/>
  <c r="BX11" i="14"/>
  <c r="BS11" i="14"/>
  <c r="BN11" i="14"/>
  <c r="BI11" i="14"/>
  <c r="BD11" i="14"/>
  <c r="AY11" i="14"/>
  <c r="AT11" i="14"/>
  <c r="AO11" i="14"/>
  <c r="AK11" i="14"/>
  <c r="AJ11" i="14"/>
  <c r="AE11" i="14"/>
  <c r="Z11" i="14"/>
  <c r="U11" i="14"/>
  <c r="P11" i="14"/>
  <c r="K11" i="14"/>
  <c r="F11" i="14"/>
  <c r="C11" i="14"/>
  <c r="B11" i="14"/>
  <c r="A11" i="14"/>
  <c r="DR11" i="14" s="1"/>
  <c r="EV10" i="14"/>
  <c r="EU10" i="14"/>
  <c r="EQ10" i="14"/>
  <c r="EP10" i="14"/>
  <c r="EN35" i="14" s="1"/>
  <c r="EL10" i="14"/>
  <c r="EK10" i="14"/>
  <c r="EF10" i="14"/>
  <c r="EB10" i="14"/>
  <c r="EA10" i="14"/>
  <c r="DV10" i="14"/>
  <c r="DR10" i="14"/>
  <c r="DQ10" i="14"/>
  <c r="DM10" i="14"/>
  <c r="DL10" i="14"/>
  <c r="DH10" i="14"/>
  <c r="DG10" i="14"/>
  <c r="DC10" i="14"/>
  <c r="DB10" i="14"/>
  <c r="CX10" i="14"/>
  <c r="CW10" i="14"/>
  <c r="CR10" i="14"/>
  <c r="CN10" i="14"/>
  <c r="CM10" i="14"/>
  <c r="CI10" i="14"/>
  <c r="CH10" i="14"/>
  <c r="CC10" i="14"/>
  <c r="BY10" i="14"/>
  <c r="BX10" i="14"/>
  <c r="BS10" i="14"/>
  <c r="BO10" i="14"/>
  <c r="BN10" i="14"/>
  <c r="BJ10" i="14"/>
  <c r="BI10" i="14"/>
  <c r="BD10" i="14"/>
  <c r="AZ10" i="14"/>
  <c r="AY10" i="14"/>
  <c r="AW35" i="14" s="1"/>
  <c r="AU10" i="14"/>
  <c r="AT10" i="14"/>
  <c r="AR35" i="14" s="1"/>
  <c r="AO10" i="14"/>
  <c r="AK10" i="14"/>
  <c r="AJ10" i="14"/>
  <c r="AF10" i="14"/>
  <c r="AE10" i="14"/>
  <c r="AA10" i="14"/>
  <c r="Z10" i="14"/>
  <c r="V10" i="14"/>
  <c r="U10" i="14"/>
  <c r="P10" i="14"/>
  <c r="L10" i="14"/>
  <c r="K10" i="14"/>
  <c r="G10" i="14"/>
  <c r="F10" i="14"/>
  <c r="D35" i="14" s="1"/>
  <c r="C10" i="14"/>
  <c r="B10" i="14"/>
  <c r="A10" i="14"/>
  <c r="BT10" i="14" s="1"/>
  <c r="EU9" i="14"/>
  <c r="EP9" i="14"/>
  <c r="EK9" i="14"/>
  <c r="EF9" i="14"/>
  <c r="EA9" i="14"/>
  <c r="DV9" i="14"/>
  <c r="DQ9" i="14"/>
  <c r="DM9" i="14"/>
  <c r="DL9" i="14"/>
  <c r="DG9" i="14"/>
  <c r="DB9" i="14"/>
  <c r="CX9" i="14"/>
  <c r="CW9" i="14"/>
  <c r="CR9" i="14"/>
  <c r="CM9" i="14"/>
  <c r="CH9" i="14"/>
  <c r="CC9" i="14"/>
  <c r="BX9" i="14"/>
  <c r="BS9" i="14"/>
  <c r="BN9" i="14"/>
  <c r="BI9" i="14"/>
  <c r="BD9" i="14"/>
  <c r="AZ9" i="14"/>
  <c r="AY9" i="14"/>
  <c r="AT9" i="14"/>
  <c r="AO9" i="14"/>
  <c r="AK9" i="14"/>
  <c r="AJ9" i="14"/>
  <c r="AE9" i="14"/>
  <c r="Z9" i="14"/>
  <c r="U9" i="14"/>
  <c r="P9" i="14"/>
  <c r="K9" i="14"/>
  <c r="F9" i="14"/>
  <c r="C9" i="14"/>
  <c r="B9" i="14"/>
  <c r="A9" i="14"/>
  <c r="EV8" i="14"/>
  <c r="EU8" i="14"/>
  <c r="EP8" i="14"/>
  <c r="EK8" i="14"/>
  <c r="EG8" i="14"/>
  <c r="EF8" i="14"/>
  <c r="EA8" i="14"/>
  <c r="DV8" i="14"/>
  <c r="DQ8" i="14"/>
  <c r="DL8" i="14"/>
  <c r="DH8" i="14"/>
  <c r="DG8" i="14"/>
  <c r="DC8" i="14"/>
  <c r="DB8" i="14"/>
  <c r="CX8" i="14"/>
  <c r="CW8" i="14"/>
  <c r="CR8" i="14"/>
  <c r="CM8" i="14"/>
  <c r="CH8" i="14"/>
  <c r="CC8" i="14"/>
  <c r="BX8" i="14"/>
  <c r="BS8" i="14"/>
  <c r="BO8" i="14"/>
  <c r="BN8" i="14"/>
  <c r="BJ8" i="14"/>
  <c r="BI8" i="14"/>
  <c r="BE8" i="14"/>
  <c r="BD8" i="14"/>
  <c r="AZ8" i="14"/>
  <c r="AY8" i="14"/>
  <c r="AT8" i="14"/>
  <c r="AO8" i="14"/>
  <c r="AK8" i="14"/>
  <c r="AJ8" i="14"/>
  <c r="AE8" i="14"/>
  <c r="Z8" i="14"/>
  <c r="V8" i="14"/>
  <c r="U8" i="14"/>
  <c r="Q8" i="14"/>
  <c r="P8" i="14"/>
  <c r="L8" i="14"/>
  <c r="K8" i="14"/>
  <c r="I35" i="14" s="1"/>
  <c r="G8" i="14"/>
  <c r="F8" i="14"/>
  <c r="C8" i="14"/>
  <c r="B8" i="14"/>
  <c r="A8" i="14"/>
  <c r="AA8" i="14" s="1"/>
  <c r="EV7" i="14"/>
  <c r="EU7" i="14"/>
  <c r="EP7" i="14"/>
  <c r="EK7" i="14"/>
  <c r="EF7" i="14"/>
  <c r="EB7" i="14"/>
  <c r="EA7" i="14"/>
  <c r="DV7" i="14"/>
  <c r="DR7" i="14"/>
  <c r="DQ7" i="14"/>
  <c r="DL7" i="14"/>
  <c r="DG7" i="14"/>
  <c r="DB7" i="14"/>
  <c r="CW7" i="14"/>
  <c r="CS7" i="14"/>
  <c r="CR7" i="14"/>
  <c r="CM7" i="14"/>
  <c r="CI7" i="14"/>
  <c r="CH7" i="14"/>
  <c r="CD7" i="14"/>
  <c r="CC7" i="14"/>
  <c r="BX7" i="14"/>
  <c r="BS7" i="14"/>
  <c r="BN7" i="14"/>
  <c r="BI7" i="14"/>
  <c r="BE7" i="14"/>
  <c r="BD7" i="14"/>
  <c r="AY7" i="14"/>
  <c r="AU7" i="14"/>
  <c r="AT7" i="14"/>
  <c r="AO7" i="14"/>
  <c r="AK7" i="14"/>
  <c r="AJ7" i="14"/>
  <c r="AE7" i="14"/>
  <c r="AA7" i="14"/>
  <c r="Z7" i="14"/>
  <c r="U7" i="14"/>
  <c r="P7" i="14"/>
  <c r="K7" i="14"/>
  <c r="F7" i="14"/>
  <c r="C7" i="14"/>
  <c r="B7" i="14"/>
  <c r="A7" i="14"/>
  <c r="EV6" i="14"/>
  <c r="EU6" i="14"/>
  <c r="EP6" i="14"/>
  <c r="EL6" i="14"/>
  <c r="EK6" i="14"/>
  <c r="EF6" i="14"/>
  <c r="EB6" i="14"/>
  <c r="EA6" i="14"/>
  <c r="DW6" i="14"/>
  <c r="DV6" i="14"/>
  <c r="DR6" i="14"/>
  <c r="DQ6" i="14"/>
  <c r="DM6" i="14"/>
  <c r="DL6" i="14"/>
  <c r="DH6" i="14"/>
  <c r="DG6" i="14"/>
  <c r="DB6" i="14"/>
  <c r="CX6" i="14"/>
  <c r="CW6" i="14"/>
  <c r="CS6" i="14"/>
  <c r="CR6" i="14"/>
  <c r="CN6" i="14"/>
  <c r="CM6" i="14"/>
  <c r="CI6" i="14"/>
  <c r="CH6" i="14"/>
  <c r="CC6" i="14"/>
  <c r="BY6" i="14"/>
  <c r="BX6" i="14"/>
  <c r="BT6" i="14"/>
  <c r="BS6" i="14"/>
  <c r="BN6" i="14"/>
  <c r="BJ6" i="14"/>
  <c r="BI6" i="14"/>
  <c r="BE6" i="14"/>
  <c r="BD6" i="14"/>
  <c r="AY6" i="14"/>
  <c r="AU6" i="14"/>
  <c r="AT6" i="14"/>
  <c r="AP6" i="14"/>
  <c r="AO6" i="14"/>
  <c r="AK6" i="14"/>
  <c r="AJ6" i="14"/>
  <c r="AF6" i="14"/>
  <c r="AE6" i="14"/>
  <c r="Z6" i="14"/>
  <c r="V6" i="14"/>
  <c r="U6" i="14"/>
  <c r="Q6" i="14"/>
  <c r="P6" i="14"/>
  <c r="L6" i="14"/>
  <c r="K6" i="14"/>
  <c r="G6" i="14"/>
  <c r="F6" i="14"/>
  <c r="C6" i="14"/>
  <c r="B6" i="14"/>
  <c r="A6" i="14"/>
  <c r="EU5" i="14"/>
  <c r="ES35" i="14" s="1"/>
  <c r="EP5" i="14"/>
  <c r="EK5" i="14"/>
  <c r="EF5" i="14"/>
  <c r="EA5" i="14"/>
  <c r="DY35" i="14" s="1"/>
  <c r="DW5" i="14"/>
  <c r="DV5" i="14"/>
  <c r="DQ5" i="14"/>
  <c r="DL5" i="14"/>
  <c r="DH5" i="14"/>
  <c r="DG5" i="14"/>
  <c r="DB5" i="14"/>
  <c r="CW5" i="14"/>
  <c r="CR5" i="14"/>
  <c r="CN5" i="14"/>
  <c r="CM5" i="14"/>
  <c r="CI5" i="14"/>
  <c r="CH5" i="14"/>
  <c r="CC5" i="14"/>
  <c r="BX5" i="14"/>
  <c r="BS5" i="14"/>
  <c r="BN5" i="14"/>
  <c r="BI5" i="14"/>
  <c r="BD5" i="14"/>
  <c r="AZ5" i="14"/>
  <c r="AY5" i="14"/>
  <c r="AT5" i="14"/>
  <c r="AO5" i="14"/>
  <c r="AJ5" i="14"/>
  <c r="AE5" i="14"/>
  <c r="Z5" i="14"/>
  <c r="U5" i="14"/>
  <c r="P5" i="14"/>
  <c r="K5" i="14"/>
  <c r="G5" i="14"/>
  <c r="F5" i="14"/>
  <c r="C5" i="14"/>
  <c r="B5" i="14"/>
  <c r="A5" i="14"/>
  <c r="AP5" i="14" s="1"/>
  <c r="EU4" i="14"/>
  <c r="EP4" i="14"/>
  <c r="EK4" i="14"/>
  <c r="EF4" i="14"/>
  <c r="EA4" i="14"/>
  <c r="DV4" i="14"/>
  <c r="DQ4" i="14"/>
  <c r="DL4" i="14"/>
  <c r="DG4" i="14"/>
  <c r="DC4" i="14"/>
  <c r="DB4" i="14"/>
  <c r="CW4" i="14"/>
  <c r="CR4" i="14"/>
  <c r="CM4" i="14"/>
  <c r="CH4" i="14"/>
  <c r="CC4" i="14"/>
  <c r="BY4" i="14"/>
  <c r="BX4" i="14"/>
  <c r="BS4" i="14"/>
  <c r="BN4" i="14"/>
  <c r="BI4" i="14"/>
  <c r="BD4" i="14"/>
  <c r="AY4" i="14"/>
  <c r="AT4" i="14"/>
  <c r="AO4" i="14"/>
  <c r="AM35" i="14" s="1"/>
  <c r="AK4" i="14"/>
  <c r="AJ4" i="14"/>
  <c r="AE4" i="14"/>
  <c r="AC35" i="14" s="1"/>
  <c r="Z4" i="14"/>
  <c r="U4" i="14"/>
  <c r="P4" i="14"/>
  <c r="K4" i="14"/>
  <c r="F4" i="14"/>
  <c r="C4" i="14"/>
  <c r="B4" i="14"/>
  <c r="A4" i="14"/>
  <c r="ES2" i="14"/>
  <c r="EN2" i="14"/>
  <c r="EI2" i="14"/>
  <c r="ED2" i="14"/>
  <c r="DY2" i="14"/>
  <c r="DT2" i="14"/>
  <c r="DO2" i="14"/>
  <c r="DJ2" i="14"/>
  <c r="DE2" i="14"/>
  <c r="CZ2" i="14"/>
  <c r="CU2" i="14"/>
  <c r="CP2" i="14"/>
  <c r="CK2" i="14"/>
  <c r="CF2" i="14"/>
  <c r="CA2" i="14"/>
  <c r="BV2" i="14"/>
  <c r="BQ2" i="14"/>
  <c r="BL2" i="14"/>
  <c r="BG2" i="14"/>
  <c r="BB2" i="14"/>
  <c r="AW2" i="14"/>
  <c r="AR2" i="14"/>
  <c r="AM2" i="14"/>
  <c r="AH2" i="14"/>
  <c r="AC2" i="14"/>
  <c r="X2" i="14"/>
  <c r="S2" i="14"/>
  <c r="N2" i="14"/>
  <c r="I2" i="14"/>
  <c r="D2" i="14"/>
  <c r="A1" i="14"/>
  <c r="ES40" i="13"/>
  <c r="EN40" i="13"/>
  <c r="EI40" i="13"/>
  <c r="ED40" i="13"/>
  <c r="DY40" i="13"/>
  <c r="DT40" i="13"/>
  <c r="DO40" i="13"/>
  <c r="DJ40" i="13"/>
  <c r="DE40" i="13"/>
  <c r="CZ40" i="13"/>
  <c r="CU40" i="13"/>
  <c r="CP40" i="13"/>
  <c r="CK40" i="13"/>
  <c r="CF40" i="13"/>
  <c r="CA40" i="13"/>
  <c r="BV40" i="13"/>
  <c r="BQ40" i="13"/>
  <c r="BL40" i="13"/>
  <c r="BG40" i="13"/>
  <c r="BB40" i="13"/>
  <c r="AW40" i="13"/>
  <c r="AR40" i="13"/>
  <c r="AM40" i="13"/>
  <c r="AH40" i="13"/>
  <c r="AC40" i="13"/>
  <c r="X40" i="13"/>
  <c r="S40" i="13"/>
  <c r="N40" i="13"/>
  <c r="I40" i="13"/>
  <c r="D40" i="13"/>
  <c r="ES39" i="13"/>
  <c r="EN39" i="13"/>
  <c r="EI39" i="13"/>
  <c r="ED39" i="13"/>
  <c r="DY39" i="13"/>
  <c r="DT39" i="13"/>
  <c r="DO39" i="13"/>
  <c r="DJ39" i="13"/>
  <c r="DE39" i="13"/>
  <c r="CZ39" i="13"/>
  <c r="CU39" i="13"/>
  <c r="CP39" i="13"/>
  <c r="CK39" i="13"/>
  <c r="CF39" i="13"/>
  <c r="CA39" i="13"/>
  <c r="BV39" i="13"/>
  <c r="BQ39" i="13"/>
  <c r="BL39" i="13"/>
  <c r="BG39" i="13"/>
  <c r="BB39" i="13"/>
  <c r="AW39" i="13"/>
  <c r="AR39" i="13"/>
  <c r="AM39" i="13"/>
  <c r="AH39" i="13"/>
  <c r="AC39" i="13"/>
  <c r="X39" i="13"/>
  <c r="S39" i="13"/>
  <c r="N39" i="13"/>
  <c r="I39" i="13"/>
  <c r="D39" i="13"/>
  <c r="ES38" i="13"/>
  <c r="EN38" i="13"/>
  <c r="EI38" i="13"/>
  <c r="ED38" i="13"/>
  <c r="DY38" i="13"/>
  <c r="DT38" i="13"/>
  <c r="DO38" i="13"/>
  <c r="DJ38" i="13"/>
  <c r="DE38" i="13"/>
  <c r="CZ38" i="13"/>
  <c r="CU38" i="13"/>
  <c r="CP38" i="13"/>
  <c r="CK38" i="13"/>
  <c r="CF38" i="13"/>
  <c r="CA38" i="13"/>
  <c r="BV38" i="13"/>
  <c r="BQ38" i="13"/>
  <c r="BL38" i="13"/>
  <c r="BG38" i="13"/>
  <c r="BB38" i="13"/>
  <c r="AW38" i="13"/>
  <c r="AR38" i="13"/>
  <c r="AM38" i="13"/>
  <c r="AH38" i="13"/>
  <c r="AC38" i="13"/>
  <c r="X38" i="13"/>
  <c r="S38" i="13"/>
  <c r="N38" i="13"/>
  <c r="I38" i="13"/>
  <c r="D38" i="13"/>
  <c r="EU34" i="13"/>
  <c r="EP34" i="13"/>
  <c r="EK34" i="13"/>
  <c r="EF34" i="13"/>
  <c r="EA34" i="13"/>
  <c r="DV34" i="13"/>
  <c r="DQ34" i="13"/>
  <c r="DL34" i="13"/>
  <c r="DG34" i="13"/>
  <c r="DB34" i="13"/>
  <c r="CW34" i="13"/>
  <c r="CR34" i="13"/>
  <c r="CM34" i="13"/>
  <c r="CH34" i="13"/>
  <c r="CC34" i="13"/>
  <c r="BX34" i="13"/>
  <c r="BS34" i="13"/>
  <c r="BN34" i="13"/>
  <c r="BI34" i="13"/>
  <c r="BD34" i="13"/>
  <c r="AY34" i="13"/>
  <c r="AT34" i="13"/>
  <c r="AO34" i="13"/>
  <c r="AJ34" i="13"/>
  <c r="AE34" i="13"/>
  <c r="Z34" i="13"/>
  <c r="U34" i="13"/>
  <c r="P34" i="13"/>
  <c r="K34" i="13"/>
  <c r="F34" i="13"/>
  <c r="C34" i="13"/>
  <c r="B34" i="13"/>
  <c r="A34" i="13"/>
  <c r="EV33" i="13"/>
  <c r="EU33" i="13"/>
  <c r="EQ33" i="13"/>
  <c r="EP33" i="13"/>
  <c r="EK33" i="13"/>
  <c r="EF33" i="13"/>
  <c r="EB33" i="13"/>
  <c r="EA33" i="13"/>
  <c r="DV33" i="13"/>
  <c r="DQ33" i="13"/>
  <c r="DL33" i="13"/>
  <c r="DH33" i="13"/>
  <c r="DG33" i="13"/>
  <c r="DC33" i="13"/>
  <c r="DB33" i="13"/>
  <c r="CX33" i="13"/>
  <c r="CW33" i="13"/>
  <c r="CR33" i="13"/>
  <c r="CM33" i="13"/>
  <c r="CI33" i="13"/>
  <c r="CH33" i="13"/>
  <c r="CD33" i="13"/>
  <c r="CC33" i="13"/>
  <c r="BX33" i="13"/>
  <c r="BT33" i="13"/>
  <c r="BS33" i="13"/>
  <c r="BO33" i="13"/>
  <c r="BN33" i="13"/>
  <c r="BJ33" i="13"/>
  <c r="BI33" i="13"/>
  <c r="BD33" i="13"/>
  <c r="AZ33" i="13"/>
  <c r="AY33" i="13"/>
  <c r="AT33" i="13"/>
  <c r="AP33" i="13"/>
  <c r="AO33" i="13"/>
  <c r="AJ33" i="13"/>
  <c r="AE33" i="13"/>
  <c r="AA33" i="13"/>
  <c r="Z33" i="13"/>
  <c r="V33" i="13"/>
  <c r="U33" i="13"/>
  <c r="P33" i="13"/>
  <c r="L33" i="13"/>
  <c r="K33" i="13"/>
  <c r="G33" i="13"/>
  <c r="F33" i="13"/>
  <c r="C33" i="13"/>
  <c r="B33" i="13"/>
  <c r="A33" i="13"/>
  <c r="DW33" i="13" s="1"/>
  <c r="EU32" i="13"/>
  <c r="EP32" i="13"/>
  <c r="EK32" i="13"/>
  <c r="EF32" i="13"/>
  <c r="EA32" i="13"/>
  <c r="DV32" i="13"/>
  <c r="DQ32" i="13"/>
  <c r="DM32" i="13"/>
  <c r="DL32" i="13"/>
  <c r="DG32" i="13"/>
  <c r="DB32" i="13"/>
  <c r="CX32" i="13"/>
  <c r="CW32" i="13"/>
  <c r="CR32" i="13"/>
  <c r="CM32" i="13"/>
  <c r="CH32" i="13"/>
  <c r="CC32" i="13"/>
  <c r="BX32" i="13"/>
  <c r="BS32" i="13"/>
  <c r="BN32" i="13"/>
  <c r="BI32" i="13"/>
  <c r="BD32" i="13"/>
  <c r="AY32" i="13"/>
  <c r="AU32" i="13"/>
  <c r="AT32" i="13"/>
  <c r="AO32" i="13"/>
  <c r="AK32" i="13"/>
  <c r="AJ32" i="13"/>
  <c r="AE32" i="13"/>
  <c r="Z32" i="13"/>
  <c r="U32" i="13"/>
  <c r="P32" i="13"/>
  <c r="L32" i="13"/>
  <c r="K32" i="13"/>
  <c r="F32" i="13"/>
  <c r="C32" i="13"/>
  <c r="B32" i="13"/>
  <c r="A32" i="13"/>
  <c r="EU31" i="13"/>
  <c r="EP31" i="13"/>
  <c r="EL31" i="13"/>
  <c r="EK31" i="13"/>
  <c r="EG31" i="13"/>
  <c r="EF31" i="13"/>
  <c r="EA31" i="13"/>
  <c r="DV31" i="13"/>
  <c r="DQ31" i="13"/>
  <c r="DL31" i="13"/>
  <c r="DG31" i="13"/>
  <c r="DB31" i="13"/>
  <c r="CW31" i="13"/>
  <c r="CR31" i="13"/>
  <c r="CM31" i="13"/>
  <c r="CI31" i="13"/>
  <c r="CH31" i="13"/>
  <c r="CC31" i="13"/>
  <c r="BY31" i="13"/>
  <c r="BX31" i="13"/>
  <c r="BT31" i="13"/>
  <c r="BS31" i="13"/>
  <c r="BN31" i="13"/>
  <c r="BI31" i="13"/>
  <c r="BD31" i="13"/>
  <c r="AY31" i="13"/>
  <c r="AT31" i="13"/>
  <c r="AO31" i="13"/>
  <c r="AJ31" i="13"/>
  <c r="AF31" i="13"/>
  <c r="AE31" i="13"/>
  <c r="AA31" i="13"/>
  <c r="Z31" i="13"/>
  <c r="U31" i="13"/>
  <c r="P31" i="13"/>
  <c r="K31" i="13"/>
  <c r="F31" i="13"/>
  <c r="C31" i="13"/>
  <c r="B31" i="13"/>
  <c r="A31" i="13"/>
  <c r="CS31" i="13" s="1"/>
  <c r="EU30" i="13"/>
  <c r="EP30" i="13"/>
  <c r="EK30" i="13"/>
  <c r="EF30" i="13"/>
  <c r="EA30" i="13"/>
  <c r="DW30" i="13"/>
  <c r="DV30" i="13"/>
  <c r="DR30" i="13"/>
  <c r="DQ30" i="13"/>
  <c r="DL30" i="13"/>
  <c r="DH30" i="13"/>
  <c r="DG30" i="13"/>
  <c r="DB30" i="13"/>
  <c r="CW30" i="13"/>
  <c r="CR30" i="13"/>
  <c r="CM30" i="13"/>
  <c r="CH30" i="13"/>
  <c r="CD30" i="13"/>
  <c r="CC30" i="13"/>
  <c r="BY30" i="13"/>
  <c r="BX30" i="13"/>
  <c r="BT30" i="13"/>
  <c r="BS30" i="13"/>
  <c r="BN30" i="13"/>
  <c r="BJ30" i="13"/>
  <c r="BI30" i="13"/>
  <c r="BD30" i="13"/>
  <c r="AY30" i="13"/>
  <c r="AT30" i="13"/>
  <c r="AP30" i="13"/>
  <c r="AO30" i="13"/>
  <c r="AJ30" i="13"/>
  <c r="AF30" i="13"/>
  <c r="AE30" i="13"/>
  <c r="AA30" i="13"/>
  <c r="Z30" i="13"/>
  <c r="U30" i="13"/>
  <c r="P30" i="13"/>
  <c r="K30" i="13"/>
  <c r="F30" i="13"/>
  <c r="C30" i="13"/>
  <c r="B30" i="13"/>
  <c r="A30" i="13"/>
  <c r="AU30" i="13" s="1"/>
  <c r="EU29" i="13"/>
  <c r="EQ29" i="13"/>
  <c r="EP29" i="13"/>
  <c r="EK29" i="13"/>
  <c r="EG29" i="13"/>
  <c r="EF29" i="13"/>
  <c r="EA29" i="13"/>
  <c r="DV29" i="13"/>
  <c r="DR29" i="13"/>
  <c r="DQ29" i="13"/>
  <c r="DL29" i="13"/>
  <c r="DG29" i="13"/>
  <c r="DB29" i="13"/>
  <c r="CX29" i="13"/>
  <c r="CW29" i="13"/>
  <c r="CS29" i="13"/>
  <c r="CR29" i="13"/>
  <c r="CM29" i="13"/>
  <c r="CH29" i="13"/>
  <c r="CD29" i="13"/>
  <c r="CC29" i="13"/>
  <c r="BX29" i="13"/>
  <c r="BS29" i="13"/>
  <c r="BO29" i="13"/>
  <c r="BN29" i="13"/>
  <c r="BI29" i="13"/>
  <c r="BE29" i="13"/>
  <c r="BD29" i="13"/>
  <c r="AY29" i="13"/>
  <c r="AT29" i="13"/>
  <c r="AO29" i="13"/>
  <c r="AK29" i="13"/>
  <c r="AJ29" i="13"/>
  <c r="AE29" i="13"/>
  <c r="Z29" i="13"/>
  <c r="U29" i="13"/>
  <c r="P29" i="13"/>
  <c r="L29" i="13"/>
  <c r="K29" i="13"/>
  <c r="F29" i="13"/>
  <c r="C29" i="13"/>
  <c r="B29" i="13"/>
  <c r="A29" i="13"/>
  <c r="EL29" i="13" s="1"/>
  <c r="EU28" i="13"/>
  <c r="EQ28" i="13"/>
  <c r="EP28" i="13"/>
  <c r="EK28" i="13"/>
  <c r="EF28" i="13"/>
  <c r="EA28" i="13"/>
  <c r="DV28" i="13"/>
  <c r="DQ28" i="13"/>
  <c r="DL28" i="13"/>
  <c r="DG28" i="13"/>
  <c r="DC28" i="13"/>
  <c r="DB28" i="13"/>
  <c r="CW28" i="13"/>
  <c r="CR28" i="13"/>
  <c r="CM28" i="13"/>
  <c r="CH28" i="13"/>
  <c r="CC28" i="13"/>
  <c r="BX28" i="13"/>
  <c r="BS28" i="13"/>
  <c r="BO28" i="13"/>
  <c r="BN28" i="13"/>
  <c r="BI28" i="13"/>
  <c r="BE28" i="13"/>
  <c r="BD28" i="13"/>
  <c r="AY28" i="13"/>
  <c r="AU28" i="13"/>
  <c r="AT28" i="13"/>
  <c r="AO28" i="13"/>
  <c r="AJ28" i="13"/>
  <c r="AE28" i="13"/>
  <c r="AA28" i="13"/>
  <c r="Z28" i="13"/>
  <c r="U28" i="13"/>
  <c r="Q28" i="13"/>
  <c r="P28" i="13"/>
  <c r="K28" i="13"/>
  <c r="F28" i="13"/>
  <c r="C28" i="13"/>
  <c r="B28" i="13"/>
  <c r="A28" i="13"/>
  <c r="CN28" i="13" s="1"/>
  <c r="EV27" i="13"/>
  <c r="EU27" i="13"/>
  <c r="EP27" i="13"/>
  <c r="EL27" i="13"/>
  <c r="EK27" i="13"/>
  <c r="EG27" i="13"/>
  <c r="EF27" i="13"/>
  <c r="EB27" i="13"/>
  <c r="EA27" i="13"/>
  <c r="DV27" i="13"/>
  <c r="DQ27" i="13"/>
  <c r="DL27" i="13"/>
  <c r="DG27" i="13"/>
  <c r="DC27" i="13"/>
  <c r="DB27" i="13"/>
  <c r="CX27" i="13"/>
  <c r="CW27" i="13"/>
  <c r="CR27" i="13"/>
  <c r="CN27" i="13"/>
  <c r="CM27" i="13"/>
  <c r="CI27" i="13"/>
  <c r="CH27" i="13"/>
  <c r="CC27" i="13"/>
  <c r="BY27" i="13"/>
  <c r="BX27" i="13"/>
  <c r="BS27" i="13"/>
  <c r="BN27" i="13"/>
  <c r="BJ27" i="13"/>
  <c r="BI27" i="13"/>
  <c r="BE27" i="13"/>
  <c r="BD27" i="13"/>
  <c r="AZ27" i="13"/>
  <c r="AY27" i="13"/>
  <c r="AT27" i="13"/>
  <c r="AO27" i="13"/>
  <c r="AJ27" i="13"/>
  <c r="AE27" i="13"/>
  <c r="AA27" i="13"/>
  <c r="Z27" i="13"/>
  <c r="U27" i="13"/>
  <c r="Q27" i="13"/>
  <c r="P27" i="13"/>
  <c r="L27" i="13"/>
  <c r="K27" i="13"/>
  <c r="G27" i="13"/>
  <c r="F27" i="13"/>
  <c r="C27" i="13"/>
  <c r="B27" i="13"/>
  <c r="A27" i="13"/>
  <c r="EU26" i="13"/>
  <c r="EP26" i="13"/>
  <c r="EL26" i="13"/>
  <c r="EK26" i="13"/>
  <c r="EF26" i="13"/>
  <c r="EB26" i="13"/>
  <c r="EA26" i="13"/>
  <c r="DW26" i="13"/>
  <c r="DV26" i="13"/>
  <c r="DR26" i="13"/>
  <c r="DQ26" i="13"/>
  <c r="DL26" i="13"/>
  <c r="DH26" i="13"/>
  <c r="DG26" i="13"/>
  <c r="DB26" i="13"/>
  <c r="CW26" i="13"/>
  <c r="CR26" i="13"/>
  <c r="CM26" i="13"/>
  <c r="CI26" i="13"/>
  <c r="CH26" i="13"/>
  <c r="CD26" i="13"/>
  <c r="CC26" i="13"/>
  <c r="BY26" i="13"/>
  <c r="BX26" i="13"/>
  <c r="BT26" i="13"/>
  <c r="BS26" i="13"/>
  <c r="BN26" i="13"/>
  <c r="BI26" i="13"/>
  <c r="BD26" i="13"/>
  <c r="AZ26" i="13"/>
  <c r="AY26" i="13"/>
  <c r="AT26" i="13"/>
  <c r="AP26" i="13"/>
  <c r="AO26" i="13"/>
  <c r="AK26" i="13"/>
  <c r="AJ26" i="13"/>
  <c r="AF26" i="13"/>
  <c r="AE26" i="13"/>
  <c r="Z26" i="13"/>
  <c r="V26" i="13"/>
  <c r="U26" i="13"/>
  <c r="P26" i="13"/>
  <c r="K26" i="13"/>
  <c r="G26" i="13"/>
  <c r="F26" i="13"/>
  <c r="C26" i="13"/>
  <c r="B26" i="13"/>
  <c r="A26" i="13"/>
  <c r="EV25" i="13"/>
  <c r="EU25" i="13"/>
  <c r="EQ25" i="13"/>
  <c r="EP25" i="13"/>
  <c r="EL25" i="13"/>
  <c r="EK25" i="13"/>
  <c r="EG25" i="13"/>
  <c r="EF25" i="13"/>
  <c r="EB25" i="13"/>
  <c r="EA25" i="13"/>
  <c r="DW25" i="13"/>
  <c r="DV25" i="13"/>
  <c r="DR25" i="13"/>
  <c r="DQ25" i="13"/>
  <c r="DL25" i="13"/>
  <c r="DH25" i="13"/>
  <c r="DG25" i="13"/>
  <c r="DC25" i="13"/>
  <c r="DB25" i="13"/>
  <c r="CX25" i="13"/>
  <c r="CW25" i="13"/>
  <c r="CS25" i="13"/>
  <c r="CR25" i="13"/>
  <c r="CN25" i="13"/>
  <c r="CM25" i="13"/>
  <c r="CI25" i="13"/>
  <c r="CH25" i="13"/>
  <c r="CD25" i="13"/>
  <c r="CC25" i="13"/>
  <c r="BX25" i="13"/>
  <c r="BT25" i="13"/>
  <c r="BS25" i="13"/>
  <c r="BO25" i="13"/>
  <c r="BN25" i="13"/>
  <c r="BJ25" i="13"/>
  <c r="BI25" i="13"/>
  <c r="BE25" i="13"/>
  <c r="BD25" i="13"/>
  <c r="AZ25" i="13"/>
  <c r="AY25" i="13"/>
  <c r="AU25" i="13"/>
  <c r="AT25" i="13"/>
  <c r="AP25" i="13"/>
  <c r="AO25" i="13"/>
  <c r="AJ25" i="13"/>
  <c r="AF25" i="13"/>
  <c r="AE25" i="13"/>
  <c r="AA25" i="13"/>
  <c r="Z25" i="13"/>
  <c r="V25" i="13"/>
  <c r="U25" i="13"/>
  <c r="Q25" i="13"/>
  <c r="P25" i="13"/>
  <c r="L25" i="13"/>
  <c r="K25" i="13"/>
  <c r="G25" i="13"/>
  <c r="F25" i="13"/>
  <c r="C25" i="13"/>
  <c r="B25" i="13"/>
  <c r="A25" i="13"/>
  <c r="DM25" i="13" s="1"/>
  <c r="EV24" i="13"/>
  <c r="EU24" i="13"/>
  <c r="EP24" i="13"/>
  <c r="EK24" i="13"/>
  <c r="EF24" i="13"/>
  <c r="EA24" i="13"/>
  <c r="DV24" i="13"/>
  <c r="DQ24" i="13"/>
  <c r="DL24" i="13"/>
  <c r="DG24" i="13"/>
  <c r="DB24" i="13"/>
  <c r="CW24" i="13"/>
  <c r="CR24" i="13"/>
  <c r="CM24" i="13"/>
  <c r="CH24" i="13"/>
  <c r="CD24" i="13"/>
  <c r="CC24" i="13"/>
  <c r="BX24" i="13"/>
  <c r="BT24" i="13"/>
  <c r="BS24" i="13"/>
  <c r="BN24" i="13"/>
  <c r="BI24" i="13"/>
  <c r="BD24" i="13"/>
  <c r="AY24" i="13"/>
  <c r="AT24" i="13"/>
  <c r="AO24" i="13"/>
  <c r="AJ24" i="13"/>
  <c r="AF24" i="13"/>
  <c r="AE24" i="13"/>
  <c r="AA24" i="13"/>
  <c r="Z24" i="13"/>
  <c r="U24" i="13"/>
  <c r="P24" i="13"/>
  <c r="L24" i="13"/>
  <c r="K24" i="13"/>
  <c r="F24" i="13"/>
  <c r="C24" i="13"/>
  <c r="B24" i="13"/>
  <c r="A24" i="13"/>
  <c r="EU23" i="13"/>
  <c r="EP23" i="13"/>
  <c r="EL23" i="13"/>
  <c r="EK23" i="13"/>
  <c r="EG23" i="13"/>
  <c r="EF23" i="13"/>
  <c r="EA23" i="13"/>
  <c r="DV23" i="13"/>
  <c r="DQ23" i="13"/>
  <c r="DL23" i="13"/>
  <c r="DG23" i="13"/>
  <c r="DB23" i="13"/>
  <c r="CW23" i="13"/>
  <c r="CR23" i="13"/>
  <c r="CM23" i="13"/>
  <c r="CI23" i="13"/>
  <c r="CH23" i="13"/>
  <c r="CC23" i="13"/>
  <c r="BX23" i="13"/>
  <c r="BS23" i="13"/>
  <c r="BN23" i="13"/>
  <c r="BI23" i="13"/>
  <c r="BD23" i="13"/>
  <c r="AY23" i="13"/>
  <c r="AT23" i="13"/>
  <c r="AO23" i="13"/>
  <c r="AJ23" i="13"/>
  <c r="AE23" i="13"/>
  <c r="Z23" i="13"/>
  <c r="V23" i="13"/>
  <c r="U23" i="13"/>
  <c r="P23" i="13"/>
  <c r="L23" i="13"/>
  <c r="K23" i="13"/>
  <c r="F23" i="13"/>
  <c r="C23" i="13"/>
  <c r="B23" i="13"/>
  <c r="A23" i="13"/>
  <c r="AK23" i="13" s="1"/>
  <c r="EU22" i="13"/>
  <c r="EP22" i="13"/>
  <c r="EK22" i="13"/>
  <c r="EF22" i="13"/>
  <c r="EA22" i="13"/>
  <c r="DV22" i="13"/>
  <c r="DQ22" i="13"/>
  <c r="DL22" i="13"/>
  <c r="DH22" i="13"/>
  <c r="DG22" i="13"/>
  <c r="DC22" i="13"/>
  <c r="DB22" i="13"/>
  <c r="CW22" i="13"/>
  <c r="CR22" i="13"/>
  <c r="CM22" i="13"/>
  <c r="CH22" i="13"/>
  <c r="CC22" i="13"/>
  <c r="BX22" i="13"/>
  <c r="BS22" i="13"/>
  <c r="BN22" i="13"/>
  <c r="BI22" i="13"/>
  <c r="BD22" i="13"/>
  <c r="AY22" i="13"/>
  <c r="AT22" i="13"/>
  <c r="AO22" i="13"/>
  <c r="AJ22" i="13"/>
  <c r="AE22" i="13"/>
  <c r="Z22" i="13"/>
  <c r="U22" i="13"/>
  <c r="P22" i="13"/>
  <c r="K22" i="13"/>
  <c r="F22" i="13"/>
  <c r="C22" i="13"/>
  <c r="B22" i="13"/>
  <c r="A22" i="13"/>
  <c r="EG22" i="13" s="1"/>
  <c r="EV21" i="13"/>
  <c r="EU21" i="13"/>
  <c r="EP21" i="13"/>
  <c r="EK21" i="13"/>
  <c r="EG21" i="13"/>
  <c r="EF21" i="13"/>
  <c r="EA21" i="13"/>
  <c r="DV21" i="13"/>
  <c r="DQ21" i="13"/>
  <c r="DL21" i="13"/>
  <c r="DG21" i="13"/>
  <c r="DB21" i="13"/>
  <c r="CW21" i="13"/>
  <c r="CS21" i="13"/>
  <c r="CR21" i="13"/>
  <c r="CM21" i="13"/>
  <c r="CH21" i="13"/>
  <c r="CD21" i="13"/>
  <c r="CC21" i="13"/>
  <c r="BX21" i="13"/>
  <c r="BS21" i="13"/>
  <c r="BN21" i="13"/>
  <c r="BI21" i="13"/>
  <c r="BD21" i="13"/>
  <c r="AY21" i="13"/>
  <c r="AT21" i="13"/>
  <c r="AP21" i="13"/>
  <c r="AO21" i="13"/>
  <c r="AJ21" i="13"/>
  <c r="AE21" i="13"/>
  <c r="Z21" i="13"/>
  <c r="U21" i="13"/>
  <c r="P21" i="13"/>
  <c r="K21" i="13"/>
  <c r="F21" i="13"/>
  <c r="C21" i="13"/>
  <c r="B21" i="13"/>
  <c r="A21" i="13"/>
  <c r="DH21" i="13" s="1"/>
  <c r="EU20" i="13"/>
  <c r="EP20" i="13"/>
  <c r="EK20" i="13"/>
  <c r="EF20" i="13"/>
  <c r="EA20" i="13"/>
  <c r="DV20" i="13"/>
  <c r="DQ20" i="13"/>
  <c r="DL20" i="13"/>
  <c r="DG20" i="13"/>
  <c r="DB20" i="13"/>
  <c r="CW20" i="13"/>
  <c r="CR20" i="13"/>
  <c r="CM20" i="13"/>
  <c r="CH20" i="13"/>
  <c r="CC20" i="13"/>
  <c r="BX20" i="13"/>
  <c r="BS20" i="13"/>
  <c r="BN20" i="13"/>
  <c r="BI20" i="13"/>
  <c r="BD20" i="13"/>
  <c r="AY20" i="13"/>
  <c r="AU20" i="13"/>
  <c r="AT20" i="13"/>
  <c r="AO20" i="13"/>
  <c r="AJ20" i="13"/>
  <c r="AE20" i="13"/>
  <c r="Z20" i="13"/>
  <c r="U20" i="13"/>
  <c r="P20" i="13"/>
  <c r="K20" i="13"/>
  <c r="F20" i="13"/>
  <c r="C20" i="13"/>
  <c r="B20" i="13"/>
  <c r="A20" i="13"/>
  <c r="AZ20" i="13" s="1"/>
  <c r="EV19" i="13"/>
  <c r="EU19" i="13"/>
  <c r="EP19" i="13"/>
  <c r="EK19" i="13"/>
  <c r="EF19" i="13"/>
  <c r="EA19" i="13"/>
  <c r="DV19" i="13"/>
  <c r="DR19" i="13"/>
  <c r="DQ19" i="13"/>
  <c r="DL19" i="13"/>
  <c r="DG19" i="13"/>
  <c r="DC19" i="13"/>
  <c r="DB19" i="13"/>
  <c r="CW19" i="13"/>
  <c r="CS19" i="13"/>
  <c r="CR19" i="13"/>
  <c r="CM19" i="13"/>
  <c r="CH19" i="13"/>
  <c r="CC19" i="13"/>
  <c r="BX19" i="13"/>
  <c r="BS19" i="13"/>
  <c r="BO19" i="13"/>
  <c r="BN19" i="13"/>
  <c r="BI19" i="13"/>
  <c r="BD19" i="13"/>
  <c r="AY19" i="13"/>
  <c r="AT19" i="13"/>
  <c r="AP19" i="13"/>
  <c r="AO19" i="13"/>
  <c r="AJ19" i="13"/>
  <c r="AE19" i="13"/>
  <c r="AA19" i="13"/>
  <c r="Z19" i="13"/>
  <c r="U19" i="13"/>
  <c r="P19" i="13"/>
  <c r="K19" i="13"/>
  <c r="G19" i="13"/>
  <c r="F19" i="13"/>
  <c r="C19" i="13"/>
  <c r="B19" i="13"/>
  <c r="A19" i="13"/>
  <c r="EU18" i="13"/>
  <c r="EP18" i="13"/>
  <c r="EK18" i="13"/>
  <c r="EF18" i="13"/>
  <c r="EA18" i="13"/>
  <c r="DV18" i="13"/>
  <c r="DQ18" i="13"/>
  <c r="DL18" i="13"/>
  <c r="DG18" i="13"/>
  <c r="DB18" i="13"/>
  <c r="CW18" i="13"/>
  <c r="CR18" i="13"/>
  <c r="CM18" i="13"/>
  <c r="CH18" i="13"/>
  <c r="CC18" i="13"/>
  <c r="BX18" i="13"/>
  <c r="BS18" i="13"/>
  <c r="BN18" i="13"/>
  <c r="BI18" i="13"/>
  <c r="BD18" i="13"/>
  <c r="AY18" i="13"/>
  <c r="AT18" i="13"/>
  <c r="AO18" i="13"/>
  <c r="AJ18" i="13"/>
  <c r="AE18" i="13"/>
  <c r="Z18" i="13"/>
  <c r="U18" i="13"/>
  <c r="P18" i="13"/>
  <c r="K18" i="13"/>
  <c r="F18" i="13"/>
  <c r="C18" i="13"/>
  <c r="B18" i="13"/>
  <c r="A18" i="13"/>
  <c r="AA18" i="13" s="1"/>
  <c r="EU17" i="13"/>
  <c r="EP17" i="13"/>
  <c r="EK17" i="13"/>
  <c r="EF17" i="13"/>
  <c r="EA17" i="13"/>
  <c r="DV17" i="13"/>
  <c r="DQ17" i="13"/>
  <c r="DL17" i="13"/>
  <c r="DG17" i="13"/>
  <c r="DC17" i="13"/>
  <c r="DB17" i="13"/>
  <c r="CW17" i="13"/>
  <c r="CR17" i="13"/>
  <c r="CN17" i="13"/>
  <c r="CM17" i="13"/>
  <c r="CH17" i="13"/>
  <c r="CC17" i="13"/>
  <c r="BX17" i="13"/>
  <c r="BS17" i="13"/>
  <c r="BN17" i="13"/>
  <c r="BI17" i="13"/>
  <c r="BD17" i="13"/>
  <c r="AY17" i="13"/>
  <c r="AW35" i="13" s="1"/>
  <c r="AT17" i="13"/>
  <c r="AO17" i="13"/>
  <c r="AK17" i="13"/>
  <c r="AJ17" i="13"/>
  <c r="AE17" i="13"/>
  <c r="Z17" i="13"/>
  <c r="U17" i="13"/>
  <c r="P17" i="13"/>
  <c r="K17" i="13"/>
  <c r="G17" i="13"/>
  <c r="F17" i="13"/>
  <c r="C17" i="13"/>
  <c r="B17" i="13"/>
  <c r="A17" i="13"/>
  <c r="EV16" i="13"/>
  <c r="EU16" i="13"/>
  <c r="EQ16" i="13"/>
  <c r="EP16" i="13"/>
  <c r="EL16" i="13"/>
  <c r="EK16" i="13"/>
  <c r="EG16" i="13"/>
  <c r="EF16" i="13"/>
  <c r="EB16" i="13"/>
  <c r="EA16" i="13"/>
  <c r="DW16" i="13"/>
  <c r="DV16" i="13"/>
  <c r="DR16" i="13"/>
  <c r="DQ16" i="13"/>
  <c r="DL16" i="13"/>
  <c r="DH16" i="13"/>
  <c r="DG16" i="13"/>
  <c r="DC16" i="13"/>
  <c r="DB16" i="13"/>
  <c r="CX16" i="13"/>
  <c r="CW16" i="13"/>
  <c r="CS16" i="13"/>
  <c r="CR16" i="13"/>
  <c r="CN16" i="13"/>
  <c r="CM16" i="13"/>
  <c r="CI16" i="13"/>
  <c r="CH16" i="13"/>
  <c r="CD16" i="13"/>
  <c r="CC16" i="13"/>
  <c r="BX16" i="13"/>
  <c r="BT16" i="13"/>
  <c r="BS16" i="13"/>
  <c r="BO16" i="13"/>
  <c r="BN16" i="13"/>
  <c r="BJ16" i="13"/>
  <c r="BI16" i="13"/>
  <c r="BE16" i="13"/>
  <c r="BD16" i="13"/>
  <c r="AZ16" i="13"/>
  <c r="AY16" i="13"/>
  <c r="AU16" i="13"/>
  <c r="AT16" i="13"/>
  <c r="AP16" i="13"/>
  <c r="AO16" i="13"/>
  <c r="AJ16" i="13"/>
  <c r="AF16" i="13"/>
  <c r="AE16" i="13"/>
  <c r="AA16" i="13"/>
  <c r="Z16" i="13"/>
  <c r="V16" i="13"/>
  <c r="U16" i="13"/>
  <c r="Q16" i="13"/>
  <c r="P16" i="13"/>
  <c r="L16" i="13"/>
  <c r="K16" i="13"/>
  <c r="G16" i="13"/>
  <c r="F16" i="13"/>
  <c r="C16" i="13"/>
  <c r="B16" i="13"/>
  <c r="A16" i="13"/>
  <c r="DM16" i="13" s="1"/>
  <c r="EV15" i="13"/>
  <c r="EU15" i="13"/>
  <c r="EQ15" i="13"/>
  <c r="EP15" i="13"/>
  <c r="EL15" i="13"/>
  <c r="EK15" i="13"/>
  <c r="EG15" i="13"/>
  <c r="EF15" i="13"/>
  <c r="EA15" i="13"/>
  <c r="DW15" i="13"/>
  <c r="DV15" i="13"/>
  <c r="DR15" i="13"/>
  <c r="DQ15" i="13"/>
  <c r="DM15" i="13"/>
  <c r="DL15" i="13"/>
  <c r="DG15" i="13"/>
  <c r="DC15" i="13"/>
  <c r="DB15" i="13"/>
  <c r="CX15" i="13"/>
  <c r="CW15" i="13"/>
  <c r="CS15" i="13"/>
  <c r="CR15" i="13"/>
  <c r="CM15" i="13"/>
  <c r="CI15" i="13"/>
  <c r="CH15" i="13"/>
  <c r="CD15" i="13"/>
  <c r="CC15" i="13"/>
  <c r="BY15" i="13"/>
  <c r="BX15" i="13"/>
  <c r="BT15" i="13"/>
  <c r="BS15" i="13"/>
  <c r="BO15" i="13"/>
  <c r="BN15" i="13"/>
  <c r="BJ15" i="13"/>
  <c r="BI15" i="13"/>
  <c r="BE15" i="13"/>
  <c r="BD15" i="13"/>
  <c r="AY15" i="13"/>
  <c r="AU15" i="13"/>
  <c r="AT15" i="13"/>
  <c r="AO15" i="13"/>
  <c r="AK15" i="13"/>
  <c r="AJ15" i="13"/>
  <c r="AF15" i="13"/>
  <c r="AE15" i="13"/>
  <c r="Z15" i="13"/>
  <c r="V15" i="13"/>
  <c r="U15" i="13"/>
  <c r="Q15" i="13"/>
  <c r="P15" i="13"/>
  <c r="K15" i="13"/>
  <c r="G15" i="13"/>
  <c r="F15" i="13"/>
  <c r="C15" i="13"/>
  <c r="B15" i="13"/>
  <c r="A15" i="13"/>
  <c r="EU14" i="13"/>
  <c r="EQ14" i="13"/>
  <c r="EP14" i="13"/>
  <c r="EK14" i="13"/>
  <c r="EF14" i="13"/>
  <c r="EB14" i="13"/>
  <c r="EA14" i="13"/>
  <c r="DW14" i="13"/>
  <c r="DV14" i="13"/>
  <c r="DR14" i="13"/>
  <c r="DQ14" i="13"/>
  <c r="DM14" i="13"/>
  <c r="DL14" i="13"/>
  <c r="DG14" i="13"/>
  <c r="DC14" i="13"/>
  <c r="DB14" i="13"/>
  <c r="CW14" i="13"/>
  <c r="CR14" i="13"/>
  <c r="CN14" i="13"/>
  <c r="CM14" i="13"/>
  <c r="CI14" i="13"/>
  <c r="CH14" i="13"/>
  <c r="CD14" i="13"/>
  <c r="CC14" i="13"/>
  <c r="BY14" i="13"/>
  <c r="BX14" i="13"/>
  <c r="BT14" i="13"/>
  <c r="BS14" i="13"/>
  <c r="BN14" i="13"/>
  <c r="BI14" i="13"/>
  <c r="BE14" i="13"/>
  <c r="BD14" i="13"/>
  <c r="AZ14" i="13"/>
  <c r="AY14" i="13"/>
  <c r="AU14" i="13"/>
  <c r="AT14" i="13"/>
  <c r="AP14" i="13"/>
  <c r="AO14" i="13"/>
  <c r="AK14" i="13"/>
  <c r="AJ14" i="13"/>
  <c r="AF14" i="13"/>
  <c r="AE14" i="13"/>
  <c r="Z14" i="13"/>
  <c r="U14" i="13"/>
  <c r="Q14" i="13"/>
  <c r="P14" i="13"/>
  <c r="K14" i="13"/>
  <c r="G14" i="13"/>
  <c r="F14" i="13"/>
  <c r="C14" i="13"/>
  <c r="B14" i="13"/>
  <c r="A14" i="13"/>
  <c r="EU13" i="13"/>
  <c r="EP13" i="13"/>
  <c r="EK13" i="13"/>
  <c r="EF13" i="13"/>
  <c r="EA13" i="13"/>
  <c r="DV13" i="13"/>
  <c r="DQ13" i="13"/>
  <c r="DL13" i="13"/>
  <c r="DG13" i="13"/>
  <c r="DB13" i="13"/>
  <c r="CW13" i="13"/>
  <c r="CR13" i="13"/>
  <c r="CM13" i="13"/>
  <c r="CH13" i="13"/>
  <c r="CC13" i="13"/>
  <c r="CA35" i="13" s="1"/>
  <c r="BX13" i="13"/>
  <c r="BS13" i="13"/>
  <c r="BN13" i="13"/>
  <c r="BI13" i="13"/>
  <c r="BD13" i="13"/>
  <c r="AY13" i="13"/>
  <c r="AT13" i="13"/>
  <c r="AO13" i="13"/>
  <c r="AK13" i="13"/>
  <c r="AJ13" i="13"/>
  <c r="AE13" i="13"/>
  <c r="Z13" i="13"/>
  <c r="U13" i="13"/>
  <c r="P13" i="13"/>
  <c r="K13" i="13"/>
  <c r="F13" i="13"/>
  <c r="C13" i="13"/>
  <c r="B13" i="13"/>
  <c r="A13" i="13"/>
  <c r="EG13" i="13" s="1"/>
  <c r="EU12" i="13"/>
  <c r="EQ12" i="13"/>
  <c r="EP12" i="13"/>
  <c r="EL12" i="13"/>
  <c r="EK12" i="13"/>
  <c r="EF12" i="13"/>
  <c r="EB12" i="13"/>
  <c r="EA12" i="13"/>
  <c r="DV12" i="13"/>
  <c r="DQ12" i="13"/>
  <c r="DM12" i="13"/>
  <c r="DL12" i="13"/>
  <c r="DH12" i="13"/>
  <c r="DG12" i="13"/>
  <c r="DC12" i="13"/>
  <c r="DB12" i="13"/>
  <c r="CX12" i="13"/>
  <c r="CW12" i="13"/>
  <c r="CS12" i="13"/>
  <c r="CR12" i="13"/>
  <c r="CM12" i="13"/>
  <c r="CH12" i="13"/>
  <c r="CD12" i="13"/>
  <c r="CC12" i="13"/>
  <c r="BX12" i="13"/>
  <c r="BT12" i="13"/>
  <c r="BS12" i="13"/>
  <c r="BN12" i="13"/>
  <c r="BJ12" i="13"/>
  <c r="BI12" i="13"/>
  <c r="BE12" i="13"/>
  <c r="BD12" i="13"/>
  <c r="AZ12" i="13"/>
  <c r="AY12" i="13"/>
  <c r="AT12" i="13"/>
  <c r="AO12" i="13"/>
  <c r="AJ12" i="13"/>
  <c r="AF12" i="13"/>
  <c r="AE12" i="13"/>
  <c r="AA12" i="13"/>
  <c r="Z12" i="13"/>
  <c r="V12" i="13"/>
  <c r="U12" i="13"/>
  <c r="Q12" i="13"/>
  <c r="P12" i="13"/>
  <c r="L12" i="13"/>
  <c r="K12" i="13"/>
  <c r="F12" i="13"/>
  <c r="C12" i="13"/>
  <c r="B12" i="13"/>
  <c r="A12" i="13"/>
  <c r="EV11" i="13"/>
  <c r="EU11" i="13"/>
  <c r="EQ11" i="13"/>
  <c r="EP11" i="13"/>
  <c r="EL11" i="13"/>
  <c r="EK11" i="13"/>
  <c r="EG11" i="13"/>
  <c r="EF11" i="13"/>
  <c r="EB11" i="13"/>
  <c r="EA11" i="13"/>
  <c r="DW11" i="13"/>
  <c r="DV11" i="13"/>
  <c r="DQ11" i="13"/>
  <c r="DM11" i="13"/>
  <c r="DL11" i="13"/>
  <c r="DH11" i="13"/>
  <c r="DG11" i="13"/>
  <c r="DC11" i="13"/>
  <c r="DB11" i="13"/>
  <c r="CX11" i="13"/>
  <c r="CW11" i="13"/>
  <c r="CS11" i="13"/>
  <c r="CR11" i="13"/>
  <c r="CN11" i="13"/>
  <c r="CM11" i="13"/>
  <c r="CI11" i="13"/>
  <c r="CH11" i="13"/>
  <c r="CC11" i="13"/>
  <c r="BY11" i="13"/>
  <c r="BX11" i="13"/>
  <c r="BT11" i="13"/>
  <c r="BS11" i="13"/>
  <c r="BO11" i="13"/>
  <c r="BN11" i="13"/>
  <c r="BJ11" i="13"/>
  <c r="BI11" i="13"/>
  <c r="BE11" i="13"/>
  <c r="BD11" i="13"/>
  <c r="AZ11" i="13"/>
  <c r="AY11" i="13"/>
  <c r="AU11" i="13"/>
  <c r="AT11" i="13"/>
  <c r="AO11" i="13"/>
  <c r="AJ11" i="13"/>
  <c r="AF11" i="13"/>
  <c r="AE11" i="13"/>
  <c r="AA11" i="13"/>
  <c r="Z11" i="13"/>
  <c r="V11" i="13"/>
  <c r="U11" i="13"/>
  <c r="Q11" i="13"/>
  <c r="P11" i="13"/>
  <c r="L11" i="13"/>
  <c r="K11" i="13"/>
  <c r="G11" i="13"/>
  <c r="F11" i="13"/>
  <c r="C11" i="13"/>
  <c r="B11" i="13"/>
  <c r="A11" i="13"/>
  <c r="EV10" i="13"/>
  <c r="EU10" i="13"/>
  <c r="EP10" i="13"/>
  <c r="EK10" i="13"/>
  <c r="EF10" i="13"/>
  <c r="EB10" i="13"/>
  <c r="EA10" i="13"/>
  <c r="DV10" i="13"/>
  <c r="DR10" i="13"/>
  <c r="DQ10" i="13"/>
  <c r="DM10" i="13"/>
  <c r="DL10" i="13"/>
  <c r="DH10" i="13"/>
  <c r="DG10" i="13"/>
  <c r="DC10" i="13"/>
  <c r="DB10" i="13"/>
  <c r="CX10" i="13"/>
  <c r="CW10" i="13"/>
  <c r="CR10" i="13"/>
  <c r="CN10" i="13"/>
  <c r="CM10" i="13"/>
  <c r="CH10" i="13"/>
  <c r="CF35" i="13" s="1"/>
  <c r="CC10" i="13"/>
  <c r="BY10" i="13"/>
  <c r="BX10" i="13"/>
  <c r="BT10" i="13"/>
  <c r="BS10" i="13"/>
  <c r="BO10" i="13"/>
  <c r="BN10" i="13"/>
  <c r="BJ10" i="13"/>
  <c r="BI10" i="13"/>
  <c r="BD10" i="13"/>
  <c r="AY10" i="13"/>
  <c r="AT10" i="13"/>
  <c r="AP10" i="13"/>
  <c r="AO10" i="13"/>
  <c r="AJ10" i="13"/>
  <c r="AF10" i="13"/>
  <c r="AE10" i="13"/>
  <c r="AA10" i="13"/>
  <c r="Z10" i="13"/>
  <c r="V10" i="13"/>
  <c r="U10" i="13"/>
  <c r="P10" i="13"/>
  <c r="L10" i="13"/>
  <c r="K10" i="13"/>
  <c r="F10" i="13"/>
  <c r="C10" i="13"/>
  <c r="B10" i="13"/>
  <c r="A10" i="13"/>
  <c r="EV9" i="13"/>
  <c r="EU9" i="13"/>
  <c r="EQ9" i="13"/>
  <c r="EP9" i="13"/>
  <c r="EL9" i="13"/>
  <c r="EK9" i="13"/>
  <c r="EG9" i="13"/>
  <c r="EF9" i="13"/>
  <c r="EB9" i="13"/>
  <c r="EA9" i="13"/>
  <c r="DW9" i="13"/>
  <c r="DV9" i="13"/>
  <c r="DR9" i="13"/>
  <c r="DQ9" i="13"/>
  <c r="DL9" i="13"/>
  <c r="DH9" i="13"/>
  <c r="DG9" i="13"/>
  <c r="DC9" i="13"/>
  <c r="DB9" i="13"/>
  <c r="CX9" i="13"/>
  <c r="CW9" i="13"/>
  <c r="CS9" i="13"/>
  <c r="CR9" i="13"/>
  <c r="CN9" i="13"/>
  <c r="CM9" i="13"/>
  <c r="CI9" i="13"/>
  <c r="CH9" i="13"/>
  <c r="CD9" i="13"/>
  <c r="CC9" i="13"/>
  <c r="BX9" i="13"/>
  <c r="BT9" i="13"/>
  <c r="BS9" i="13"/>
  <c r="BO9" i="13"/>
  <c r="BN9" i="13"/>
  <c r="BJ9" i="13"/>
  <c r="BI9" i="13"/>
  <c r="BE9" i="13"/>
  <c r="BD9" i="13"/>
  <c r="AZ9" i="13"/>
  <c r="AY9" i="13"/>
  <c r="AU9" i="13"/>
  <c r="AT9" i="13"/>
  <c r="AP9" i="13"/>
  <c r="AO9" i="13"/>
  <c r="AJ9" i="13"/>
  <c r="AF9" i="13"/>
  <c r="AE9" i="13"/>
  <c r="AA9" i="13"/>
  <c r="Z9" i="13"/>
  <c r="V9" i="13"/>
  <c r="U9" i="13"/>
  <c r="Q9" i="13"/>
  <c r="P9" i="13"/>
  <c r="L9" i="13"/>
  <c r="K9" i="13"/>
  <c r="G9" i="13"/>
  <c r="F9" i="13"/>
  <c r="C9" i="13"/>
  <c r="B9" i="13"/>
  <c r="A9" i="13"/>
  <c r="DM9" i="13" s="1"/>
  <c r="EV8" i="13"/>
  <c r="EU8" i="13"/>
  <c r="EQ8" i="13"/>
  <c r="EP8" i="13"/>
  <c r="EK8" i="13"/>
  <c r="EG8" i="13"/>
  <c r="EF8" i="13"/>
  <c r="EB8" i="13"/>
  <c r="EA8" i="13"/>
  <c r="DW8" i="13"/>
  <c r="DV8" i="13"/>
  <c r="DR8" i="13"/>
  <c r="DQ8" i="13"/>
  <c r="DM8" i="13"/>
  <c r="DL8" i="13"/>
  <c r="DH8" i="13"/>
  <c r="DG8" i="13"/>
  <c r="DC8" i="13"/>
  <c r="DB8" i="13"/>
  <c r="CW8" i="13"/>
  <c r="CS8" i="13"/>
  <c r="CR8" i="13"/>
  <c r="CN8" i="13"/>
  <c r="CM8" i="13"/>
  <c r="CI8" i="13"/>
  <c r="CH8" i="13"/>
  <c r="CC8" i="13"/>
  <c r="BY8" i="13"/>
  <c r="BX8" i="13"/>
  <c r="BT8" i="13"/>
  <c r="BS8" i="13"/>
  <c r="BO8" i="13"/>
  <c r="BN8" i="13"/>
  <c r="BI8" i="13"/>
  <c r="BE8" i="13"/>
  <c r="BD8" i="13"/>
  <c r="AZ8" i="13"/>
  <c r="AY8" i="13"/>
  <c r="AU8" i="13"/>
  <c r="AT8" i="13"/>
  <c r="AP8" i="13"/>
  <c r="AO8" i="13"/>
  <c r="AK8" i="13"/>
  <c r="AJ8" i="13"/>
  <c r="AF8" i="13"/>
  <c r="AE8" i="13"/>
  <c r="AA8" i="13"/>
  <c r="Z8" i="13"/>
  <c r="U8" i="13"/>
  <c r="Q8" i="13"/>
  <c r="P8" i="13"/>
  <c r="L8" i="13"/>
  <c r="K8" i="13"/>
  <c r="G8" i="13"/>
  <c r="F8" i="13"/>
  <c r="D35" i="13" s="1"/>
  <c r="C8" i="13"/>
  <c r="B8" i="13"/>
  <c r="A8" i="13"/>
  <c r="EU7" i="13"/>
  <c r="EP7" i="13"/>
  <c r="EK7" i="13"/>
  <c r="EF7" i="13"/>
  <c r="EA7" i="13"/>
  <c r="DV7" i="13"/>
  <c r="DQ7" i="13"/>
  <c r="DL7" i="13"/>
  <c r="DG7" i="13"/>
  <c r="DB7" i="13"/>
  <c r="CX7" i="13"/>
  <c r="CW7" i="13"/>
  <c r="CU35" i="13" s="1"/>
  <c r="CS7" i="13"/>
  <c r="CR7" i="13"/>
  <c r="CM7" i="13"/>
  <c r="CH7" i="13"/>
  <c r="CC7" i="13"/>
  <c r="BX7" i="13"/>
  <c r="BS7" i="13"/>
  <c r="BN7" i="13"/>
  <c r="BI7" i="13"/>
  <c r="BD7" i="13"/>
  <c r="AY7" i="13"/>
  <c r="AU7" i="13"/>
  <c r="AT7" i="13"/>
  <c r="AP7" i="13"/>
  <c r="AO7" i="13"/>
  <c r="AJ7" i="13"/>
  <c r="AE7" i="13"/>
  <c r="Z7" i="13"/>
  <c r="U7" i="13"/>
  <c r="P7" i="13"/>
  <c r="K7" i="13"/>
  <c r="F7" i="13"/>
  <c r="C7" i="13"/>
  <c r="B7" i="13"/>
  <c r="A7" i="13"/>
  <c r="EV6" i="13"/>
  <c r="EU6" i="13"/>
  <c r="EP6" i="13"/>
  <c r="EL6" i="13"/>
  <c r="EK6" i="13"/>
  <c r="EF6" i="13"/>
  <c r="EB6" i="13"/>
  <c r="EA6" i="13"/>
  <c r="DV6" i="13"/>
  <c r="DQ6" i="13"/>
  <c r="DO35" i="13" s="1"/>
  <c r="DM6" i="13"/>
  <c r="DL6" i="13"/>
  <c r="DH6" i="13"/>
  <c r="DG6" i="13"/>
  <c r="DC6" i="13"/>
  <c r="DB6" i="13"/>
  <c r="CW6" i="13"/>
  <c r="CS6" i="13"/>
  <c r="CR6" i="13"/>
  <c r="CM6" i="13"/>
  <c r="CH6" i="13"/>
  <c r="CD6" i="13"/>
  <c r="CC6" i="13"/>
  <c r="BX6" i="13"/>
  <c r="BT6" i="13"/>
  <c r="BS6" i="13"/>
  <c r="BO6" i="13"/>
  <c r="BN6" i="13"/>
  <c r="BJ6" i="13"/>
  <c r="BI6" i="13"/>
  <c r="BG35" i="13" s="1"/>
  <c r="BD6" i="13"/>
  <c r="AY6" i="13"/>
  <c r="AT6" i="13"/>
  <c r="AO6" i="13"/>
  <c r="AJ6" i="13"/>
  <c r="AF6" i="13"/>
  <c r="AE6" i="13"/>
  <c r="Z6" i="13"/>
  <c r="V6" i="13"/>
  <c r="U6" i="13"/>
  <c r="Q6" i="13"/>
  <c r="P6" i="13"/>
  <c r="L6" i="13"/>
  <c r="K6" i="13"/>
  <c r="F6" i="13"/>
  <c r="C6" i="13"/>
  <c r="B6" i="13"/>
  <c r="A6" i="13"/>
  <c r="BY6" i="13" s="1"/>
  <c r="EU5" i="13"/>
  <c r="EP5" i="13"/>
  <c r="EL5" i="13"/>
  <c r="EK5" i="13"/>
  <c r="EF5" i="13"/>
  <c r="EB5" i="13"/>
  <c r="EA5" i="13"/>
  <c r="DW5" i="13"/>
  <c r="DV5" i="13"/>
  <c r="DQ5" i="13"/>
  <c r="DL5" i="13"/>
  <c r="DG5" i="13"/>
  <c r="DB5" i="13"/>
  <c r="CX5" i="13"/>
  <c r="CW5" i="13"/>
  <c r="CS5" i="13"/>
  <c r="CR5" i="13"/>
  <c r="CN5" i="13"/>
  <c r="CM5" i="13"/>
  <c r="CK35" i="13" s="1"/>
  <c r="CH5" i="13"/>
  <c r="CD5" i="13"/>
  <c r="CC5" i="13"/>
  <c r="BX5" i="13"/>
  <c r="BT5" i="13"/>
  <c r="BS5" i="13"/>
  <c r="BN5" i="13"/>
  <c r="BI5" i="13"/>
  <c r="BE5" i="13"/>
  <c r="BD5" i="13"/>
  <c r="AY5" i="13"/>
  <c r="AU5" i="13"/>
  <c r="AT5" i="13"/>
  <c r="AP5" i="13"/>
  <c r="AO5" i="13"/>
  <c r="AJ5" i="13"/>
  <c r="AE5" i="13"/>
  <c r="Z5" i="13"/>
  <c r="X35" i="13" s="1"/>
  <c r="V5" i="13"/>
  <c r="U5" i="13"/>
  <c r="P5" i="13"/>
  <c r="K5" i="13"/>
  <c r="G5" i="13"/>
  <c r="F5" i="13"/>
  <c r="C5" i="13"/>
  <c r="B5" i="13"/>
  <c r="A5" i="13"/>
  <c r="EG5" i="13" s="1"/>
  <c r="EU4" i="13"/>
  <c r="EQ4" i="13"/>
  <c r="EP4" i="13"/>
  <c r="EK4" i="13"/>
  <c r="EF4" i="13"/>
  <c r="EA4" i="13"/>
  <c r="DW4" i="13"/>
  <c r="DV4" i="13"/>
  <c r="DQ4" i="13"/>
  <c r="DM4" i="13"/>
  <c r="DL4" i="13"/>
  <c r="DG4" i="13"/>
  <c r="DB4" i="13"/>
  <c r="CW4" i="13"/>
  <c r="CR4" i="13"/>
  <c r="CN4" i="13"/>
  <c r="CM4" i="13"/>
  <c r="CH4" i="13"/>
  <c r="CD4" i="13"/>
  <c r="CC4" i="13"/>
  <c r="BX4" i="13"/>
  <c r="BV35" i="13" s="1"/>
  <c r="BS4" i="13"/>
  <c r="BQ35" i="13" s="1"/>
  <c r="BN4" i="13"/>
  <c r="BJ4" i="13"/>
  <c r="BI4" i="13"/>
  <c r="BD4" i="13"/>
  <c r="AY4" i="13"/>
  <c r="AT4" i="13"/>
  <c r="AP4" i="13"/>
  <c r="AO4" i="13"/>
  <c r="AJ4" i="13"/>
  <c r="AE4" i="13"/>
  <c r="Z4" i="13"/>
  <c r="V4" i="13"/>
  <c r="U4" i="13"/>
  <c r="P4" i="13"/>
  <c r="L4" i="13"/>
  <c r="K4" i="13"/>
  <c r="F4" i="13"/>
  <c r="C4" i="13"/>
  <c r="B4" i="13"/>
  <c r="A4" i="13"/>
  <c r="ES2" i="13"/>
  <c r="EN2" i="13"/>
  <c r="EI2" i="13"/>
  <c r="ED2" i="13"/>
  <c r="DY2" i="13"/>
  <c r="DT2" i="13"/>
  <c r="DO2" i="13"/>
  <c r="DJ2" i="13"/>
  <c r="DE2" i="13"/>
  <c r="CZ2" i="13"/>
  <c r="CU2" i="13"/>
  <c r="CP2" i="13"/>
  <c r="CK2" i="13"/>
  <c r="CF2" i="13"/>
  <c r="CA2" i="13"/>
  <c r="BV2" i="13"/>
  <c r="BQ2" i="13"/>
  <c r="BL2" i="13"/>
  <c r="BG2" i="13"/>
  <c r="BB2" i="13"/>
  <c r="AW2" i="13"/>
  <c r="AR2" i="13"/>
  <c r="AM2" i="13"/>
  <c r="AH2" i="13"/>
  <c r="AC2" i="13"/>
  <c r="X2" i="13"/>
  <c r="S2" i="13"/>
  <c r="N2" i="13"/>
  <c r="I2" i="13"/>
  <c r="D2" i="13"/>
  <c r="A1" i="13"/>
  <c r="ES40" i="12"/>
  <c r="EN40" i="12"/>
  <c r="EI40" i="12"/>
  <c r="ED40" i="12"/>
  <c r="DY40" i="12"/>
  <c r="DT40" i="12"/>
  <c r="DO40" i="12"/>
  <c r="DJ40" i="12"/>
  <c r="DE40" i="12"/>
  <c r="CZ40" i="12"/>
  <c r="CU40" i="12"/>
  <c r="CP40" i="12"/>
  <c r="CK40" i="12"/>
  <c r="CF40" i="12"/>
  <c r="CA40" i="12"/>
  <c r="BV40" i="12"/>
  <c r="BQ40" i="12"/>
  <c r="BL40" i="12"/>
  <c r="BG40" i="12"/>
  <c r="BB40" i="12"/>
  <c r="AW40" i="12"/>
  <c r="AR40" i="12"/>
  <c r="AM40" i="12"/>
  <c r="AH40" i="12"/>
  <c r="AC40" i="12"/>
  <c r="X40" i="12"/>
  <c r="S40" i="12"/>
  <c r="N40" i="12"/>
  <c r="I40" i="12"/>
  <c r="D40" i="12"/>
  <c r="ES39" i="12"/>
  <c r="EN39" i="12"/>
  <c r="EI39" i="12"/>
  <c r="ED39" i="12"/>
  <c r="DY39" i="12"/>
  <c r="DT39" i="12"/>
  <c r="DO39" i="12"/>
  <c r="DJ39" i="12"/>
  <c r="DE39" i="12"/>
  <c r="CZ39" i="12"/>
  <c r="CU39" i="12"/>
  <c r="CP39" i="12"/>
  <c r="CK39" i="12"/>
  <c r="CF39" i="12"/>
  <c r="CA39" i="12"/>
  <c r="BV39" i="12"/>
  <c r="BQ39" i="12"/>
  <c r="BL39" i="12"/>
  <c r="BG39" i="12"/>
  <c r="BB39" i="12"/>
  <c r="AW39" i="12"/>
  <c r="AR39" i="12"/>
  <c r="AM39" i="12"/>
  <c r="AH39" i="12"/>
  <c r="AC39" i="12"/>
  <c r="X39" i="12"/>
  <c r="S39" i="12"/>
  <c r="N39" i="12"/>
  <c r="I39" i="12"/>
  <c r="D39" i="12"/>
  <c r="ES38" i="12"/>
  <c r="EN38" i="12"/>
  <c r="EI38" i="12"/>
  <c r="ED38" i="12"/>
  <c r="DY38" i="12"/>
  <c r="DT38" i="12"/>
  <c r="DO38" i="12"/>
  <c r="DJ38" i="12"/>
  <c r="DE38" i="12"/>
  <c r="CZ38" i="12"/>
  <c r="CU38" i="12"/>
  <c r="CP38" i="12"/>
  <c r="CK38" i="12"/>
  <c r="CF38" i="12"/>
  <c r="CA38" i="12"/>
  <c r="BV38" i="12"/>
  <c r="BQ38" i="12"/>
  <c r="BL38" i="12"/>
  <c r="BG38" i="12"/>
  <c r="BB38" i="12"/>
  <c r="AW38" i="12"/>
  <c r="AR38" i="12"/>
  <c r="AM38" i="12"/>
  <c r="AH38" i="12"/>
  <c r="AC38" i="12"/>
  <c r="X38" i="12"/>
  <c r="S38" i="12"/>
  <c r="N38" i="12"/>
  <c r="I38" i="12"/>
  <c r="D38" i="12"/>
  <c r="ED35" i="12"/>
  <c r="EV34" i="12"/>
  <c r="EU34" i="12"/>
  <c r="EQ34" i="12"/>
  <c r="EP34" i="12"/>
  <c r="EL34" i="12"/>
  <c r="EK34" i="12"/>
  <c r="EG34" i="12"/>
  <c r="EF34" i="12"/>
  <c r="EB34" i="12"/>
  <c r="EA34" i="12"/>
  <c r="DW34" i="12"/>
  <c r="DV34" i="12"/>
  <c r="DR34" i="12"/>
  <c r="DQ34" i="12"/>
  <c r="DL34" i="12"/>
  <c r="DH34" i="12"/>
  <c r="DG34" i="12"/>
  <c r="DC34" i="12"/>
  <c r="DB34" i="12"/>
  <c r="CX34" i="12"/>
  <c r="CW34" i="12"/>
  <c r="CS34" i="12"/>
  <c r="CR34" i="12"/>
  <c r="CN34" i="12"/>
  <c r="CM34" i="12"/>
  <c r="CI34" i="12"/>
  <c r="CH34" i="12"/>
  <c r="CD34" i="12"/>
  <c r="CC34" i="12"/>
  <c r="BX34" i="12"/>
  <c r="BT34" i="12"/>
  <c r="BS34" i="12"/>
  <c r="BO34" i="12"/>
  <c r="BN34" i="12"/>
  <c r="BJ34" i="12"/>
  <c r="BI34" i="12"/>
  <c r="BE34" i="12"/>
  <c r="BD34" i="12"/>
  <c r="AZ34" i="12"/>
  <c r="AY34" i="12"/>
  <c r="AU34" i="12"/>
  <c r="AT34" i="12"/>
  <c r="AP34" i="12"/>
  <c r="AO34" i="12"/>
  <c r="AJ34" i="12"/>
  <c r="AF34" i="12"/>
  <c r="AE34" i="12"/>
  <c r="AA34" i="12"/>
  <c r="Z34" i="12"/>
  <c r="V34" i="12"/>
  <c r="U34" i="12"/>
  <c r="Q34" i="12"/>
  <c r="P34" i="12"/>
  <c r="L34" i="12"/>
  <c r="K34" i="12"/>
  <c r="G34" i="12"/>
  <c r="F34" i="12"/>
  <c r="C34" i="12"/>
  <c r="B34" i="12"/>
  <c r="A34" i="12"/>
  <c r="DM34" i="12" s="1"/>
  <c r="EV33" i="12"/>
  <c r="EU33" i="12"/>
  <c r="EP33" i="12"/>
  <c r="EL33" i="12"/>
  <c r="EK33" i="12"/>
  <c r="EG33" i="12"/>
  <c r="EF33" i="12"/>
  <c r="EB33" i="12"/>
  <c r="EA33" i="12"/>
  <c r="DW33" i="12"/>
  <c r="DV33" i="12"/>
  <c r="DR33" i="12"/>
  <c r="DQ33" i="12"/>
  <c r="DM33" i="12"/>
  <c r="DL33" i="12"/>
  <c r="DH33" i="12"/>
  <c r="DG33" i="12"/>
  <c r="DB33" i="12"/>
  <c r="CX33" i="12"/>
  <c r="CW33" i="12"/>
  <c r="CS33" i="12"/>
  <c r="CR33" i="12"/>
  <c r="CN33" i="12"/>
  <c r="CM33" i="12"/>
  <c r="CI33" i="12"/>
  <c r="CH33" i="12"/>
  <c r="CC33" i="12"/>
  <c r="BY33" i="12"/>
  <c r="BX33" i="12"/>
  <c r="BT33" i="12"/>
  <c r="BS33" i="12"/>
  <c r="BN33" i="12"/>
  <c r="BJ33" i="12"/>
  <c r="BI33" i="12"/>
  <c r="BE33" i="12"/>
  <c r="BD33" i="12"/>
  <c r="AZ33" i="12"/>
  <c r="AY33" i="12"/>
  <c r="AU33" i="12"/>
  <c r="AT33" i="12"/>
  <c r="AP33" i="12"/>
  <c r="AO33" i="12"/>
  <c r="AK33" i="12"/>
  <c r="AJ33" i="12"/>
  <c r="AF33" i="12"/>
  <c r="AE33" i="12"/>
  <c r="Z33" i="12"/>
  <c r="V33" i="12"/>
  <c r="U33" i="12"/>
  <c r="Q33" i="12"/>
  <c r="P33" i="12"/>
  <c r="L33" i="12"/>
  <c r="K33" i="12"/>
  <c r="G33" i="12"/>
  <c r="F33" i="12"/>
  <c r="C33" i="12"/>
  <c r="B33" i="12"/>
  <c r="A33" i="12"/>
  <c r="EU32" i="12"/>
  <c r="EP32" i="12"/>
  <c r="EK32" i="12"/>
  <c r="EF32" i="12"/>
  <c r="EA32" i="12"/>
  <c r="DV32" i="12"/>
  <c r="DR32" i="12"/>
  <c r="DQ32" i="12"/>
  <c r="DL32" i="12"/>
  <c r="DG32" i="12"/>
  <c r="DB32" i="12"/>
  <c r="CW32" i="12"/>
  <c r="CS32" i="12"/>
  <c r="CR32" i="12"/>
  <c r="CM32" i="12"/>
  <c r="CH32" i="12"/>
  <c r="CC32" i="12"/>
  <c r="BY32" i="12"/>
  <c r="BX32" i="12"/>
  <c r="BS32" i="12"/>
  <c r="BN32" i="12"/>
  <c r="BI32" i="12"/>
  <c r="BD32" i="12"/>
  <c r="AZ32" i="12"/>
  <c r="AY32" i="12"/>
  <c r="AT32" i="12"/>
  <c r="AP32" i="12"/>
  <c r="AO32" i="12"/>
  <c r="AK32" i="12"/>
  <c r="AJ32" i="12"/>
  <c r="AE32" i="12"/>
  <c r="Z32" i="12"/>
  <c r="U32" i="12"/>
  <c r="Q32" i="12"/>
  <c r="P32" i="12"/>
  <c r="K32" i="12"/>
  <c r="F32" i="12"/>
  <c r="C32" i="12"/>
  <c r="B32" i="12"/>
  <c r="A32" i="12"/>
  <c r="EU31" i="12"/>
  <c r="EP31" i="12"/>
  <c r="EK31" i="12"/>
  <c r="EF31" i="12"/>
  <c r="EA31" i="12"/>
  <c r="DV31" i="12"/>
  <c r="DQ31" i="12"/>
  <c r="DL31" i="12"/>
  <c r="DG31" i="12"/>
  <c r="DB31" i="12"/>
  <c r="CW31" i="12"/>
  <c r="CR31" i="12"/>
  <c r="CM31" i="12"/>
  <c r="CH31" i="12"/>
  <c r="CC31" i="12"/>
  <c r="BX31" i="12"/>
  <c r="BS31" i="12"/>
  <c r="BN31" i="12"/>
  <c r="BI31" i="12"/>
  <c r="BD31" i="12"/>
  <c r="AY31" i="12"/>
  <c r="AT31" i="12"/>
  <c r="AO31" i="12"/>
  <c r="AJ31" i="12"/>
  <c r="AE31" i="12"/>
  <c r="Z31" i="12"/>
  <c r="U31" i="12"/>
  <c r="P31" i="12"/>
  <c r="K31" i="12"/>
  <c r="F31" i="12"/>
  <c r="C31" i="12"/>
  <c r="B31" i="12"/>
  <c r="A31" i="12"/>
  <c r="CI31" i="12" s="1"/>
  <c r="EV30" i="12"/>
  <c r="EU30" i="12"/>
  <c r="EP30" i="12"/>
  <c r="EK30" i="12"/>
  <c r="EF30" i="12"/>
  <c r="EA30" i="12"/>
  <c r="DV30" i="12"/>
  <c r="DQ30" i="12"/>
  <c r="DL30" i="12"/>
  <c r="DH30" i="12"/>
  <c r="DG30" i="12"/>
  <c r="DB30" i="12"/>
  <c r="CW30" i="12"/>
  <c r="CR30" i="12"/>
  <c r="CN30" i="12"/>
  <c r="CM30" i="12"/>
  <c r="CH30" i="12"/>
  <c r="CD30" i="12"/>
  <c r="CC30" i="12"/>
  <c r="BY30" i="12"/>
  <c r="BX30" i="12"/>
  <c r="BS30" i="12"/>
  <c r="BN30" i="12"/>
  <c r="BJ30" i="12"/>
  <c r="BI30" i="12"/>
  <c r="BD30" i="12"/>
  <c r="AY30" i="12"/>
  <c r="AT30" i="12"/>
  <c r="AP30" i="12"/>
  <c r="AO30" i="12"/>
  <c r="AJ30" i="12"/>
  <c r="AF30" i="12"/>
  <c r="AE30" i="12"/>
  <c r="Z30" i="12"/>
  <c r="V30" i="12"/>
  <c r="U30" i="12"/>
  <c r="P30" i="12"/>
  <c r="K30" i="12"/>
  <c r="F30" i="12"/>
  <c r="C30" i="12"/>
  <c r="B30" i="12"/>
  <c r="A30" i="12"/>
  <c r="EU29" i="12"/>
  <c r="EQ29" i="12"/>
  <c r="EP29" i="12"/>
  <c r="EL29" i="12"/>
  <c r="EK29" i="12"/>
  <c r="EF29" i="12"/>
  <c r="EA29" i="12"/>
  <c r="DW29" i="12"/>
  <c r="DV29" i="12"/>
  <c r="DQ29" i="12"/>
  <c r="DL29" i="12"/>
  <c r="DH29" i="12"/>
  <c r="DG29" i="12"/>
  <c r="DC29" i="12"/>
  <c r="DB29" i="12"/>
  <c r="CX29" i="12"/>
  <c r="CW29" i="12"/>
  <c r="CR29" i="12"/>
  <c r="CM29" i="12"/>
  <c r="CI29" i="12"/>
  <c r="CH29" i="12"/>
  <c r="CC29" i="12"/>
  <c r="BY29" i="12"/>
  <c r="BX29" i="12"/>
  <c r="BS29" i="12"/>
  <c r="BO29" i="12"/>
  <c r="BN29" i="12"/>
  <c r="BJ29" i="12"/>
  <c r="BI29" i="12"/>
  <c r="BD29" i="12"/>
  <c r="AZ29" i="12"/>
  <c r="AY29" i="12"/>
  <c r="AT29" i="12"/>
  <c r="AP29" i="12"/>
  <c r="AO29" i="12"/>
  <c r="AJ29" i="12"/>
  <c r="AE29" i="12"/>
  <c r="AA29" i="12"/>
  <c r="Z29" i="12"/>
  <c r="U29" i="12"/>
  <c r="P29" i="12"/>
  <c r="L29" i="12"/>
  <c r="K29" i="12"/>
  <c r="F29" i="12"/>
  <c r="C29" i="12"/>
  <c r="B29" i="12"/>
  <c r="A29" i="12"/>
  <c r="CD29" i="12" s="1"/>
  <c r="EU28" i="12"/>
  <c r="EQ28" i="12"/>
  <c r="EP28" i="12"/>
  <c r="EL28" i="12"/>
  <c r="EK28" i="12"/>
  <c r="EG28" i="12"/>
  <c r="EF28" i="12"/>
  <c r="EA28" i="12"/>
  <c r="DW28" i="12"/>
  <c r="DV28" i="12"/>
  <c r="DQ28" i="12"/>
  <c r="DM28" i="12"/>
  <c r="DL28" i="12"/>
  <c r="DG28" i="12"/>
  <c r="DC28" i="12"/>
  <c r="DB28" i="12"/>
  <c r="CX28" i="12"/>
  <c r="CW28" i="12"/>
  <c r="CS28" i="12"/>
  <c r="CR28" i="12"/>
  <c r="CN28" i="12"/>
  <c r="CM28" i="12"/>
  <c r="CH28" i="12"/>
  <c r="CC28" i="12"/>
  <c r="BY28" i="12"/>
  <c r="BX28" i="12"/>
  <c r="BS28" i="12"/>
  <c r="BO28" i="12"/>
  <c r="BN28" i="12"/>
  <c r="BJ28" i="12"/>
  <c r="BI28" i="12"/>
  <c r="BE28" i="12"/>
  <c r="BD28" i="12"/>
  <c r="AZ28" i="12"/>
  <c r="AY28" i="12"/>
  <c r="AU28" i="12"/>
  <c r="AT28" i="12"/>
  <c r="AO28" i="12"/>
  <c r="AK28" i="12"/>
  <c r="AJ28" i="12"/>
  <c r="AE28" i="12"/>
  <c r="Z28" i="12"/>
  <c r="V28" i="12"/>
  <c r="U28" i="12"/>
  <c r="Q28" i="12"/>
  <c r="P28" i="12"/>
  <c r="L28" i="12"/>
  <c r="K28" i="12"/>
  <c r="G28" i="12"/>
  <c r="F28" i="12"/>
  <c r="C28" i="12"/>
  <c r="B28" i="12"/>
  <c r="A28" i="12"/>
  <c r="AA28" i="12" s="1"/>
  <c r="EU27" i="12"/>
  <c r="EQ27" i="12"/>
  <c r="EP27" i="12"/>
  <c r="EK27" i="12"/>
  <c r="EF27" i="12"/>
  <c r="EA27" i="12"/>
  <c r="DV27" i="12"/>
  <c r="DQ27" i="12"/>
  <c r="DL27" i="12"/>
  <c r="DG27" i="12"/>
  <c r="DB27" i="12"/>
  <c r="CW27" i="12"/>
  <c r="CR27" i="12"/>
  <c r="CM27" i="12"/>
  <c r="CI27" i="12"/>
  <c r="CH27" i="12"/>
  <c r="CC27" i="12"/>
  <c r="BX27" i="12"/>
  <c r="BS27" i="12"/>
  <c r="BN27" i="12"/>
  <c r="BI27" i="12"/>
  <c r="BD27" i="12"/>
  <c r="AY27" i="12"/>
  <c r="AT27" i="12"/>
  <c r="AP27" i="12"/>
  <c r="AO27" i="12"/>
  <c r="AK27" i="12"/>
  <c r="AJ27" i="12"/>
  <c r="AE27" i="12"/>
  <c r="AA27" i="12"/>
  <c r="Z27" i="12"/>
  <c r="U27" i="12"/>
  <c r="P27" i="12"/>
  <c r="K27" i="12"/>
  <c r="G27" i="12"/>
  <c r="F27" i="12"/>
  <c r="C27" i="12"/>
  <c r="B27" i="12"/>
  <c r="A27" i="12"/>
  <c r="EV26" i="12"/>
  <c r="EU26" i="12"/>
  <c r="EP26" i="12"/>
  <c r="EL26" i="12"/>
  <c r="EK26" i="12"/>
  <c r="EF26" i="12"/>
  <c r="EB26" i="12"/>
  <c r="EA26" i="12"/>
  <c r="DV26" i="12"/>
  <c r="DQ26" i="12"/>
  <c r="DM26" i="12"/>
  <c r="DL26" i="12"/>
  <c r="DG26" i="12"/>
  <c r="DB26" i="12"/>
  <c r="CX26" i="12"/>
  <c r="CW26" i="12"/>
  <c r="CR26" i="12"/>
  <c r="CN26" i="12"/>
  <c r="CM26" i="12"/>
  <c r="CI26" i="12"/>
  <c r="CH26" i="12"/>
  <c r="CC26" i="12"/>
  <c r="BX26" i="12"/>
  <c r="BS26" i="12"/>
  <c r="BN26" i="12"/>
  <c r="BI26" i="12"/>
  <c r="BD26" i="12"/>
  <c r="AY26" i="12"/>
  <c r="AU26" i="12"/>
  <c r="AT26" i="12"/>
  <c r="AP26" i="12"/>
  <c r="AO26" i="12"/>
  <c r="AJ26" i="12"/>
  <c r="AF26" i="12"/>
  <c r="AE26" i="12"/>
  <c r="Z26" i="12"/>
  <c r="U26" i="12"/>
  <c r="P26" i="12"/>
  <c r="K26" i="12"/>
  <c r="F26" i="12"/>
  <c r="C26" i="12"/>
  <c r="B26" i="12"/>
  <c r="A26" i="12"/>
  <c r="EV25" i="12"/>
  <c r="EU25" i="12"/>
  <c r="EP25" i="12"/>
  <c r="EL25" i="12"/>
  <c r="EK25" i="12"/>
  <c r="EF25" i="12"/>
  <c r="EB25" i="12"/>
  <c r="EA25" i="12"/>
  <c r="DV25" i="12"/>
  <c r="DQ25" i="12"/>
  <c r="DL25" i="12"/>
  <c r="DH25" i="12"/>
  <c r="DG25" i="12"/>
  <c r="DB25" i="12"/>
  <c r="CW25" i="12"/>
  <c r="CS25" i="12"/>
  <c r="CR25" i="12"/>
  <c r="CM25" i="12"/>
  <c r="CH25" i="12"/>
  <c r="CD25" i="12"/>
  <c r="CC25" i="12"/>
  <c r="BY25" i="12"/>
  <c r="BX25" i="12"/>
  <c r="BS25" i="12"/>
  <c r="BN25" i="12"/>
  <c r="BI25" i="12"/>
  <c r="BE25" i="12"/>
  <c r="BD25" i="12"/>
  <c r="AY25" i="12"/>
  <c r="AT25" i="12"/>
  <c r="AP25" i="12"/>
  <c r="AO25" i="12"/>
  <c r="AJ25" i="12"/>
  <c r="AF25" i="12"/>
  <c r="AE25" i="12"/>
  <c r="Z25" i="12"/>
  <c r="V25" i="12"/>
  <c r="U25" i="12"/>
  <c r="P25" i="12"/>
  <c r="K25" i="12"/>
  <c r="F25" i="12"/>
  <c r="C25" i="12"/>
  <c r="B25" i="12"/>
  <c r="A25" i="12"/>
  <c r="EU24" i="12"/>
  <c r="EQ24" i="12"/>
  <c r="EP24" i="12"/>
  <c r="EL24" i="12"/>
  <c r="EK24" i="12"/>
  <c r="EF24" i="12"/>
  <c r="EA24" i="12"/>
  <c r="DW24" i="12"/>
  <c r="DV24" i="12"/>
  <c r="DQ24" i="12"/>
  <c r="DL24" i="12"/>
  <c r="DH24" i="12"/>
  <c r="DG24" i="12"/>
  <c r="DB24" i="12"/>
  <c r="CX24" i="12"/>
  <c r="CW24" i="12"/>
  <c r="CS24" i="12"/>
  <c r="CR24" i="12"/>
  <c r="CM24" i="12"/>
  <c r="CI24" i="12"/>
  <c r="CH24" i="12"/>
  <c r="CC24" i="12"/>
  <c r="BY24" i="12"/>
  <c r="BX24" i="12"/>
  <c r="BS24" i="12"/>
  <c r="BO24" i="12"/>
  <c r="BN24" i="12"/>
  <c r="BI24" i="12"/>
  <c r="BE24" i="12"/>
  <c r="BD24" i="12"/>
  <c r="AY24" i="12"/>
  <c r="AT24" i="12"/>
  <c r="AO24" i="12"/>
  <c r="AK24" i="12"/>
  <c r="AJ24" i="12"/>
  <c r="AE24" i="12"/>
  <c r="Z24" i="12"/>
  <c r="V24" i="12"/>
  <c r="U24" i="12"/>
  <c r="P24" i="12"/>
  <c r="K24" i="12"/>
  <c r="G24" i="12"/>
  <c r="F24" i="12"/>
  <c r="C24" i="12"/>
  <c r="B24" i="12"/>
  <c r="A24" i="12"/>
  <c r="EG24" i="12" s="1"/>
  <c r="EU23" i="12"/>
  <c r="EP23" i="12"/>
  <c r="EK23" i="12"/>
  <c r="EF23" i="12"/>
  <c r="EA23" i="12"/>
  <c r="DW23" i="12"/>
  <c r="DV23" i="12"/>
  <c r="DQ23" i="12"/>
  <c r="DL23" i="12"/>
  <c r="DG23" i="12"/>
  <c r="DB23" i="12"/>
  <c r="CW23" i="12"/>
  <c r="CR23" i="12"/>
  <c r="CM23" i="12"/>
  <c r="CH23" i="12"/>
  <c r="CC23" i="12"/>
  <c r="BY23" i="12"/>
  <c r="BX23" i="12"/>
  <c r="BS23" i="12"/>
  <c r="BO23" i="12"/>
  <c r="BN23" i="12"/>
  <c r="BI23" i="12"/>
  <c r="BD23" i="12"/>
  <c r="AY23" i="12"/>
  <c r="AT23" i="12"/>
  <c r="AO23" i="12"/>
  <c r="AJ23" i="12"/>
  <c r="AE23" i="12"/>
  <c r="AA23" i="12"/>
  <c r="Z23" i="12"/>
  <c r="V23" i="12"/>
  <c r="U23" i="12"/>
  <c r="P23" i="12"/>
  <c r="L23" i="12"/>
  <c r="K23" i="12"/>
  <c r="F23" i="12"/>
  <c r="C23" i="12"/>
  <c r="B23" i="12"/>
  <c r="A23" i="12"/>
  <c r="EU22" i="12"/>
  <c r="EQ22" i="12"/>
  <c r="EP22" i="12"/>
  <c r="EK22" i="12"/>
  <c r="EG22" i="12"/>
  <c r="EF22" i="12"/>
  <c r="EB22" i="12"/>
  <c r="EA22" i="12"/>
  <c r="DW22" i="12"/>
  <c r="DV22" i="12"/>
  <c r="DQ22" i="12"/>
  <c r="DL22" i="12"/>
  <c r="DG22" i="12"/>
  <c r="DB22" i="12"/>
  <c r="CW22" i="12"/>
  <c r="CS22" i="12"/>
  <c r="CR22" i="12"/>
  <c r="CM22" i="12"/>
  <c r="CI22" i="12"/>
  <c r="CH22" i="12"/>
  <c r="CC22" i="12"/>
  <c r="BX22" i="12"/>
  <c r="BS22" i="12"/>
  <c r="BO22" i="12"/>
  <c r="BN22" i="12"/>
  <c r="BJ22" i="12"/>
  <c r="BI22" i="12"/>
  <c r="BD22" i="12"/>
  <c r="AZ22" i="12"/>
  <c r="AY22" i="12"/>
  <c r="AU22" i="12"/>
  <c r="AT22" i="12"/>
  <c r="AO22" i="12"/>
  <c r="AK22" i="12"/>
  <c r="AJ22" i="12"/>
  <c r="AE22" i="12"/>
  <c r="Z22" i="12"/>
  <c r="U22" i="12"/>
  <c r="Q22" i="12"/>
  <c r="P22" i="12"/>
  <c r="K22" i="12"/>
  <c r="G22" i="12"/>
  <c r="F22" i="12"/>
  <c r="C22" i="12"/>
  <c r="B22" i="12"/>
  <c r="A22" i="12"/>
  <c r="EV21" i="12"/>
  <c r="EU21" i="12"/>
  <c r="EQ21" i="12"/>
  <c r="EP21" i="12"/>
  <c r="EL21" i="12"/>
  <c r="EK21" i="12"/>
  <c r="EG21" i="12"/>
  <c r="EF21" i="12"/>
  <c r="EB21" i="12"/>
  <c r="EA21" i="12"/>
  <c r="DW21" i="12"/>
  <c r="DV21" i="12"/>
  <c r="DR21" i="12"/>
  <c r="DQ21" i="12"/>
  <c r="DL21" i="12"/>
  <c r="DH21" i="12"/>
  <c r="DG21" i="12"/>
  <c r="DC21" i="12"/>
  <c r="DB21" i="12"/>
  <c r="CX21" i="12"/>
  <c r="CW21" i="12"/>
  <c r="CS21" i="12"/>
  <c r="CR21" i="12"/>
  <c r="CN21" i="12"/>
  <c r="CM21" i="12"/>
  <c r="CI21" i="12"/>
  <c r="CH21" i="12"/>
  <c r="CD21" i="12"/>
  <c r="CC21" i="12"/>
  <c r="BX21" i="12"/>
  <c r="BT21" i="12"/>
  <c r="BS21" i="12"/>
  <c r="BO21" i="12"/>
  <c r="BN21" i="12"/>
  <c r="BJ21" i="12"/>
  <c r="BI21" i="12"/>
  <c r="BE21" i="12"/>
  <c r="BD21" i="12"/>
  <c r="AZ21" i="12"/>
  <c r="AY21" i="12"/>
  <c r="AU21" i="12"/>
  <c r="AT21" i="12"/>
  <c r="AP21" i="12"/>
  <c r="AO21" i="12"/>
  <c r="AJ21" i="12"/>
  <c r="AF21" i="12"/>
  <c r="AE21" i="12"/>
  <c r="AA21" i="12"/>
  <c r="Z21" i="12"/>
  <c r="V21" i="12"/>
  <c r="U21" i="12"/>
  <c r="Q21" i="12"/>
  <c r="P21" i="12"/>
  <c r="L21" i="12"/>
  <c r="K21" i="12"/>
  <c r="G21" i="12"/>
  <c r="F21" i="12"/>
  <c r="C21" i="12"/>
  <c r="B21" i="12"/>
  <c r="A21" i="12"/>
  <c r="DM21" i="12" s="1"/>
  <c r="EU20" i="12"/>
  <c r="EP20" i="12"/>
  <c r="EK20" i="12"/>
  <c r="EF20" i="12"/>
  <c r="EA20" i="12"/>
  <c r="DV20" i="12"/>
  <c r="DQ20" i="12"/>
  <c r="DL20" i="12"/>
  <c r="DG20" i="12"/>
  <c r="DB20" i="12"/>
  <c r="CW20" i="12"/>
  <c r="CR20" i="12"/>
  <c r="CM20" i="12"/>
  <c r="CH20" i="12"/>
  <c r="CC20" i="12"/>
  <c r="BX20" i="12"/>
  <c r="BS20" i="12"/>
  <c r="BN20" i="12"/>
  <c r="BI20" i="12"/>
  <c r="BD20" i="12"/>
  <c r="AZ20" i="12"/>
  <c r="AY20" i="12"/>
  <c r="AT20" i="12"/>
  <c r="AO20" i="12"/>
  <c r="AJ20" i="12"/>
  <c r="AE20" i="12"/>
  <c r="Z20" i="12"/>
  <c r="U20" i="12"/>
  <c r="P20" i="12"/>
  <c r="K20" i="12"/>
  <c r="F20" i="12"/>
  <c r="C20" i="12"/>
  <c r="B20" i="12"/>
  <c r="A20" i="12"/>
  <c r="EU19" i="12"/>
  <c r="EP19" i="12"/>
  <c r="EK19" i="12"/>
  <c r="EF19" i="12"/>
  <c r="EA19" i="12"/>
  <c r="DV19" i="12"/>
  <c r="DQ19" i="12"/>
  <c r="DM19" i="12"/>
  <c r="DL19" i="12"/>
  <c r="DG19" i="12"/>
  <c r="DB19" i="12"/>
  <c r="CW19" i="12"/>
  <c r="CS19" i="12"/>
  <c r="CR19" i="12"/>
  <c r="CN19" i="12"/>
  <c r="CM19" i="12"/>
  <c r="CH19" i="12"/>
  <c r="CD19" i="12"/>
  <c r="CC19" i="12"/>
  <c r="BX19" i="12"/>
  <c r="BS19" i="12"/>
  <c r="BN19" i="12"/>
  <c r="BI19" i="12"/>
  <c r="BD19" i="12"/>
  <c r="AY19" i="12"/>
  <c r="AT19" i="12"/>
  <c r="AO19" i="12"/>
  <c r="AJ19" i="12"/>
  <c r="AE19" i="12"/>
  <c r="Z19" i="12"/>
  <c r="U19" i="12"/>
  <c r="P19" i="12"/>
  <c r="K19" i="12"/>
  <c r="F19" i="12"/>
  <c r="C19" i="12"/>
  <c r="B19" i="12"/>
  <c r="A19" i="12"/>
  <c r="AZ19" i="12" s="1"/>
  <c r="EU18" i="12"/>
  <c r="EP18" i="12"/>
  <c r="EK18" i="12"/>
  <c r="EF18" i="12"/>
  <c r="EA18" i="12"/>
  <c r="DV18" i="12"/>
  <c r="DQ18" i="12"/>
  <c r="DL18" i="12"/>
  <c r="DG18" i="12"/>
  <c r="DB18" i="12"/>
  <c r="CW18" i="12"/>
  <c r="CR18" i="12"/>
  <c r="CM18" i="12"/>
  <c r="CH18" i="12"/>
  <c r="CC18" i="12"/>
  <c r="BX18" i="12"/>
  <c r="BS18" i="12"/>
  <c r="BN18" i="12"/>
  <c r="BI18" i="12"/>
  <c r="BD18" i="12"/>
  <c r="AY18" i="12"/>
  <c r="AT18" i="12"/>
  <c r="AO18" i="12"/>
  <c r="AJ18" i="12"/>
  <c r="AE18" i="12"/>
  <c r="Z18" i="12"/>
  <c r="U18" i="12"/>
  <c r="P18" i="12"/>
  <c r="K18" i="12"/>
  <c r="F18" i="12"/>
  <c r="C18" i="12"/>
  <c r="B18" i="12"/>
  <c r="A18" i="12"/>
  <c r="V18" i="12" s="1"/>
  <c r="EV17" i="12"/>
  <c r="EU17" i="12"/>
  <c r="EP17" i="12"/>
  <c r="EL17" i="12"/>
  <c r="EK17" i="12"/>
  <c r="EF17" i="12"/>
  <c r="EB17" i="12"/>
  <c r="EA17" i="12"/>
  <c r="DV17" i="12"/>
  <c r="DR17" i="12"/>
  <c r="DQ17" i="12"/>
  <c r="DL17" i="12"/>
  <c r="DH17" i="12"/>
  <c r="DG17" i="12"/>
  <c r="DB17" i="12"/>
  <c r="CX17" i="12"/>
  <c r="CW17" i="12"/>
  <c r="CS17" i="12"/>
  <c r="CR17" i="12"/>
  <c r="CN17" i="12"/>
  <c r="CM17" i="12"/>
  <c r="CH17" i="12"/>
  <c r="CD17" i="12"/>
  <c r="CC17" i="12"/>
  <c r="BY17" i="12"/>
  <c r="BX17" i="12"/>
  <c r="BT17" i="12"/>
  <c r="BS17" i="12"/>
  <c r="BN17" i="12"/>
  <c r="BJ17" i="12"/>
  <c r="BI17" i="12"/>
  <c r="BE17" i="12"/>
  <c r="BD17" i="12"/>
  <c r="AZ17" i="12"/>
  <c r="AY17" i="12"/>
  <c r="AU17" i="12"/>
  <c r="AT17" i="12"/>
  <c r="AO17" i="12"/>
  <c r="AK17" i="12"/>
  <c r="AJ17" i="12"/>
  <c r="AE17" i="12"/>
  <c r="Z17" i="12"/>
  <c r="V17" i="12"/>
  <c r="U17" i="12"/>
  <c r="Q17" i="12"/>
  <c r="P17" i="12"/>
  <c r="L17" i="12"/>
  <c r="K17" i="12"/>
  <c r="G17" i="12"/>
  <c r="F17" i="12"/>
  <c r="C17" i="12"/>
  <c r="B17" i="12"/>
  <c r="A17" i="12"/>
  <c r="EV16" i="12"/>
  <c r="EU16" i="12"/>
  <c r="EP16" i="12"/>
  <c r="EL16" i="12"/>
  <c r="EK16" i="12"/>
  <c r="EG16" i="12"/>
  <c r="EF16" i="12"/>
  <c r="EB16" i="12"/>
  <c r="EA16" i="12"/>
  <c r="DW16" i="12"/>
  <c r="DV16" i="12"/>
  <c r="DR16" i="12"/>
  <c r="DQ16" i="12"/>
  <c r="DL16" i="12"/>
  <c r="DH16" i="12"/>
  <c r="DG16" i="12"/>
  <c r="DB16" i="12"/>
  <c r="CX16" i="12"/>
  <c r="CW16" i="12"/>
  <c r="CS16" i="12"/>
  <c r="CR16" i="12"/>
  <c r="CN16" i="12"/>
  <c r="CM16" i="12"/>
  <c r="CI16" i="12"/>
  <c r="CH16" i="12"/>
  <c r="CD16" i="12"/>
  <c r="CC16" i="12"/>
  <c r="BX16" i="12"/>
  <c r="BT16" i="12"/>
  <c r="BS16" i="12"/>
  <c r="BN16" i="12"/>
  <c r="BJ16" i="12"/>
  <c r="BI16" i="12"/>
  <c r="BE16" i="12"/>
  <c r="BD16" i="12"/>
  <c r="AZ16" i="12"/>
  <c r="AY16" i="12"/>
  <c r="AU16" i="12"/>
  <c r="AT16" i="12"/>
  <c r="AP16" i="12"/>
  <c r="AO16" i="12"/>
  <c r="AJ16" i="12"/>
  <c r="AF16" i="12"/>
  <c r="AE16" i="12"/>
  <c r="Z16" i="12"/>
  <c r="V16" i="12"/>
  <c r="U16" i="12"/>
  <c r="Q16" i="12"/>
  <c r="P16" i="12"/>
  <c r="L16" i="12"/>
  <c r="K16" i="12"/>
  <c r="G16" i="12"/>
  <c r="F16" i="12"/>
  <c r="C16" i="12"/>
  <c r="B16" i="12"/>
  <c r="A16" i="12"/>
  <c r="DM16" i="12" s="1"/>
  <c r="EV15" i="12"/>
  <c r="EU15" i="12"/>
  <c r="EP15" i="12"/>
  <c r="EK15" i="12"/>
  <c r="EF15" i="12"/>
  <c r="EA15" i="12"/>
  <c r="DW15" i="12"/>
  <c r="DV15" i="12"/>
  <c r="DQ15" i="12"/>
  <c r="DL15" i="12"/>
  <c r="DG15" i="12"/>
  <c r="DB15" i="12"/>
  <c r="CW15" i="12"/>
  <c r="CR15" i="12"/>
  <c r="CN15" i="12"/>
  <c r="CM15" i="12"/>
  <c r="CH15" i="12"/>
  <c r="CD15" i="12"/>
  <c r="CC15" i="12"/>
  <c r="BY15" i="12"/>
  <c r="BX15" i="12"/>
  <c r="BS15" i="12"/>
  <c r="BN15" i="12"/>
  <c r="BI15" i="12"/>
  <c r="BD15" i="12"/>
  <c r="AY15" i="12"/>
  <c r="AT15" i="12"/>
  <c r="AO15" i="12"/>
  <c r="AJ15" i="12"/>
  <c r="AF15" i="12"/>
  <c r="AE15" i="12"/>
  <c r="Z15" i="12"/>
  <c r="U15" i="12"/>
  <c r="S35" i="12" s="1"/>
  <c r="Q15" i="12"/>
  <c r="P15" i="12"/>
  <c r="L15" i="12"/>
  <c r="K15" i="12"/>
  <c r="F15" i="12"/>
  <c r="C15" i="12"/>
  <c r="B15" i="12"/>
  <c r="A15" i="12"/>
  <c r="EU14" i="12"/>
  <c r="EP14" i="12"/>
  <c r="EK14" i="12"/>
  <c r="EG14" i="12"/>
  <c r="EF14" i="12"/>
  <c r="EA14" i="12"/>
  <c r="DW14" i="12"/>
  <c r="DV14" i="12"/>
  <c r="DR14" i="12"/>
  <c r="DQ14" i="12"/>
  <c r="DL14" i="12"/>
  <c r="DG14" i="12"/>
  <c r="DB14" i="12"/>
  <c r="CW14" i="12"/>
  <c r="CR14" i="12"/>
  <c r="CM14" i="12"/>
  <c r="CH14" i="12"/>
  <c r="CD14" i="12"/>
  <c r="CC14" i="12"/>
  <c r="BY14" i="12"/>
  <c r="BX14" i="12"/>
  <c r="BS14" i="12"/>
  <c r="BO14" i="12"/>
  <c r="BN14" i="12"/>
  <c r="BI14" i="12"/>
  <c r="BD14" i="12"/>
  <c r="AY14" i="12"/>
  <c r="AU14" i="12"/>
  <c r="AT14" i="12"/>
  <c r="AO14" i="12"/>
  <c r="AJ14" i="12"/>
  <c r="AE14" i="12"/>
  <c r="Z14" i="12"/>
  <c r="U14" i="12"/>
  <c r="Q14" i="12"/>
  <c r="P14" i="12"/>
  <c r="K14" i="12"/>
  <c r="F14" i="12"/>
  <c r="C14" i="12"/>
  <c r="B14" i="12"/>
  <c r="A14" i="12"/>
  <c r="AF14" i="12" s="1"/>
  <c r="EU13" i="12"/>
  <c r="EQ13" i="12"/>
  <c r="EP13" i="12"/>
  <c r="EK13" i="12"/>
  <c r="EF13" i="12"/>
  <c r="EB13" i="12"/>
  <c r="EA13" i="12"/>
  <c r="DV13" i="12"/>
  <c r="DQ13" i="12"/>
  <c r="DM13" i="12"/>
  <c r="DL13" i="12"/>
  <c r="DG13" i="12"/>
  <c r="DC13" i="12"/>
  <c r="DB13" i="12"/>
  <c r="CW13" i="12"/>
  <c r="CR13" i="12"/>
  <c r="CM13" i="12"/>
  <c r="CI13" i="12"/>
  <c r="CH13" i="12"/>
  <c r="CD13" i="12"/>
  <c r="CC13" i="12"/>
  <c r="BY13" i="12"/>
  <c r="BX13" i="12"/>
  <c r="BT13" i="12"/>
  <c r="BS13" i="12"/>
  <c r="BN13" i="12"/>
  <c r="BJ13" i="12"/>
  <c r="BI13" i="12"/>
  <c r="BD13" i="12"/>
  <c r="AY13" i="12"/>
  <c r="AT13" i="12"/>
  <c r="AO13" i="12"/>
  <c r="AK13" i="12"/>
  <c r="AJ13" i="12"/>
  <c r="AE13" i="12"/>
  <c r="AA13" i="12"/>
  <c r="Z13" i="12"/>
  <c r="V13" i="12"/>
  <c r="U13" i="12"/>
  <c r="P13" i="12"/>
  <c r="K13" i="12"/>
  <c r="G13" i="12"/>
  <c r="F13" i="12"/>
  <c r="C13" i="12"/>
  <c r="B13" i="12"/>
  <c r="A13" i="12"/>
  <c r="EU12" i="12"/>
  <c r="ES35" i="12" s="1"/>
  <c r="EP12" i="12"/>
  <c r="EL12" i="12"/>
  <c r="EK12" i="12"/>
  <c r="EG12" i="12"/>
  <c r="EF12" i="12"/>
  <c r="EA12" i="12"/>
  <c r="DV12" i="12"/>
  <c r="DR12" i="12"/>
  <c r="DQ12" i="12"/>
  <c r="DL12" i="12"/>
  <c r="DG12" i="12"/>
  <c r="DC12" i="12"/>
  <c r="DB12" i="12"/>
  <c r="CX12" i="12"/>
  <c r="CW12" i="12"/>
  <c r="CS12" i="12"/>
  <c r="CR12" i="12"/>
  <c r="CM12" i="12"/>
  <c r="CI12" i="12"/>
  <c r="CH12" i="12"/>
  <c r="CC12" i="12"/>
  <c r="BY12" i="12"/>
  <c r="BX12" i="12"/>
  <c r="BS12" i="12"/>
  <c r="BN12" i="12"/>
  <c r="BI12" i="12"/>
  <c r="BE12" i="12"/>
  <c r="BD12" i="12"/>
  <c r="AY12" i="12"/>
  <c r="AU12" i="12"/>
  <c r="AT12" i="12"/>
  <c r="AP12" i="12"/>
  <c r="AO12" i="12"/>
  <c r="AK12" i="12"/>
  <c r="AJ12" i="12"/>
  <c r="AE12" i="12"/>
  <c r="AA12" i="12"/>
  <c r="Z12" i="12"/>
  <c r="V12" i="12"/>
  <c r="U12" i="12"/>
  <c r="P12" i="12"/>
  <c r="K12" i="12"/>
  <c r="G12" i="12"/>
  <c r="F12" i="12"/>
  <c r="C12" i="12"/>
  <c r="B12" i="12"/>
  <c r="A12" i="12"/>
  <c r="EV11" i="12"/>
  <c r="EU11" i="12"/>
  <c r="EQ11" i="12"/>
  <c r="EP11" i="12"/>
  <c r="EL11" i="12"/>
  <c r="EK11" i="12"/>
  <c r="EG11" i="12"/>
  <c r="EF11" i="12"/>
  <c r="EB11" i="12"/>
  <c r="EA11" i="12"/>
  <c r="DW11" i="12"/>
  <c r="DV11" i="12"/>
  <c r="DR11" i="12"/>
  <c r="DQ11" i="12"/>
  <c r="DL11" i="12"/>
  <c r="DH11" i="12"/>
  <c r="DG11" i="12"/>
  <c r="DC11" i="12"/>
  <c r="DB11" i="12"/>
  <c r="CX11" i="12"/>
  <c r="CW11" i="12"/>
  <c r="CS11" i="12"/>
  <c r="CR11" i="12"/>
  <c r="CN11" i="12"/>
  <c r="CM11" i="12"/>
  <c r="CI11" i="12"/>
  <c r="CH11" i="12"/>
  <c r="CD11" i="12"/>
  <c r="CC11" i="12"/>
  <c r="CA35" i="12" s="1"/>
  <c r="BX11" i="12"/>
  <c r="BT11" i="12"/>
  <c r="BS11" i="12"/>
  <c r="BO11" i="12"/>
  <c r="BN11" i="12"/>
  <c r="BJ11" i="12"/>
  <c r="BI11" i="12"/>
  <c r="BE11" i="12"/>
  <c r="BD11" i="12"/>
  <c r="AZ11" i="12"/>
  <c r="AY11" i="12"/>
  <c r="AU11" i="12"/>
  <c r="AT11" i="12"/>
  <c r="AP11" i="12"/>
  <c r="AO11" i="12"/>
  <c r="AJ11" i="12"/>
  <c r="AF11" i="12"/>
  <c r="AE11" i="12"/>
  <c r="AA11" i="12"/>
  <c r="Z11" i="12"/>
  <c r="V11" i="12"/>
  <c r="U11" i="12"/>
  <c r="Q11" i="12"/>
  <c r="P11" i="12"/>
  <c r="L11" i="12"/>
  <c r="K11" i="12"/>
  <c r="G11" i="12"/>
  <c r="F11" i="12"/>
  <c r="C11" i="12"/>
  <c r="B11" i="12"/>
  <c r="A11" i="12"/>
  <c r="DM11" i="12" s="1"/>
  <c r="EV10" i="12"/>
  <c r="EU10" i="12"/>
  <c r="EP10" i="12"/>
  <c r="EL10" i="12"/>
  <c r="EK10" i="12"/>
  <c r="EF10" i="12"/>
  <c r="EA10" i="12"/>
  <c r="DV10" i="12"/>
  <c r="DQ10" i="12"/>
  <c r="DL10" i="12"/>
  <c r="DG10" i="12"/>
  <c r="DB10" i="12"/>
  <c r="CW10" i="12"/>
  <c r="CS10" i="12"/>
  <c r="CR10" i="12"/>
  <c r="CM10" i="12"/>
  <c r="CH10" i="12"/>
  <c r="CC10" i="12"/>
  <c r="BX10" i="12"/>
  <c r="BS10" i="12"/>
  <c r="BN10" i="12"/>
  <c r="BI10" i="12"/>
  <c r="BD10" i="12"/>
  <c r="AY10" i="12"/>
  <c r="AT10" i="12"/>
  <c r="AP10" i="12"/>
  <c r="AO10" i="12"/>
  <c r="AJ10" i="12"/>
  <c r="AF10" i="12"/>
  <c r="AE10" i="12"/>
  <c r="Z10" i="12"/>
  <c r="U10" i="12"/>
  <c r="P10" i="12"/>
  <c r="K10" i="12"/>
  <c r="F10" i="12"/>
  <c r="C10" i="12"/>
  <c r="B10" i="12"/>
  <c r="A10" i="12"/>
  <c r="DH10" i="12" s="1"/>
  <c r="EU9" i="12"/>
  <c r="EQ9" i="12"/>
  <c r="EP9" i="12"/>
  <c r="EL9" i="12"/>
  <c r="EK9" i="12"/>
  <c r="EI35" i="12" s="1"/>
  <c r="EF9" i="12"/>
  <c r="EB9" i="12"/>
  <c r="EA9" i="12"/>
  <c r="DW9" i="12"/>
  <c r="DV9" i="12"/>
  <c r="DQ9" i="12"/>
  <c r="DL9" i="12"/>
  <c r="DG9" i="12"/>
  <c r="DC9" i="12"/>
  <c r="DB9" i="12"/>
  <c r="CX9" i="12"/>
  <c r="CW9" i="12"/>
  <c r="CS9" i="12"/>
  <c r="CR9" i="12"/>
  <c r="CN9" i="12"/>
  <c r="CM9" i="12"/>
  <c r="CI9" i="12"/>
  <c r="CH9" i="12"/>
  <c r="CC9" i="12"/>
  <c r="BY9" i="12"/>
  <c r="BX9" i="12"/>
  <c r="BS9" i="12"/>
  <c r="BO9" i="12"/>
  <c r="BN9" i="12"/>
  <c r="BJ9" i="12"/>
  <c r="BI9" i="12"/>
  <c r="BE9" i="12"/>
  <c r="BD9" i="12"/>
  <c r="AZ9" i="12"/>
  <c r="AY9" i="12"/>
  <c r="AU9" i="12"/>
  <c r="AT9" i="12"/>
  <c r="AO9" i="12"/>
  <c r="AK9" i="12"/>
  <c r="AJ9" i="12"/>
  <c r="AE9" i="12"/>
  <c r="Z9" i="12"/>
  <c r="V9" i="12"/>
  <c r="U9" i="12"/>
  <c r="Q9" i="12"/>
  <c r="P9" i="12"/>
  <c r="L9" i="12"/>
  <c r="K9" i="12"/>
  <c r="G9" i="12"/>
  <c r="F9" i="12"/>
  <c r="C9" i="12"/>
  <c r="B9" i="12"/>
  <c r="A9" i="12"/>
  <c r="EU8" i="12"/>
  <c r="EP8" i="12"/>
  <c r="EK8" i="12"/>
  <c r="EF8" i="12"/>
  <c r="EA8" i="12"/>
  <c r="DV8" i="12"/>
  <c r="DQ8" i="12"/>
  <c r="DL8" i="12"/>
  <c r="DG8" i="12"/>
  <c r="DB8" i="12"/>
  <c r="CW8" i="12"/>
  <c r="CS8" i="12"/>
  <c r="CR8" i="12"/>
  <c r="CM8" i="12"/>
  <c r="CH8" i="12"/>
  <c r="CC8" i="12"/>
  <c r="BX8" i="12"/>
  <c r="BS8" i="12"/>
  <c r="BN8" i="12"/>
  <c r="BI8" i="12"/>
  <c r="BD8" i="12"/>
  <c r="AY8" i="12"/>
  <c r="AT8" i="12"/>
  <c r="AO8" i="12"/>
  <c r="AJ8" i="12"/>
  <c r="AF8" i="12"/>
  <c r="AE8" i="12"/>
  <c r="Z8" i="12"/>
  <c r="U8" i="12"/>
  <c r="P8" i="12"/>
  <c r="K8" i="12"/>
  <c r="F8" i="12"/>
  <c r="C8" i="12"/>
  <c r="B8" i="12"/>
  <c r="A8" i="12"/>
  <c r="DW8" i="12" s="1"/>
  <c r="EV7" i="12"/>
  <c r="EU7" i="12"/>
  <c r="EP7" i="12"/>
  <c r="EL7" i="12"/>
  <c r="EK7" i="12"/>
  <c r="EG7" i="12"/>
  <c r="EF7" i="12"/>
  <c r="EB7" i="12"/>
  <c r="EA7" i="12"/>
  <c r="DW7" i="12"/>
  <c r="DV7" i="12"/>
  <c r="DR7" i="12"/>
  <c r="DQ7" i="12"/>
  <c r="DL7" i="12"/>
  <c r="DH7" i="12"/>
  <c r="DG7" i="12"/>
  <c r="DB7" i="12"/>
  <c r="CX7" i="12"/>
  <c r="CW7" i="12"/>
  <c r="CS7" i="12"/>
  <c r="CR7" i="12"/>
  <c r="CN7" i="12"/>
  <c r="CM7" i="12"/>
  <c r="CI7" i="12"/>
  <c r="CH7" i="12"/>
  <c r="CD7" i="12"/>
  <c r="CC7" i="12"/>
  <c r="BX7" i="12"/>
  <c r="BT7" i="12"/>
  <c r="BS7" i="12"/>
  <c r="BN7" i="12"/>
  <c r="BJ7" i="12"/>
  <c r="BI7" i="12"/>
  <c r="BG35" i="12" s="1"/>
  <c r="BE7" i="12"/>
  <c r="BD7" i="12"/>
  <c r="BB35" i="12" s="1"/>
  <c r="AZ7" i="12"/>
  <c r="AY7" i="12"/>
  <c r="AU7" i="12"/>
  <c r="AT7" i="12"/>
  <c r="AP7" i="12"/>
  <c r="AO7" i="12"/>
  <c r="AJ7" i="12"/>
  <c r="AF7" i="12"/>
  <c r="AE7" i="12"/>
  <c r="Z7" i="12"/>
  <c r="V7" i="12"/>
  <c r="U7" i="12"/>
  <c r="Q7" i="12"/>
  <c r="P7" i="12"/>
  <c r="L7" i="12"/>
  <c r="K7" i="12"/>
  <c r="G7" i="12"/>
  <c r="F7" i="12"/>
  <c r="C7" i="12"/>
  <c r="B7" i="12"/>
  <c r="A7" i="12"/>
  <c r="DM7" i="12" s="1"/>
  <c r="EV6" i="12"/>
  <c r="EU6" i="12"/>
  <c r="EQ6" i="12"/>
  <c r="EP6" i="12"/>
  <c r="EL6" i="12"/>
  <c r="EK6" i="12"/>
  <c r="EG6" i="12"/>
  <c r="EF6" i="12"/>
  <c r="EB6" i="12"/>
  <c r="EA6" i="12"/>
  <c r="DW6" i="12"/>
  <c r="DV6" i="12"/>
  <c r="DR6" i="12"/>
  <c r="DQ6" i="12"/>
  <c r="DL6" i="12"/>
  <c r="DH6" i="12"/>
  <c r="DG6" i="12"/>
  <c r="DC6" i="12"/>
  <c r="DB6" i="12"/>
  <c r="CX6" i="12"/>
  <c r="CW6" i="12"/>
  <c r="CS6" i="12"/>
  <c r="CR6" i="12"/>
  <c r="CN6" i="12"/>
  <c r="CM6" i="12"/>
  <c r="CI6" i="12"/>
  <c r="CH6" i="12"/>
  <c r="CD6" i="12"/>
  <c r="CC6" i="12"/>
  <c r="BX6" i="12"/>
  <c r="BT6" i="12"/>
  <c r="BS6" i="12"/>
  <c r="BO6" i="12"/>
  <c r="BN6" i="12"/>
  <c r="BJ6" i="12"/>
  <c r="BI6" i="12"/>
  <c r="BE6" i="12"/>
  <c r="BD6" i="12"/>
  <c r="AZ6" i="12"/>
  <c r="AY6" i="12"/>
  <c r="AU6" i="12"/>
  <c r="AT6" i="12"/>
  <c r="AP6" i="12"/>
  <c r="AO6" i="12"/>
  <c r="AJ6" i="12"/>
  <c r="AF6" i="12"/>
  <c r="AE6" i="12"/>
  <c r="AA6" i="12"/>
  <c r="Z6" i="12"/>
  <c r="V6" i="12"/>
  <c r="U6" i="12"/>
  <c r="Q6" i="12"/>
  <c r="P6" i="12"/>
  <c r="L6" i="12"/>
  <c r="K6" i="12"/>
  <c r="G6" i="12"/>
  <c r="F6" i="12"/>
  <c r="D35" i="12" s="1"/>
  <c r="C6" i="12"/>
  <c r="B6" i="12"/>
  <c r="A6" i="12"/>
  <c r="DM6" i="12" s="1"/>
  <c r="EU5" i="12"/>
  <c r="EQ5" i="12"/>
  <c r="EP5" i="12"/>
  <c r="EK5" i="12"/>
  <c r="EF5" i="12"/>
  <c r="EA5" i="12"/>
  <c r="DV5" i="12"/>
  <c r="DR5" i="12"/>
  <c r="DQ5" i="12"/>
  <c r="DM5" i="12"/>
  <c r="DL5" i="12"/>
  <c r="DG5" i="12"/>
  <c r="DE35" i="12" s="1"/>
  <c r="DC5" i="12"/>
  <c r="DB5" i="12"/>
  <c r="CZ35" i="12" s="1"/>
  <c r="CW5" i="12"/>
  <c r="CU35" i="12" s="1"/>
  <c r="CR5" i="12"/>
  <c r="CM5" i="12"/>
  <c r="CK35" i="12" s="1"/>
  <c r="CI5" i="12"/>
  <c r="CH5" i="12"/>
  <c r="CC5" i="12"/>
  <c r="BX5" i="12"/>
  <c r="BS5" i="12"/>
  <c r="BO5" i="12"/>
  <c r="BN5" i="12"/>
  <c r="BI5" i="12"/>
  <c r="BE5" i="12"/>
  <c r="BD5" i="12"/>
  <c r="AZ5" i="12"/>
  <c r="AY5" i="12"/>
  <c r="AT5" i="12"/>
  <c r="AP5" i="12"/>
  <c r="AO5" i="12"/>
  <c r="AJ5" i="12"/>
  <c r="AE5" i="12"/>
  <c r="Z5" i="12"/>
  <c r="U5" i="12"/>
  <c r="Q5" i="12"/>
  <c r="P5" i="12"/>
  <c r="N35" i="12" s="1"/>
  <c r="L5" i="12"/>
  <c r="K5" i="12"/>
  <c r="G5" i="12"/>
  <c r="F5" i="12"/>
  <c r="C5" i="12"/>
  <c r="B5" i="12"/>
  <c r="A5" i="12"/>
  <c r="EB5" i="12" s="1"/>
  <c r="EU4" i="12"/>
  <c r="EP4" i="12"/>
  <c r="EK4" i="12"/>
  <c r="EF4" i="12"/>
  <c r="EA4" i="12"/>
  <c r="DW4" i="12"/>
  <c r="DV4" i="12"/>
  <c r="DR4" i="12"/>
  <c r="DQ4" i="12"/>
  <c r="DL4" i="12"/>
  <c r="DG4" i="12"/>
  <c r="DB4" i="12"/>
  <c r="CW4" i="12"/>
  <c r="CS4" i="12"/>
  <c r="CR4" i="12"/>
  <c r="CM4" i="12"/>
  <c r="CI4" i="12"/>
  <c r="CH4" i="12"/>
  <c r="CD4" i="12"/>
  <c r="CC4" i="12"/>
  <c r="BX4" i="12"/>
  <c r="BS4" i="12"/>
  <c r="BO4" i="12"/>
  <c r="BN4" i="12"/>
  <c r="BI4" i="12"/>
  <c r="BD4" i="12"/>
  <c r="AY4" i="12"/>
  <c r="AU4" i="12"/>
  <c r="AT4" i="12"/>
  <c r="AO4" i="12"/>
  <c r="AJ4" i="12"/>
  <c r="AE4" i="12"/>
  <c r="AA4" i="12"/>
  <c r="Z4" i="12"/>
  <c r="V4" i="12"/>
  <c r="U4" i="12"/>
  <c r="P4" i="12"/>
  <c r="K4" i="12"/>
  <c r="F4" i="12"/>
  <c r="C4" i="12"/>
  <c r="B4" i="12"/>
  <c r="A4" i="12"/>
  <c r="ES2" i="12"/>
  <c r="EN2" i="12"/>
  <c r="EI2" i="12"/>
  <c r="ED2" i="12"/>
  <c r="DY2" i="12"/>
  <c r="DT2" i="12"/>
  <c r="DO2" i="12"/>
  <c r="DJ2" i="12"/>
  <c r="DE2" i="12"/>
  <c r="CZ2" i="12"/>
  <c r="CU2" i="12"/>
  <c r="CP2" i="12"/>
  <c r="CK2" i="12"/>
  <c r="CF2" i="12"/>
  <c r="CA2" i="12"/>
  <c r="BV2" i="12"/>
  <c r="BQ2" i="12"/>
  <c r="BL2" i="12"/>
  <c r="BG2" i="12"/>
  <c r="BB2" i="12"/>
  <c r="AW2" i="12"/>
  <c r="AR2" i="12"/>
  <c r="AM2" i="12"/>
  <c r="AH2" i="12"/>
  <c r="AC2" i="12"/>
  <c r="X2" i="12"/>
  <c r="S2" i="12"/>
  <c r="N2" i="12"/>
  <c r="I2" i="12"/>
  <c r="D2" i="12"/>
  <c r="A1" i="12"/>
  <c r="ES40" i="11"/>
  <c r="EN40" i="11"/>
  <c r="EI40" i="11"/>
  <c r="ED40" i="11"/>
  <c r="DY40" i="11"/>
  <c r="DT40" i="11"/>
  <c r="DO40" i="11"/>
  <c r="DJ40" i="11"/>
  <c r="DE40" i="11"/>
  <c r="CZ40" i="11"/>
  <c r="CU40" i="11"/>
  <c r="CP40" i="11"/>
  <c r="CK40" i="11"/>
  <c r="CF40" i="11"/>
  <c r="CA40" i="11"/>
  <c r="BV40" i="11"/>
  <c r="BQ40" i="11"/>
  <c r="BL40" i="11"/>
  <c r="BG40" i="11"/>
  <c r="BB40" i="11"/>
  <c r="AW40" i="11"/>
  <c r="AR40" i="11"/>
  <c r="AM40" i="11"/>
  <c r="AH40" i="11"/>
  <c r="AC40" i="11"/>
  <c r="X40" i="11"/>
  <c r="S40" i="11"/>
  <c r="N40" i="11"/>
  <c r="I40" i="11"/>
  <c r="D40" i="11"/>
  <c r="ES39" i="11"/>
  <c r="EN39" i="11"/>
  <c r="EI39" i="11"/>
  <c r="ED39" i="11"/>
  <c r="DY39" i="11"/>
  <c r="DT39" i="11"/>
  <c r="DO39" i="11"/>
  <c r="DJ39" i="11"/>
  <c r="DE39" i="11"/>
  <c r="CZ39" i="11"/>
  <c r="CU39" i="11"/>
  <c r="CP39" i="11"/>
  <c r="CK39" i="11"/>
  <c r="CF39" i="11"/>
  <c r="CA39" i="11"/>
  <c r="BV39" i="11"/>
  <c r="BQ39" i="11"/>
  <c r="BL39" i="11"/>
  <c r="BG39" i="11"/>
  <c r="BB39" i="11"/>
  <c r="AW39" i="11"/>
  <c r="AR39" i="11"/>
  <c r="AM39" i="11"/>
  <c r="AH39" i="11"/>
  <c r="AC39" i="11"/>
  <c r="X39" i="11"/>
  <c r="S39" i="11"/>
  <c r="N39" i="11"/>
  <c r="I39" i="11"/>
  <c r="D39" i="11"/>
  <c r="ES38" i="11"/>
  <c r="EN38" i="11"/>
  <c r="EI38" i="11"/>
  <c r="ED38" i="11"/>
  <c r="DY38" i="11"/>
  <c r="DT38" i="11"/>
  <c r="DO38" i="11"/>
  <c r="DJ38" i="11"/>
  <c r="DE38" i="11"/>
  <c r="CZ38" i="11"/>
  <c r="CU38" i="11"/>
  <c r="CP38" i="11"/>
  <c r="CK38" i="11"/>
  <c r="CF38" i="11"/>
  <c r="CA38" i="11"/>
  <c r="BV38" i="11"/>
  <c r="BQ38" i="11"/>
  <c r="BL38" i="11"/>
  <c r="BG38" i="11"/>
  <c r="BB38" i="11"/>
  <c r="AW38" i="11"/>
  <c r="AR38" i="11"/>
  <c r="AM38" i="11"/>
  <c r="AH38" i="11"/>
  <c r="AC38" i="11"/>
  <c r="X38" i="11"/>
  <c r="S38" i="11"/>
  <c r="N38" i="11"/>
  <c r="I38" i="11"/>
  <c r="D38" i="11"/>
  <c r="EV34" i="11"/>
  <c r="EU34" i="11"/>
  <c r="EQ34" i="11"/>
  <c r="EP34" i="11"/>
  <c r="EL34" i="11"/>
  <c r="EK34" i="11"/>
  <c r="EG34" i="11"/>
  <c r="EF34" i="11"/>
  <c r="EB34" i="11"/>
  <c r="EA34" i="11"/>
  <c r="DW34" i="11"/>
  <c r="DV34" i="11"/>
  <c r="DR34" i="11"/>
  <c r="DQ34" i="11"/>
  <c r="DL34" i="11"/>
  <c r="DH34" i="11"/>
  <c r="DG34" i="11"/>
  <c r="DC34" i="11"/>
  <c r="DB34" i="11"/>
  <c r="CX34" i="11"/>
  <c r="CW34" i="11"/>
  <c r="CS34" i="11"/>
  <c r="CR34" i="11"/>
  <c r="CN34" i="11"/>
  <c r="CM34" i="11"/>
  <c r="CI34" i="11"/>
  <c r="CH34" i="11"/>
  <c r="CD34" i="11"/>
  <c r="CC34" i="11"/>
  <c r="BX34" i="11"/>
  <c r="BT34" i="11"/>
  <c r="BS34" i="11"/>
  <c r="BO34" i="11"/>
  <c r="BN34" i="11"/>
  <c r="BJ34" i="11"/>
  <c r="BI34" i="11"/>
  <c r="BE34" i="11"/>
  <c r="BD34" i="11"/>
  <c r="AZ34" i="11"/>
  <c r="AY34" i="11"/>
  <c r="AU34" i="11"/>
  <c r="AT34" i="11"/>
  <c r="AP34" i="11"/>
  <c r="AO34" i="11"/>
  <c r="AJ34" i="11"/>
  <c r="AF34" i="11"/>
  <c r="AE34" i="11"/>
  <c r="AA34" i="11"/>
  <c r="Z34" i="11"/>
  <c r="V34" i="11"/>
  <c r="U34" i="11"/>
  <c r="Q34" i="11"/>
  <c r="P34" i="11"/>
  <c r="L34" i="11"/>
  <c r="K34" i="11"/>
  <c r="G34" i="11"/>
  <c r="F34" i="11"/>
  <c r="C34" i="11"/>
  <c r="B34" i="11"/>
  <c r="A34" i="11"/>
  <c r="DM34" i="11" s="1"/>
  <c r="EU33" i="11"/>
  <c r="EQ33" i="11"/>
  <c r="EP33" i="11"/>
  <c r="EK33" i="11"/>
  <c r="EF33" i="11"/>
  <c r="EB33" i="11"/>
  <c r="EA33" i="11"/>
  <c r="DV33" i="11"/>
  <c r="DQ33" i="11"/>
  <c r="DL33" i="11"/>
  <c r="DG33" i="11"/>
  <c r="DB33" i="11"/>
  <c r="CW33" i="11"/>
  <c r="CR33" i="11"/>
  <c r="CM33" i="11"/>
  <c r="CI33" i="11"/>
  <c r="CH33" i="11"/>
  <c r="CC33" i="11"/>
  <c r="BY33" i="11"/>
  <c r="BX33" i="11"/>
  <c r="BS33" i="11"/>
  <c r="BO33" i="11"/>
  <c r="BN33" i="11"/>
  <c r="BI33" i="11"/>
  <c r="BD33" i="11"/>
  <c r="AZ33" i="11"/>
  <c r="AY33" i="11"/>
  <c r="AT33" i="11"/>
  <c r="AO33" i="11"/>
  <c r="AJ33" i="11"/>
  <c r="AE33" i="11"/>
  <c r="AA33" i="11"/>
  <c r="Z33" i="11"/>
  <c r="U33" i="11"/>
  <c r="P33" i="11"/>
  <c r="L33" i="11"/>
  <c r="K33" i="11"/>
  <c r="F33" i="11"/>
  <c r="C33" i="11"/>
  <c r="B33" i="11"/>
  <c r="A33" i="11"/>
  <c r="EU32" i="11"/>
  <c r="EP32" i="11"/>
  <c r="EL32" i="11"/>
  <c r="EK32" i="11"/>
  <c r="EG32" i="11"/>
  <c r="EF32" i="11"/>
  <c r="EA32" i="11"/>
  <c r="DW32" i="11"/>
  <c r="DV32" i="11"/>
  <c r="DR32" i="11"/>
  <c r="DQ32" i="11"/>
  <c r="DL32" i="11"/>
  <c r="DG32" i="11"/>
  <c r="DC32" i="11"/>
  <c r="DB32" i="11"/>
  <c r="CX32" i="11"/>
  <c r="CW32" i="11"/>
  <c r="CS32" i="11"/>
  <c r="CR32" i="11"/>
  <c r="CN32" i="11"/>
  <c r="CM32" i="11"/>
  <c r="CH32" i="11"/>
  <c r="CD32" i="11"/>
  <c r="CC32" i="11"/>
  <c r="BX32" i="11"/>
  <c r="BS32" i="11"/>
  <c r="BO32" i="11"/>
  <c r="BN32" i="11"/>
  <c r="BI32" i="11"/>
  <c r="BE32" i="11"/>
  <c r="BD32" i="11"/>
  <c r="AZ32" i="11"/>
  <c r="AY32" i="11"/>
  <c r="AU32" i="11"/>
  <c r="AT32" i="11"/>
  <c r="AP32" i="11"/>
  <c r="AO32" i="11"/>
  <c r="AK32" i="11"/>
  <c r="AJ32" i="11"/>
  <c r="AE32" i="11"/>
  <c r="AA32" i="11"/>
  <c r="Z32" i="11"/>
  <c r="V32" i="11"/>
  <c r="U32" i="11"/>
  <c r="Q32" i="11"/>
  <c r="P32" i="11"/>
  <c r="L32" i="11"/>
  <c r="K32" i="11"/>
  <c r="G32" i="11"/>
  <c r="F32" i="11"/>
  <c r="C32" i="11"/>
  <c r="B32" i="11"/>
  <c r="A32" i="11"/>
  <c r="EV31" i="11"/>
  <c r="EU31" i="11"/>
  <c r="EP31" i="11"/>
  <c r="EL31" i="11"/>
  <c r="EK31" i="11"/>
  <c r="EF31" i="11"/>
  <c r="EA31" i="11"/>
  <c r="DW31" i="11"/>
  <c r="DV31" i="11"/>
  <c r="DR31" i="11"/>
  <c r="DQ31" i="11"/>
  <c r="DM31" i="11"/>
  <c r="DL31" i="11"/>
  <c r="DH31" i="11"/>
  <c r="DG31" i="11"/>
  <c r="DB31" i="11"/>
  <c r="CX31" i="11"/>
  <c r="CW31" i="11"/>
  <c r="CR31" i="11"/>
  <c r="CN31" i="11"/>
  <c r="CM31" i="11"/>
  <c r="CH31" i="11"/>
  <c r="CD31" i="11"/>
  <c r="CC31" i="11"/>
  <c r="BY31" i="11"/>
  <c r="BX31" i="11"/>
  <c r="BT31" i="11"/>
  <c r="BS31" i="11"/>
  <c r="BN31" i="11"/>
  <c r="BJ31" i="11"/>
  <c r="BI31" i="11"/>
  <c r="BD31" i="11"/>
  <c r="AZ31" i="11"/>
  <c r="AY31" i="11"/>
  <c r="AU31" i="11"/>
  <c r="AT31" i="11"/>
  <c r="AO31" i="11"/>
  <c r="AK31" i="11"/>
  <c r="AJ31" i="11"/>
  <c r="AF31" i="11"/>
  <c r="AE31" i="11"/>
  <c r="Z31" i="11"/>
  <c r="V31" i="11"/>
  <c r="U31" i="11"/>
  <c r="P31" i="11"/>
  <c r="L31" i="11"/>
  <c r="K31" i="11"/>
  <c r="G31" i="11"/>
  <c r="F31" i="11"/>
  <c r="C31" i="11"/>
  <c r="B31" i="11"/>
  <c r="A31" i="11"/>
  <c r="EV30" i="11"/>
  <c r="EU30" i="11"/>
  <c r="EP30" i="11"/>
  <c r="EL30" i="11"/>
  <c r="EK30" i="11"/>
  <c r="EG30" i="11"/>
  <c r="EF30" i="11"/>
  <c r="EB30" i="11"/>
  <c r="EA30" i="11"/>
  <c r="DW30" i="11"/>
  <c r="DV30" i="11"/>
  <c r="DR30" i="11"/>
  <c r="DQ30" i="11"/>
  <c r="DM30" i="11"/>
  <c r="DL30" i="11"/>
  <c r="DG30" i="11"/>
  <c r="DB30" i="11"/>
  <c r="CX30" i="11"/>
  <c r="CW30" i="11"/>
  <c r="CS30" i="11"/>
  <c r="CR30" i="11"/>
  <c r="CN30" i="11"/>
  <c r="CM30" i="11"/>
  <c r="CI30" i="11"/>
  <c r="CH30" i="11"/>
  <c r="CC30" i="11"/>
  <c r="BY30" i="11"/>
  <c r="BX30" i="11"/>
  <c r="BT30" i="11"/>
  <c r="BS30" i="11"/>
  <c r="BN30" i="11"/>
  <c r="BJ30" i="11"/>
  <c r="BI30" i="11"/>
  <c r="BE30" i="11"/>
  <c r="BD30" i="11"/>
  <c r="AZ30" i="11"/>
  <c r="AY30" i="11"/>
  <c r="AU30" i="11"/>
  <c r="AT30" i="11"/>
  <c r="AP30" i="11"/>
  <c r="AO30" i="11"/>
  <c r="AK30" i="11"/>
  <c r="AJ30" i="11"/>
  <c r="AF30" i="11"/>
  <c r="AE30" i="11"/>
  <c r="Z30" i="11"/>
  <c r="V30" i="11"/>
  <c r="U30" i="11"/>
  <c r="Q30" i="11"/>
  <c r="P30" i="11"/>
  <c r="L30" i="11"/>
  <c r="K30" i="11"/>
  <c r="G30" i="11"/>
  <c r="F30" i="11"/>
  <c r="C30" i="11"/>
  <c r="B30" i="11"/>
  <c r="A30" i="11"/>
  <c r="DH30" i="11" s="1"/>
  <c r="EU29" i="11"/>
  <c r="EQ29" i="11"/>
  <c r="EP29" i="11"/>
  <c r="EK29" i="11"/>
  <c r="EG29" i="11"/>
  <c r="EF29" i="11"/>
  <c r="EA29" i="11"/>
  <c r="DV29" i="11"/>
  <c r="DR29" i="11"/>
  <c r="DQ29" i="11"/>
  <c r="DM29" i="11"/>
  <c r="DL29" i="11"/>
  <c r="DH29" i="11"/>
  <c r="DG29" i="11"/>
  <c r="DB29" i="11"/>
  <c r="CW29" i="11"/>
  <c r="CS29" i="11"/>
  <c r="CR29" i="11"/>
  <c r="CM29" i="11"/>
  <c r="CI29" i="11"/>
  <c r="CH29" i="11"/>
  <c r="CD29" i="11"/>
  <c r="CC29" i="11"/>
  <c r="BY29" i="11"/>
  <c r="BX29" i="11"/>
  <c r="BT29" i="11"/>
  <c r="BS29" i="11"/>
  <c r="BO29" i="11"/>
  <c r="BN29" i="11"/>
  <c r="BI29" i="11"/>
  <c r="BE29" i="11"/>
  <c r="BD29" i="11"/>
  <c r="AY29" i="11"/>
  <c r="AT29" i="11"/>
  <c r="AP29" i="11"/>
  <c r="AO29" i="11"/>
  <c r="AK29" i="11"/>
  <c r="AJ29" i="11"/>
  <c r="AE29" i="11"/>
  <c r="AA29" i="11"/>
  <c r="Z29" i="11"/>
  <c r="U29" i="11"/>
  <c r="P29" i="11"/>
  <c r="K29" i="11"/>
  <c r="G29" i="11"/>
  <c r="F29" i="11"/>
  <c r="C29" i="11"/>
  <c r="B29" i="11"/>
  <c r="A29" i="11"/>
  <c r="DW29" i="11" s="1"/>
  <c r="EV28" i="11"/>
  <c r="EU28" i="11"/>
  <c r="EQ28" i="11"/>
  <c r="EP28" i="11"/>
  <c r="EK28" i="11"/>
  <c r="EF28" i="11"/>
  <c r="EB28" i="11"/>
  <c r="EA28" i="11"/>
  <c r="DV28" i="11"/>
  <c r="DR28" i="11"/>
  <c r="DQ28" i="11"/>
  <c r="DL28" i="11"/>
  <c r="DH28" i="11"/>
  <c r="DG28" i="11"/>
  <c r="DB28" i="11"/>
  <c r="CW28" i="11"/>
  <c r="CS28" i="11"/>
  <c r="CR28" i="11"/>
  <c r="CM28" i="11"/>
  <c r="CH28" i="11"/>
  <c r="CD28" i="11"/>
  <c r="CC28" i="11"/>
  <c r="BY28" i="11"/>
  <c r="BX28" i="11"/>
  <c r="BT28" i="11"/>
  <c r="BS28" i="11"/>
  <c r="BO28" i="11"/>
  <c r="BN28" i="11"/>
  <c r="BI28" i="11"/>
  <c r="BE28" i="11"/>
  <c r="BD28" i="11"/>
  <c r="AZ28" i="11"/>
  <c r="AY28" i="11"/>
  <c r="AT28" i="11"/>
  <c r="AO28" i="11"/>
  <c r="AK28" i="11"/>
  <c r="AJ28" i="11"/>
  <c r="AE28" i="11"/>
  <c r="AA28" i="11"/>
  <c r="Z28" i="11"/>
  <c r="U28" i="11"/>
  <c r="Q28" i="11"/>
  <c r="P28" i="11"/>
  <c r="K28" i="11"/>
  <c r="G28" i="11"/>
  <c r="F28" i="11"/>
  <c r="C28" i="11"/>
  <c r="B28" i="11"/>
  <c r="A28" i="11"/>
  <c r="EV27" i="11"/>
  <c r="EU27" i="11"/>
  <c r="EP27" i="11"/>
  <c r="EL27" i="11"/>
  <c r="EK27" i="11"/>
  <c r="EF27" i="11"/>
  <c r="EB27" i="11"/>
  <c r="EA27" i="11"/>
  <c r="DV27" i="11"/>
  <c r="DQ27" i="11"/>
  <c r="DL27" i="11"/>
  <c r="DG27" i="11"/>
  <c r="DB27" i="11"/>
  <c r="CW27" i="11"/>
  <c r="CR27" i="11"/>
  <c r="CN27" i="11"/>
  <c r="CM27" i="11"/>
  <c r="CH27" i="11"/>
  <c r="CD27" i="11"/>
  <c r="CC27" i="11"/>
  <c r="BY27" i="11"/>
  <c r="BX27" i="11"/>
  <c r="BS27" i="11"/>
  <c r="BN27" i="11"/>
  <c r="BI27" i="11"/>
  <c r="BD27" i="11"/>
  <c r="AY27" i="11"/>
  <c r="AT27" i="11"/>
  <c r="AO27" i="11"/>
  <c r="AK27" i="11"/>
  <c r="AJ27" i="11"/>
  <c r="AF27" i="11"/>
  <c r="AE27" i="11"/>
  <c r="AA27" i="11"/>
  <c r="Z27" i="11"/>
  <c r="U27" i="11"/>
  <c r="P27" i="11"/>
  <c r="L27" i="11"/>
  <c r="K27" i="11"/>
  <c r="F27" i="11"/>
  <c r="C27" i="11"/>
  <c r="B27" i="11"/>
  <c r="A27" i="11"/>
  <c r="EU26" i="11"/>
  <c r="EQ26" i="11"/>
  <c r="EP26" i="11"/>
  <c r="EL26" i="11"/>
  <c r="EK26" i="11"/>
  <c r="EF26" i="11"/>
  <c r="EA26" i="11"/>
  <c r="DV26" i="11"/>
  <c r="DQ26" i="11"/>
  <c r="DM26" i="11"/>
  <c r="DL26" i="11"/>
  <c r="DG26" i="11"/>
  <c r="DC26" i="11"/>
  <c r="DB26" i="11"/>
  <c r="CX26" i="11"/>
  <c r="CW26" i="11"/>
  <c r="CR26" i="11"/>
  <c r="CM26" i="11"/>
  <c r="CI26" i="11"/>
  <c r="CH26" i="11"/>
  <c r="CC26" i="11"/>
  <c r="BY26" i="11"/>
  <c r="BX26" i="11"/>
  <c r="BT26" i="11"/>
  <c r="BS26" i="11"/>
  <c r="BN26" i="11"/>
  <c r="BI26" i="11"/>
  <c r="BD26" i="11"/>
  <c r="AZ26" i="11"/>
  <c r="AY26" i="11"/>
  <c r="AT26" i="11"/>
  <c r="AO26" i="11"/>
  <c r="AJ26" i="11"/>
  <c r="AE26" i="11"/>
  <c r="AA26" i="11"/>
  <c r="Z26" i="11"/>
  <c r="U26" i="11"/>
  <c r="P26" i="11"/>
  <c r="L26" i="11"/>
  <c r="K26" i="11"/>
  <c r="F26" i="11"/>
  <c r="C26" i="11"/>
  <c r="B26" i="11"/>
  <c r="A26" i="11"/>
  <c r="EU25" i="11"/>
  <c r="EP25" i="11"/>
  <c r="EK25" i="11"/>
  <c r="EF25" i="11"/>
  <c r="EA25" i="11"/>
  <c r="DV25" i="11"/>
  <c r="DQ25" i="11"/>
  <c r="DL25" i="11"/>
  <c r="DH25" i="11"/>
  <c r="DG25" i="11"/>
  <c r="DB25" i="11"/>
  <c r="CW25" i="11"/>
  <c r="CS25" i="11"/>
  <c r="CR25" i="11"/>
  <c r="CM25" i="11"/>
  <c r="CH25" i="11"/>
  <c r="CC25" i="11"/>
  <c r="BX25" i="11"/>
  <c r="BS25" i="11"/>
  <c r="BN25" i="11"/>
  <c r="BI25" i="11"/>
  <c r="BE25" i="11"/>
  <c r="BD25" i="11"/>
  <c r="AY25" i="11"/>
  <c r="AT25" i="11"/>
  <c r="AO25" i="11"/>
  <c r="AJ25" i="11"/>
  <c r="AH35" i="11" s="1"/>
  <c r="AE25" i="11"/>
  <c r="Z25" i="11"/>
  <c r="U25" i="11"/>
  <c r="P25" i="11"/>
  <c r="K25" i="11"/>
  <c r="G25" i="11"/>
  <c r="F25" i="11"/>
  <c r="C25" i="11"/>
  <c r="B25" i="11"/>
  <c r="A25" i="11"/>
  <c r="EV24" i="11"/>
  <c r="EU24" i="11"/>
  <c r="EP24" i="11"/>
  <c r="EK24" i="11"/>
  <c r="EG24" i="11"/>
  <c r="EF24" i="11"/>
  <c r="EA24" i="11"/>
  <c r="DW24" i="11"/>
  <c r="DV24" i="11"/>
  <c r="DR24" i="11"/>
  <c r="DQ24" i="11"/>
  <c r="DM24" i="11"/>
  <c r="DL24" i="11"/>
  <c r="DH24" i="11"/>
  <c r="DG24" i="11"/>
  <c r="DC24" i="11"/>
  <c r="DB24" i="11"/>
  <c r="CW24" i="11"/>
  <c r="CS24" i="11"/>
  <c r="CR24" i="11"/>
  <c r="CM24" i="11"/>
  <c r="CH24" i="11"/>
  <c r="CC24" i="11"/>
  <c r="BY24" i="11"/>
  <c r="BX24" i="11"/>
  <c r="BT24" i="11"/>
  <c r="BS24" i="11"/>
  <c r="BO24" i="11"/>
  <c r="BN24" i="11"/>
  <c r="BJ24" i="11"/>
  <c r="BI24" i="11"/>
  <c r="BD24" i="11"/>
  <c r="AY24" i="11"/>
  <c r="AT24" i="11"/>
  <c r="AP24" i="11"/>
  <c r="AO24" i="11"/>
  <c r="AJ24" i="11"/>
  <c r="AF24" i="11"/>
  <c r="AE24" i="11"/>
  <c r="AC35" i="11" s="1"/>
  <c r="AA24" i="11"/>
  <c r="Z24" i="11"/>
  <c r="V24" i="11"/>
  <c r="U24" i="11"/>
  <c r="P24" i="11"/>
  <c r="K24" i="11"/>
  <c r="F24" i="11"/>
  <c r="C24" i="11"/>
  <c r="B24" i="11"/>
  <c r="A24" i="11"/>
  <c r="EV23" i="11"/>
  <c r="EU23" i="11"/>
  <c r="EQ23" i="11"/>
  <c r="EP23" i="11"/>
  <c r="EL23" i="11"/>
  <c r="EK23" i="11"/>
  <c r="EG23" i="11"/>
  <c r="EF23" i="11"/>
  <c r="EB23" i="11"/>
  <c r="EA23" i="11"/>
  <c r="DW23" i="11"/>
  <c r="DV23" i="11"/>
  <c r="DR23" i="11"/>
  <c r="DQ23" i="11"/>
  <c r="DL23" i="11"/>
  <c r="DH23" i="11"/>
  <c r="DG23" i="11"/>
  <c r="DC23" i="11"/>
  <c r="DB23" i="11"/>
  <c r="CX23" i="11"/>
  <c r="CW23" i="11"/>
  <c r="CS23" i="11"/>
  <c r="CR23" i="11"/>
  <c r="CN23" i="11"/>
  <c r="CM23" i="11"/>
  <c r="CI23" i="11"/>
  <c r="CH23" i="11"/>
  <c r="CD23" i="11"/>
  <c r="CC23" i="11"/>
  <c r="BX23" i="11"/>
  <c r="BT23" i="11"/>
  <c r="BS23" i="11"/>
  <c r="BO23" i="11"/>
  <c r="BN23" i="11"/>
  <c r="BJ23" i="11"/>
  <c r="BI23" i="11"/>
  <c r="BE23" i="11"/>
  <c r="BD23" i="11"/>
  <c r="AZ23" i="11"/>
  <c r="AY23" i="11"/>
  <c r="AU23" i="11"/>
  <c r="AT23" i="11"/>
  <c r="AP23" i="11"/>
  <c r="AO23" i="11"/>
  <c r="AJ23" i="11"/>
  <c r="AF23" i="11"/>
  <c r="AE23" i="11"/>
  <c r="AA23" i="11"/>
  <c r="Z23" i="11"/>
  <c r="V23" i="11"/>
  <c r="U23" i="11"/>
  <c r="Q23" i="11"/>
  <c r="P23" i="11"/>
  <c r="L23" i="11"/>
  <c r="K23" i="11"/>
  <c r="G23" i="11"/>
  <c r="F23" i="11"/>
  <c r="C23" i="11"/>
  <c r="B23" i="11"/>
  <c r="A23" i="11"/>
  <c r="DM23" i="11" s="1"/>
  <c r="EV22" i="11"/>
  <c r="EU22" i="11"/>
  <c r="EQ22" i="11"/>
  <c r="EP22" i="11"/>
  <c r="EK22" i="11"/>
  <c r="EG22" i="11"/>
  <c r="EF22" i="11"/>
  <c r="EB22" i="11"/>
  <c r="EA22" i="11"/>
  <c r="DV22" i="11"/>
  <c r="DR22" i="11"/>
  <c r="DQ22" i="11"/>
  <c r="DL22" i="11"/>
  <c r="DH22" i="11"/>
  <c r="DG22" i="11"/>
  <c r="DB22" i="11"/>
  <c r="CX22" i="11"/>
  <c r="CW22" i="11"/>
  <c r="CS22" i="11"/>
  <c r="CR22" i="11"/>
  <c r="CM22" i="11"/>
  <c r="CH22" i="11"/>
  <c r="CD22" i="11"/>
  <c r="CC22" i="11"/>
  <c r="BX22" i="11"/>
  <c r="BT22" i="11"/>
  <c r="BS22" i="11"/>
  <c r="BO22" i="11"/>
  <c r="BN22" i="11"/>
  <c r="BI22" i="11"/>
  <c r="BE22" i="11"/>
  <c r="BD22" i="11"/>
  <c r="AZ22" i="11"/>
  <c r="AY22" i="11"/>
  <c r="AT22" i="11"/>
  <c r="AP22" i="11"/>
  <c r="AO22" i="11"/>
  <c r="AK22" i="11"/>
  <c r="AJ22" i="11"/>
  <c r="AE22" i="11"/>
  <c r="AA22" i="11"/>
  <c r="Z22" i="11"/>
  <c r="U22" i="11"/>
  <c r="Q22" i="11"/>
  <c r="P22" i="11"/>
  <c r="L22" i="11"/>
  <c r="K22" i="11"/>
  <c r="F22" i="11"/>
  <c r="C22" i="11"/>
  <c r="B22" i="11"/>
  <c r="A22" i="11"/>
  <c r="EU21" i="11"/>
  <c r="EP21" i="11"/>
  <c r="EL21" i="11"/>
  <c r="EK21" i="11"/>
  <c r="EG21" i="11"/>
  <c r="EF21" i="11"/>
  <c r="EB21" i="11"/>
  <c r="EA21" i="11"/>
  <c r="DW21" i="11"/>
  <c r="DV21" i="11"/>
  <c r="DQ21" i="11"/>
  <c r="DM21" i="11"/>
  <c r="DL21" i="11"/>
  <c r="DG21" i="11"/>
  <c r="DB21" i="11"/>
  <c r="CW21" i="11"/>
  <c r="CR21" i="11"/>
  <c r="CN21" i="11"/>
  <c r="CM21" i="11"/>
  <c r="CI21" i="11"/>
  <c r="CH21" i="11"/>
  <c r="CC21" i="11"/>
  <c r="BY21" i="11"/>
  <c r="BX21" i="11"/>
  <c r="BS21" i="11"/>
  <c r="BO21" i="11"/>
  <c r="BN21" i="11"/>
  <c r="BJ21" i="11"/>
  <c r="BI21" i="11"/>
  <c r="BD21" i="11"/>
  <c r="AZ21" i="11"/>
  <c r="AY21" i="11"/>
  <c r="AU21" i="11"/>
  <c r="AT21" i="11"/>
  <c r="AO21" i="11"/>
  <c r="AK21" i="11"/>
  <c r="AJ21" i="11"/>
  <c r="AE21" i="11"/>
  <c r="AA21" i="11"/>
  <c r="Z21" i="11"/>
  <c r="U21" i="11"/>
  <c r="Q21" i="11"/>
  <c r="P21" i="11"/>
  <c r="K21" i="11"/>
  <c r="F21" i="11"/>
  <c r="C21" i="11"/>
  <c r="B21" i="11"/>
  <c r="A21" i="11"/>
  <c r="EV20" i="11"/>
  <c r="EU20" i="11"/>
  <c r="EQ20" i="11"/>
  <c r="EP20" i="11"/>
  <c r="EK20" i="11"/>
  <c r="EF20" i="11"/>
  <c r="EB20" i="11"/>
  <c r="EA20" i="11"/>
  <c r="DV20" i="11"/>
  <c r="DQ20" i="11"/>
  <c r="DM20" i="11"/>
  <c r="DL20" i="11"/>
  <c r="DH20" i="11"/>
  <c r="DG20" i="11"/>
  <c r="DB20" i="11"/>
  <c r="CX20" i="11"/>
  <c r="CW20" i="11"/>
  <c r="CR20" i="11"/>
  <c r="CM20" i="11"/>
  <c r="CH20" i="11"/>
  <c r="CC20" i="11"/>
  <c r="BX20" i="11"/>
  <c r="BS20" i="11"/>
  <c r="BO20" i="11"/>
  <c r="BN20" i="11"/>
  <c r="BJ20" i="11"/>
  <c r="BI20" i="11"/>
  <c r="BD20" i="11"/>
  <c r="AZ20" i="11"/>
  <c r="AY20" i="11"/>
  <c r="AT20" i="11"/>
  <c r="AO20" i="11"/>
  <c r="AJ20" i="11"/>
  <c r="AE20" i="11"/>
  <c r="AA20" i="11"/>
  <c r="Z20" i="11"/>
  <c r="V20" i="11"/>
  <c r="U20" i="11"/>
  <c r="Q20" i="11"/>
  <c r="P20" i="11"/>
  <c r="L20" i="11"/>
  <c r="K20" i="11"/>
  <c r="F20" i="11"/>
  <c r="C20" i="11"/>
  <c r="B20" i="11"/>
  <c r="A20" i="11"/>
  <c r="EL20" i="11" s="1"/>
  <c r="EV19" i="11"/>
  <c r="EU19" i="11"/>
  <c r="EP19" i="11"/>
  <c r="EL19" i="11"/>
  <c r="EK19" i="11"/>
  <c r="EG19" i="11"/>
  <c r="EF19" i="11"/>
  <c r="EB19" i="11"/>
  <c r="EA19" i="11"/>
  <c r="DW19" i="11"/>
  <c r="DV19" i="11"/>
  <c r="DR19" i="11"/>
  <c r="DQ19" i="11"/>
  <c r="DL19" i="11"/>
  <c r="DH19" i="11"/>
  <c r="DG19" i="11"/>
  <c r="DB19" i="11"/>
  <c r="CX19" i="11"/>
  <c r="CW19" i="11"/>
  <c r="CS19" i="11"/>
  <c r="CR19" i="11"/>
  <c r="CN19" i="11"/>
  <c r="CM19" i="11"/>
  <c r="CI19" i="11"/>
  <c r="CH19" i="11"/>
  <c r="CD19" i="11"/>
  <c r="CC19" i="11"/>
  <c r="BX19" i="11"/>
  <c r="BT19" i="11"/>
  <c r="BS19" i="11"/>
  <c r="BN19" i="11"/>
  <c r="BJ19" i="11"/>
  <c r="BI19" i="11"/>
  <c r="BE19" i="11"/>
  <c r="BD19" i="11"/>
  <c r="AZ19" i="11"/>
  <c r="AY19" i="11"/>
  <c r="AU19" i="11"/>
  <c r="AT19" i="11"/>
  <c r="AP19" i="11"/>
  <c r="AO19" i="11"/>
  <c r="AJ19" i="11"/>
  <c r="AF19" i="11"/>
  <c r="AE19" i="11"/>
  <c r="Z19" i="11"/>
  <c r="V19" i="11"/>
  <c r="U19" i="11"/>
  <c r="Q19" i="11"/>
  <c r="P19" i="11"/>
  <c r="L19" i="11"/>
  <c r="K19" i="11"/>
  <c r="G19" i="11"/>
  <c r="F19" i="11"/>
  <c r="C19" i="11"/>
  <c r="B19" i="11"/>
  <c r="A19" i="11"/>
  <c r="DM19" i="11" s="1"/>
  <c r="EV18" i="11"/>
  <c r="EU18" i="11"/>
  <c r="EQ18" i="11"/>
  <c r="EP18" i="11"/>
  <c r="EL18" i="11"/>
  <c r="EK18" i="11"/>
  <c r="EG18" i="11"/>
  <c r="EF18" i="11"/>
  <c r="EB18" i="11"/>
  <c r="EA18" i="11"/>
  <c r="DW18" i="11"/>
  <c r="DV18" i="11"/>
  <c r="DR18" i="11"/>
  <c r="DQ18" i="11"/>
  <c r="DL18" i="11"/>
  <c r="DH18" i="11"/>
  <c r="DG18" i="11"/>
  <c r="DC18" i="11"/>
  <c r="DB18" i="11"/>
  <c r="CX18" i="11"/>
  <c r="CW18" i="11"/>
  <c r="CS18" i="11"/>
  <c r="CR18" i="11"/>
  <c r="CN18" i="11"/>
  <c r="CM18" i="11"/>
  <c r="CI18" i="11"/>
  <c r="CH18" i="11"/>
  <c r="CD18" i="11"/>
  <c r="CC18" i="11"/>
  <c r="BX18" i="11"/>
  <c r="BT18" i="11"/>
  <c r="BS18" i="11"/>
  <c r="BO18" i="11"/>
  <c r="BN18" i="11"/>
  <c r="BJ18" i="11"/>
  <c r="BI18" i="11"/>
  <c r="BE18" i="11"/>
  <c r="BD18" i="11"/>
  <c r="AZ18" i="11"/>
  <c r="AY18" i="11"/>
  <c r="AU18" i="11"/>
  <c r="AT18" i="11"/>
  <c r="AP18" i="11"/>
  <c r="AO18" i="11"/>
  <c r="AJ18" i="11"/>
  <c r="AF18" i="11"/>
  <c r="AE18" i="11"/>
  <c r="AA18" i="11"/>
  <c r="Z18" i="11"/>
  <c r="V18" i="11"/>
  <c r="U18" i="11"/>
  <c r="Q18" i="11"/>
  <c r="P18" i="11"/>
  <c r="L18" i="11"/>
  <c r="K18" i="11"/>
  <c r="G18" i="11"/>
  <c r="F18" i="11"/>
  <c r="C18" i="11"/>
  <c r="B18" i="11"/>
  <c r="A18" i="11"/>
  <c r="DM18" i="11" s="1"/>
  <c r="EU17" i="11"/>
  <c r="EQ17" i="11"/>
  <c r="EP17" i="11"/>
  <c r="EK17" i="11"/>
  <c r="EG17" i="11"/>
  <c r="EF17" i="11"/>
  <c r="EA17" i="11"/>
  <c r="DV17" i="11"/>
  <c r="DQ17" i="11"/>
  <c r="DM17" i="11"/>
  <c r="DL17" i="11"/>
  <c r="DG17" i="11"/>
  <c r="DB17" i="11"/>
  <c r="CW17" i="11"/>
  <c r="CS17" i="11"/>
  <c r="CR17" i="11"/>
  <c r="CN17" i="11"/>
  <c r="CM17" i="11"/>
  <c r="CI17" i="11"/>
  <c r="CH17" i="11"/>
  <c r="CD17" i="11"/>
  <c r="CC17" i="11"/>
  <c r="BX17" i="11"/>
  <c r="BS17" i="11"/>
  <c r="BO17" i="11"/>
  <c r="BN17" i="11"/>
  <c r="BI17" i="11"/>
  <c r="BD17" i="11"/>
  <c r="AY17" i="11"/>
  <c r="AU17" i="11"/>
  <c r="AT17" i="11"/>
  <c r="AP17" i="11"/>
  <c r="AO17" i="11"/>
  <c r="AK17" i="11"/>
  <c r="AJ17" i="11"/>
  <c r="AE17" i="11"/>
  <c r="Z17" i="11"/>
  <c r="U17" i="11"/>
  <c r="P17" i="11"/>
  <c r="K17" i="11"/>
  <c r="G17" i="11"/>
  <c r="F17" i="11"/>
  <c r="C17" i="11"/>
  <c r="B17" i="11"/>
  <c r="A17" i="11"/>
  <c r="EU16" i="11"/>
  <c r="EQ16" i="11"/>
  <c r="EP16" i="11"/>
  <c r="EK16" i="11"/>
  <c r="EF16" i="11"/>
  <c r="EA16" i="11"/>
  <c r="DY35" i="11" s="1"/>
  <c r="DW16" i="11"/>
  <c r="DV16" i="11"/>
  <c r="DQ16" i="11"/>
  <c r="DM16" i="11"/>
  <c r="DL16" i="11"/>
  <c r="DG16" i="11"/>
  <c r="DC16" i="11"/>
  <c r="DB16" i="11"/>
  <c r="CW16" i="11"/>
  <c r="CS16" i="11"/>
  <c r="CR16" i="11"/>
  <c r="CN16" i="11"/>
  <c r="CM16" i="11"/>
  <c r="CI16" i="11"/>
  <c r="CH16" i="11"/>
  <c r="CD16" i="11"/>
  <c r="CC16" i="11"/>
  <c r="BX16" i="11"/>
  <c r="BS16" i="11"/>
  <c r="BO16" i="11"/>
  <c r="BN16" i="11"/>
  <c r="BJ16" i="11"/>
  <c r="BI16" i="11"/>
  <c r="BD16" i="11"/>
  <c r="AZ16" i="11"/>
  <c r="AY16" i="11"/>
  <c r="AT16" i="11"/>
  <c r="AO16" i="11"/>
  <c r="AK16" i="11"/>
  <c r="AJ16" i="11"/>
  <c r="AE16" i="11"/>
  <c r="Z16" i="11"/>
  <c r="V16" i="11"/>
  <c r="U16" i="11"/>
  <c r="P16" i="11"/>
  <c r="L16" i="11"/>
  <c r="K16" i="11"/>
  <c r="G16" i="11"/>
  <c r="F16" i="11"/>
  <c r="C16" i="11"/>
  <c r="B16" i="11"/>
  <c r="A16" i="11"/>
  <c r="DR16" i="11" s="1"/>
  <c r="EU15" i="11"/>
  <c r="EP15" i="11"/>
  <c r="EL15" i="11"/>
  <c r="EK15" i="11"/>
  <c r="EF15" i="11"/>
  <c r="EB15" i="11"/>
  <c r="EA15" i="11"/>
  <c r="DV15" i="11"/>
  <c r="DQ15" i="11"/>
  <c r="DL15" i="11"/>
  <c r="DH15" i="11"/>
  <c r="DG15" i="11"/>
  <c r="DB15" i="11"/>
  <c r="CW15" i="11"/>
  <c r="CR15" i="11"/>
  <c r="CN15" i="11"/>
  <c r="CM15" i="11"/>
  <c r="CH15" i="11"/>
  <c r="CC15" i="11"/>
  <c r="BY15" i="11"/>
  <c r="BX15" i="11"/>
  <c r="BS15" i="11"/>
  <c r="BN15" i="11"/>
  <c r="BI15" i="11"/>
  <c r="BD15" i="11"/>
  <c r="AZ15" i="11"/>
  <c r="AY15" i="11"/>
  <c r="AT15" i="11"/>
  <c r="AP15" i="11"/>
  <c r="AO15" i="11"/>
  <c r="AJ15" i="11"/>
  <c r="AE15" i="11"/>
  <c r="Z15" i="11"/>
  <c r="V15" i="11"/>
  <c r="U15" i="11"/>
  <c r="P15" i="11"/>
  <c r="L15" i="11"/>
  <c r="K15" i="11"/>
  <c r="F15" i="11"/>
  <c r="C15" i="11"/>
  <c r="B15" i="11"/>
  <c r="A15" i="11"/>
  <c r="EU14" i="11"/>
  <c r="EP14" i="11"/>
  <c r="EK14" i="11"/>
  <c r="EF14" i="11"/>
  <c r="EB14" i="11"/>
  <c r="EA14" i="11"/>
  <c r="DW14" i="11"/>
  <c r="DV14" i="11"/>
  <c r="DR14" i="11"/>
  <c r="DQ14" i="11"/>
  <c r="DL14" i="11"/>
  <c r="DG14" i="11"/>
  <c r="DB14" i="11"/>
  <c r="CX14" i="11"/>
  <c r="CW14" i="11"/>
  <c r="CR14" i="11"/>
  <c r="CN14" i="11"/>
  <c r="CM14" i="11"/>
  <c r="CI14" i="11"/>
  <c r="CH14" i="11"/>
  <c r="CD14" i="11"/>
  <c r="CC14" i="11"/>
  <c r="BY14" i="11"/>
  <c r="BX14" i="11"/>
  <c r="BT14" i="11"/>
  <c r="BS14" i="11"/>
  <c r="BN14" i="11"/>
  <c r="BI14" i="11"/>
  <c r="BG35" i="11" s="1"/>
  <c r="BE14" i="11"/>
  <c r="BD14" i="11"/>
  <c r="AY14" i="11"/>
  <c r="AT14" i="11"/>
  <c r="AP14" i="11"/>
  <c r="AO14" i="11"/>
  <c r="AK14" i="11"/>
  <c r="AJ14" i="11"/>
  <c r="AF14" i="11"/>
  <c r="AE14" i="11"/>
  <c r="Z14" i="11"/>
  <c r="U14" i="11"/>
  <c r="P14" i="11"/>
  <c r="K14" i="11"/>
  <c r="G14" i="11"/>
  <c r="F14" i="11"/>
  <c r="C14" i="11"/>
  <c r="B14" i="11"/>
  <c r="A14" i="11"/>
  <c r="EV13" i="11"/>
  <c r="EU13" i="11"/>
  <c r="EQ13" i="11"/>
  <c r="EP13" i="11"/>
  <c r="EK13" i="11"/>
  <c r="EF13" i="11"/>
  <c r="EA13" i="11"/>
  <c r="DW13" i="11"/>
  <c r="DV13" i="11"/>
  <c r="DQ13" i="11"/>
  <c r="DM13" i="11"/>
  <c r="DL13" i="11"/>
  <c r="DH13" i="11"/>
  <c r="DG13" i="11"/>
  <c r="DC13" i="11"/>
  <c r="DB13" i="11"/>
  <c r="CW13" i="11"/>
  <c r="CS13" i="11"/>
  <c r="CR13" i="11"/>
  <c r="CM13" i="11"/>
  <c r="CH13" i="11"/>
  <c r="CD13" i="11"/>
  <c r="CC13" i="11"/>
  <c r="BX13" i="11"/>
  <c r="BT13" i="11"/>
  <c r="BS13" i="11"/>
  <c r="BO13" i="11"/>
  <c r="BN13" i="11"/>
  <c r="BI13" i="11"/>
  <c r="BE13" i="11"/>
  <c r="BD13" i="11"/>
  <c r="AY13" i="11"/>
  <c r="AU13" i="11"/>
  <c r="AT13" i="11"/>
  <c r="AO13" i="11"/>
  <c r="AK13" i="11"/>
  <c r="AJ13" i="11"/>
  <c r="AE13" i="11"/>
  <c r="AA13" i="11"/>
  <c r="Z13" i="11"/>
  <c r="U13" i="11"/>
  <c r="Q13" i="11"/>
  <c r="P13" i="11"/>
  <c r="K13" i="11"/>
  <c r="G13" i="11"/>
  <c r="F13" i="11"/>
  <c r="C13" i="11"/>
  <c r="B13" i="11"/>
  <c r="A13" i="11"/>
  <c r="DR13" i="11" s="1"/>
  <c r="EV12" i="11"/>
  <c r="EU12" i="11"/>
  <c r="EQ12" i="11"/>
  <c r="EP12" i="11"/>
  <c r="EK12" i="11"/>
  <c r="EG12" i="11"/>
  <c r="EF12" i="11"/>
  <c r="EB12" i="11"/>
  <c r="EA12" i="11"/>
  <c r="DW12" i="11"/>
  <c r="DV12" i="11"/>
  <c r="DQ12" i="11"/>
  <c r="DM12" i="11"/>
  <c r="DL12" i="11"/>
  <c r="DG12" i="11"/>
  <c r="DC12" i="11"/>
  <c r="DB12" i="11"/>
  <c r="CW12" i="11"/>
  <c r="CS12" i="11"/>
  <c r="CR12" i="11"/>
  <c r="CN12" i="11"/>
  <c r="CM12" i="11"/>
  <c r="CI12" i="11"/>
  <c r="CH12" i="11"/>
  <c r="CD12" i="11"/>
  <c r="CC12" i="11"/>
  <c r="BX12" i="11"/>
  <c r="BS12" i="11"/>
  <c r="BO12" i="11"/>
  <c r="BN12" i="11"/>
  <c r="BI12" i="11"/>
  <c r="BD12" i="11"/>
  <c r="AZ12" i="11"/>
  <c r="AY12" i="11"/>
  <c r="AU12" i="11"/>
  <c r="AT12" i="11"/>
  <c r="AO12" i="11"/>
  <c r="AK12" i="11"/>
  <c r="AJ12" i="11"/>
  <c r="AF12" i="11"/>
  <c r="AE12" i="11"/>
  <c r="Z12" i="11"/>
  <c r="U12" i="11"/>
  <c r="Q12" i="11"/>
  <c r="P12" i="11"/>
  <c r="L12" i="11"/>
  <c r="K12" i="11"/>
  <c r="G12" i="11"/>
  <c r="F12" i="11"/>
  <c r="C12" i="11"/>
  <c r="B12" i="11"/>
  <c r="A12" i="11"/>
  <c r="DR12" i="11" s="1"/>
  <c r="EU11" i="11"/>
  <c r="EQ11" i="11"/>
  <c r="EP11" i="11"/>
  <c r="EK11" i="11"/>
  <c r="EF11" i="11"/>
  <c r="EA11" i="11"/>
  <c r="DV11" i="11"/>
  <c r="DT35" i="11" s="1"/>
  <c r="DR11" i="11"/>
  <c r="DQ11" i="11"/>
  <c r="DL11" i="11"/>
  <c r="DG11" i="11"/>
  <c r="DB11" i="11"/>
  <c r="CX11" i="11"/>
  <c r="CW11" i="11"/>
  <c r="CR11" i="11"/>
  <c r="CM11" i="11"/>
  <c r="CH11" i="11"/>
  <c r="CC11" i="11"/>
  <c r="BX11" i="11"/>
  <c r="BT11" i="11"/>
  <c r="BS11" i="11"/>
  <c r="BQ35" i="11" s="1"/>
  <c r="BN11" i="11"/>
  <c r="BJ11" i="11"/>
  <c r="BI11" i="11"/>
  <c r="BD11" i="11"/>
  <c r="AY11" i="11"/>
  <c r="AT11" i="11"/>
  <c r="AP11" i="11"/>
  <c r="AO11" i="11"/>
  <c r="AJ11" i="11"/>
  <c r="AE11" i="11"/>
  <c r="Z11" i="11"/>
  <c r="V11" i="11"/>
  <c r="U11" i="11"/>
  <c r="P11" i="11"/>
  <c r="K11" i="11"/>
  <c r="F11" i="11"/>
  <c r="C11" i="11"/>
  <c r="B11" i="11"/>
  <c r="A11" i="11"/>
  <c r="DH11" i="11" s="1"/>
  <c r="EU10" i="11"/>
  <c r="EP10" i="11"/>
  <c r="EK10" i="11"/>
  <c r="EF10" i="11"/>
  <c r="EA10" i="11"/>
  <c r="DV10" i="11"/>
  <c r="DQ10" i="11"/>
  <c r="DL10" i="11"/>
  <c r="DG10" i="11"/>
  <c r="DB10" i="11"/>
  <c r="CW10" i="11"/>
  <c r="CR10" i="11"/>
  <c r="CM10" i="11"/>
  <c r="CH10" i="11"/>
  <c r="CC10" i="11"/>
  <c r="BX10" i="11"/>
  <c r="BS10" i="11"/>
  <c r="BN10" i="11"/>
  <c r="BI10" i="11"/>
  <c r="BD10" i="11"/>
  <c r="AY10" i="11"/>
  <c r="AU10" i="11"/>
  <c r="AT10" i="11"/>
  <c r="AO10" i="11"/>
  <c r="AJ10" i="11"/>
  <c r="AE10" i="11"/>
  <c r="Z10" i="11"/>
  <c r="U10" i="11"/>
  <c r="P10" i="11"/>
  <c r="K10" i="11"/>
  <c r="F10" i="11"/>
  <c r="C10" i="11"/>
  <c r="B10" i="11"/>
  <c r="A10" i="11"/>
  <c r="L10" i="11" s="1"/>
  <c r="EV9" i="11"/>
  <c r="EU9" i="11"/>
  <c r="EP9" i="11"/>
  <c r="EK9" i="11"/>
  <c r="EF9" i="11"/>
  <c r="EA9" i="11"/>
  <c r="DV9" i="11"/>
  <c r="DQ9" i="11"/>
  <c r="DL9" i="11"/>
  <c r="DG9" i="11"/>
  <c r="DC9" i="11"/>
  <c r="DB9" i="11"/>
  <c r="CW9" i="11"/>
  <c r="CS9" i="11"/>
  <c r="CR9" i="11"/>
  <c r="CM9" i="11"/>
  <c r="CI9" i="11"/>
  <c r="CH9" i="11"/>
  <c r="CC9" i="11"/>
  <c r="BX9" i="11"/>
  <c r="BT9" i="11"/>
  <c r="BS9" i="11"/>
  <c r="BN9" i="11"/>
  <c r="BI9" i="11"/>
  <c r="BD9" i="11"/>
  <c r="AY9" i="11"/>
  <c r="AU9" i="11"/>
  <c r="AT9" i="11"/>
  <c r="AO9" i="11"/>
  <c r="AK9" i="11"/>
  <c r="AJ9" i="11"/>
  <c r="AE9" i="11"/>
  <c r="Z9" i="11"/>
  <c r="V9" i="11"/>
  <c r="U9" i="11"/>
  <c r="P9" i="11"/>
  <c r="K9" i="11"/>
  <c r="F9" i="11"/>
  <c r="C9" i="11"/>
  <c r="B9" i="11"/>
  <c r="A9" i="11"/>
  <c r="EV8" i="11"/>
  <c r="EU8" i="11"/>
  <c r="EQ8" i="11"/>
  <c r="EP8" i="11"/>
  <c r="EL8" i="11"/>
  <c r="EK8" i="11"/>
  <c r="EG8" i="11"/>
  <c r="EF8" i="11"/>
  <c r="EA8" i="11"/>
  <c r="DV8" i="11"/>
  <c r="DR8" i="11"/>
  <c r="DQ8" i="11"/>
  <c r="DM8" i="11"/>
  <c r="DL8" i="11"/>
  <c r="DH8" i="11"/>
  <c r="DG8" i="11"/>
  <c r="DC8" i="11"/>
  <c r="DB8" i="11"/>
  <c r="CX8" i="11"/>
  <c r="CW8" i="11"/>
  <c r="CS8" i="11"/>
  <c r="CR8" i="11"/>
  <c r="CM8" i="11"/>
  <c r="CI8" i="11"/>
  <c r="CH8" i="11"/>
  <c r="CC8" i="11"/>
  <c r="BY8" i="11"/>
  <c r="BX8" i="11"/>
  <c r="BS8" i="11"/>
  <c r="BO8" i="11"/>
  <c r="BN8" i="11"/>
  <c r="BJ8" i="11"/>
  <c r="BI8" i="11"/>
  <c r="BE8" i="11"/>
  <c r="BD8" i="11"/>
  <c r="AY8" i="11"/>
  <c r="AU8" i="11"/>
  <c r="AT8" i="11"/>
  <c r="AO8" i="11"/>
  <c r="AK8" i="11"/>
  <c r="AJ8" i="11"/>
  <c r="AF8" i="11"/>
  <c r="AE8" i="11"/>
  <c r="AA8" i="11"/>
  <c r="Z8" i="11"/>
  <c r="V8" i="11"/>
  <c r="U8" i="11"/>
  <c r="Q8" i="11"/>
  <c r="P8" i="11"/>
  <c r="K8" i="11"/>
  <c r="G8" i="11"/>
  <c r="F8" i="11"/>
  <c r="C8" i="11"/>
  <c r="B8" i="11"/>
  <c r="A8" i="11"/>
  <c r="BT8" i="11" s="1"/>
  <c r="EV7" i="11"/>
  <c r="EU7" i="11"/>
  <c r="EQ7" i="11"/>
  <c r="EP7" i="11"/>
  <c r="EL7" i="11"/>
  <c r="EK7" i="11"/>
  <c r="EG7" i="11"/>
  <c r="EF7" i="11"/>
  <c r="EB7" i="11"/>
  <c r="EA7" i="11"/>
  <c r="DW7" i="11"/>
  <c r="DV7" i="11"/>
  <c r="DR7" i="11"/>
  <c r="DQ7" i="11"/>
  <c r="DL7" i="11"/>
  <c r="DH7" i="11"/>
  <c r="DG7" i="11"/>
  <c r="DC7" i="11"/>
  <c r="DB7" i="11"/>
  <c r="CX7" i="11"/>
  <c r="CW7" i="11"/>
  <c r="CS7" i="11"/>
  <c r="CR7" i="11"/>
  <c r="CN7" i="11"/>
  <c r="CM7" i="11"/>
  <c r="CI7" i="11"/>
  <c r="CH7" i="11"/>
  <c r="CD7" i="11"/>
  <c r="CC7" i="11"/>
  <c r="BX7" i="11"/>
  <c r="BT7" i="11"/>
  <c r="BS7" i="11"/>
  <c r="BO7" i="11"/>
  <c r="BN7" i="11"/>
  <c r="BJ7" i="11"/>
  <c r="BI7" i="11"/>
  <c r="BE7" i="11"/>
  <c r="BD7" i="11"/>
  <c r="AZ7" i="11"/>
  <c r="AY7" i="11"/>
  <c r="AU7" i="11"/>
  <c r="AT7" i="11"/>
  <c r="AP7" i="11"/>
  <c r="AO7" i="11"/>
  <c r="AJ7" i="11"/>
  <c r="AF7" i="11"/>
  <c r="AE7" i="11"/>
  <c r="AA7" i="11"/>
  <c r="Z7" i="11"/>
  <c r="V7" i="11"/>
  <c r="U7" i="11"/>
  <c r="Q7" i="11"/>
  <c r="P7" i="11"/>
  <c r="L7" i="11"/>
  <c r="K7" i="11"/>
  <c r="G7" i="11"/>
  <c r="F7" i="11"/>
  <c r="C7" i="11"/>
  <c r="B7" i="11"/>
  <c r="A7" i="11"/>
  <c r="DM7" i="11" s="1"/>
  <c r="EV6" i="11"/>
  <c r="EU6" i="11"/>
  <c r="EP6" i="11"/>
  <c r="EL6" i="11"/>
  <c r="EK6" i="11"/>
  <c r="EF6" i="11"/>
  <c r="EB6" i="11"/>
  <c r="EA6" i="11"/>
  <c r="DV6" i="11"/>
  <c r="DR6" i="11"/>
  <c r="DQ6" i="11"/>
  <c r="DM6" i="11"/>
  <c r="DL6" i="11"/>
  <c r="DH6" i="11"/>
  <c r="DG6" i="11"/>
  <c r="DC6" i="11"/>
  <c r="DB6" i="11"/>
  <c r="CW6" i="11"/>
  <c r="CS6" i="11"/>
  <c r="CR6" i="11"/>
  <c r="CM6" i="11"/>
  <c r="CH6" i="11"/>
  <c r="CD6" i="11"/>
  <c r="CC6" i="11"/>
  <c r="BY6" i="11"/>
  <c r="BX6" i="11"/>
  <c r="BT6" i="11"/>
  <c r="BS6" i="11"/>
  <c r="BO6" i="11"/>
  <c r="BN6" i="11"/>
  <c r="BI6" i="11"/>
  <c r="BE6" i="11"/>
  <c r="BD6" i="11"/>
  <c r="AZ6" i="11"/>
  <c r="AY6" i="11"/>
  <c r="AT6" i="11"/>
  <c r="AO6" i="11"/>
  <c r="AK6" i="11"/>
  <c r="AJ6" i="11"/>
  <c r="AF6" i="11"/>
  <c r="AE6" i="11"/>
  <c r="AA6" i="11"/>
  <c r="Z6" i="11"/>
  <c r="V6" i="11"/>
  <c r="U6" i="11"/>
  <c r="P6" i="11"/>
  <c r="L6" i="11"/>
  <c r="K6" i="11"/>
  <c r="F6" i="11"/>
  <c r="C6" i="11"/>
  <c r="B6" i="11"/>
  <c r="A6" i="11"/>
  <c r="EU5" i="11"/>
  <c r="ES35" i="11" s="1"/>
  <c r="EQ5" i="11"/>
  <c r="EP5" i="11"/>
  <c r="EK5" i="11"/>
  <c r="EF5" i="11"/>
  <c r="ED35" i="11" s="1"/>
  <c r="EA5" i="11"/>
  <c r="DV5" i="11"/>
  <c r="DQ5" i="11"/>
  <c r="DL5" i="11"/>
  <c r="DG5" i="11"/>
  <c r="DB5" i="11"/>
  <c r="CW5" i="11"/>
  <c r="CS5" i="11"/>
  <c r="CR5" i="11"/>
  <c r="CM5" i="11"/>
  <c r="CH5" i="11"/>
  <c r="CC5" i="11"/>
  <c r="BX5" i="11"/>
  <c r="BS5" i="11"/>
  <c r="BN5" i="11"/>
  <c r="BI5" i="11"/>
  <c r="BD5" i="11"/>
  <c r="AY5" i="11"/>
  <c r="AT5" i="11"/>
  <c r="AP5" i="11"/>
  <c r="AO5" i="11"/>
  <c r="AJ5" i="11"/>
  <c r="AE5" i="11"/>
  <c r="Z5" i="11"/>
  <c r="U5" i="11"/>
  <c r="P5" i="11"/>
  <c r="K5" i="11"/>
  <c r="F5" i="11"/>
  <c r="C5" i="11"/>
  <c r="B5" i="11"/>
  <c r="A5" i="11"/>
  <c r="G5" i="11" s="1"/>
  <c r="EV4" i="11"/>
  <c r="EU4" i="11"/>
  <c r="EP4" i="11"/>
  <c r="EL4" i="11"/>
  <c r="EK4" i="11"/>
  <c r="EI35" i="11" s="1"/>
  <c r="EF4" i="11"/>
  <c r="EA4" i="11"/>
  <c r="DW4" i="11"/>
  <c r="DV4" i="11"/>
  <c r="DQ4" i="11"/>
  <c r="DL4" i="11"/>
  <c r="DG4" i="11"/>
  <c r="DB4" i="11"/>
  <c r="CX4" i="11"/>
  <c r="CW4" i="11"/>
  <c r="CR4" i="11"/>
  <c r="CM4" i="11"/>
  <c r="CH4" i="11"/>
  <c r="CC4" i="11"/>
  <c r="CA35" i="11" s="1"/>
  <c r="BX4" i="11"/>
  <c r="BV35" i="11" s="1"/>
  <c r="BS4" i="11"/>
  <c r="BO4" i="11"/>
  <c r="BN4" i="11"/>
  <c r="BJ4" i="11"/>
  <c r="BI4" i="11"/>
  <c r="BD4" i="11"/>
  <c r="AY4" i="11"/>
  <c r="AU4" i="11"/>
  <c r="AT4" i="11"/>
  <c r="AO4" i="11"/>
  <c r="AJ4" i="11"/>
  <c r="AE4" i="11"/>
  <c r="AA4" i="11"/>
  <c r="Z4" i="11"/>
  <c r="X35" i="11" s="1"/>
  <c r="U4" i="11"/>
  <c r="S35" i="11" s="1"/>
  <c r="P4" i="11"/>
  <c r="L4" i="11"/>
  <c r="K4" i="11"/>
  <c r="F4" i="11"/>
  <c r="C4" i="11"/>
  <c r="B4" i="11"/>
  <c r="A4" i="11"/>
  <c r="ES2" i="11"/>
  <c r="EN2" i="11"/>
  <c r="EI2" i="11"/>
  <c r="ED2" i="11"/>
  <c r="DY2" i="11"/>
  <c r="DT2" i="11"/>
  <c r="DO2" i="11"/>
  <c r="DJ2" i="11"/>
  <c r="DE2" i="11"/>
  <c r="CZ2" i="11"/>
  <c r="CU2" i="11"/>
  <c r="CP2" i="11"/>
  <c r="CK2" i="11"/>
  <c r="CF2" i="11"/>
  <c r="CA2" i="11"/>
  <c r="BV2" i="11"/>
  <c r="BQ2" i="11"/>
  <c r="BL2" i="11"/>
  <c r="BG2" i="11"/>
  <c r="BB2" i="11"/>
  <c r="AW2" i="11"/>
  <c r="AR2" i="11"/>
  <c r="AM2" i="11"/>
  <c r="AH2" i="11"/>
  <c r="AC2" i="11"/>
  <c r="X2" i="11"/>
  <c r="S2" i="11"/>
  <c r="N2" i="11"/>
  <c r="I2" i="11"/>
  <c r="D2" i="11"/>
  <c r="A1" i="11"/>
  <c r="ES40" i="10"/>
  <c r="EN40" i="10"/>
  <c r="EI40" i="10"/>
  <c r="ED40" i="10"/>
  <c r="DY40" i="10"/>
  <c r="DT40" i="10"/>
  <c r="DO40" i="10"/>
  <c r="DJ40" i="10"/>
  <c r="DE40" i="10"/>
  <c r="CZ40" i="10"/>
  <c r="CU40" i="10"/>
  <c r="CP40" i="10"/>
  <c r="CK40" i="10"/>
  <c r="CF40" i="10"/>
  <c r="CA40" i="10"/>
  <c r="BV40" i="10"/>
  <c r="BQ40" i="10"/>
  <c r="BL40" i="10"/>
  <c r="BG40" i="10"/>
  <c r="BB40" i="10"/>
  <c r="AW40" i="10"/>
  <c r="AR40" i="10"/>
  <c r="T12" i="19" s="1"/>
  <c r="AM40" i="10"/>
  <c r="AH40" i="10"/>
  <c r="AC40" i="10"/>
  <c r="X40" i="10"/>
  <c r="S40" i="10"/>
  <c r="N40" i="10"/>
  <c r="I40" i="10"/>
  <c r="D40" i="10"/>
  <c r="ES39" i="10"/>
  <c r="EN39" i="10"/>
  <c r="EI39" i="10"/>
  <c r="ED39" i="10"/>
  <c r="DY39" i="10"/>
  <c r="DT39" i="10"/>
  <c r="DO39" i="10"/>
  <c r="DJ39" i="10"/>
  <c r="DE39" i="10"/>
  <c r="CZ39" i="10"/>
  <c r="CU39" i="10"/>
  <c r="CP39" i="10"/>
  <c r="CK39" i="10"/>
  <c r="CF39" i="10"/>
  <c r="CA39" i="10"/>
  <c r="BV39" i="10"/>
  <c r="BQ39" i="10"/>
  <c r="BL39" i="10"/>
  <c r="BG39" i="10"/>
  <c r="BB39" i="10"/>
  <c r="AW39" i="10"/>
  <c r="AR39" i="10"/>
  <c r="AM39" i="10"/>
  <c r="AH39" i="10"/>
  <c r="AC39" i="10"/>
  <c r="X39" i="10"/>
  <c r="S39" i="10"/>
  <c r="N39" i="10"/>
  <c r="I39" i="10"/>
  <c r="D39" i="10"/>
  <c r="ES38" i="10"/>
  <c r="EN38" i="10"/>
  <c r="EI38" i="10"/>
  <c r="ED38" i="10"/>
  <c r="DY38" i="10"/>
  <c r="DT38" i="10"/>
  <c r="DO38" i="10"/>
  <c r="DJ38" i="10"/>
  <c r="DE38" i="10"/>
  <c r="CZ38" i="10"/>
  <c r="CU38" i="10"/>
  <c r="CP38" i="10"/>
  <c r="CK38" i="10"/>
  <c r="CF38" i="10"/>
  <c r="CA38" i="10"/>
  <c r="BV38" i="10"/>
  <c r="BQ38" i="10"/>
  <c r="BL38" i="10"/>
  <c r="BG38" i="10"/>
  <c r="BB38" i="10"/>
  <c r="AW38" i="10"/>
  <c r="AR38" i="10"/>
  <c r="AM38" i="10"/>
  <c r="AH38" i="10"/>
  <c r="AC38" i="10"/>
  <c r="X38" i="10"/>
  <c r="R8" i="19" s="1"/>
  <c r="S38" i="10"/>
  <c r="N38" i="10"/>
  <c r="I38" i="10"/>
  <c r="R5" i="19" s="1"/>
  <c r="D38" i="10"/>
  <c r="AW35" i="10"/>
  <c r="EV34" i="10"/>
  <c r="EU34" i="10"/>
  <c r="EQ34" i="10"/>
  <c r="EP34" i="10"/>
  <c r="EL34" i="10"/>
  <c r="EK34" i="10"/>
  <c r="EG34" i="10"/>
  <c r="EF34" i="10"/>
  <c r="EB34" i="10"/>
  <c r="EA34" i="10"/>
  <c r="DV34" i="10"/>
  <c r="DR34" i="10"/>
  <c r="DQ34" i="10"/>
  <c r="DM34" i="10"/>
  <c r="DL34" i="10"/>
  <c r="DH34" i="10"/>
  <c r="DG34" i="10"/>
  <c r="DC34" i="10"/>
  <c r="DB34" i="10"/>
  <c r="CX34" i="10"/>
  <c r="CW34" i="10"/>
  <c r="CS34" i="10"/>
  <c r="CR34" i="10"/>
  <c r="CN34" i="10"/>
  <c r="CM34" i="10"/>
  <c r="CH34" i="10"/>
  <c r="CC34" i="10"/>
  <c r="BY34" i="10"/>
  <c r="BX34" i="10"/>
  <c r="BS34" i="10"/>
  <c r="BO34" i="10"/>
  <c r="BN34" i="10"/>
  <c r="BJ34" i="10"/>
  <c r="BI34" i="10"/>
  <c r="BE34" i="10"/>
  <c r="BD34" i="10"/>
  <c r="AZ34" i="10"/>
  <c r="AY34" i="10"/>
  <c r="AT34" i="10"/>
  <c r="AO34" i="10"/>
  <c r="AK34" i="10"/>
  <c r="AJ34" i="10"/>
  <c r="AF34" i="10"/>
  <c r="AE34" i="10"/>
  <c r="AA34" i="10"/>
  <c r="Z34" i="10"/>
  <c r="V34" i="10"/>
  <c r="U34" i="10"/>
  <c r="Q34" i="10"/>
  <c r="P34" i="10"/>
  <c r="L34" i="10"/>
  <c r="K34" i="10"/>
  <c r="F34" i="10"/>
  <c r="C34" i="10"/>
  <c r="B34" i="10"/>
  <c r="A34" i="10"/>
  <c r="BT34" i="10" s="1"/>
  <c r="EU33" i="10"/>
  <c r="EP33" i="10"/>
  <c r="EK33" i="10"/>
  <c r="EG33" i="10"/>
  <c r="EF33" i="10"/>
  <c r="EA33" i="10"/>
  <c r="DW33" i="10"/>
  <c r="DV33" i="10"/>
  <c r="DQ33" i="10"/>
  <c r="DL33" i="10"/>
  <c r="DG33" i="10"/>
  <c r="DB33" i="10"/>
  <c r="CW33" i="10"/>
  <c r="CS33" i="10"/>
  <c r="CR33" i="10"/>
  <c r="CM33" i="10"/>
  <c r="CI33" i="10"/>
  <c r="CH33" i="10"/>
  <c r="CC33" i="10"/>
  <c r="BX33" i="10"/>
  <c r="BS33" i="10"/>
  <c r="BN33" i="10"/>
  <c r="BI33" i="10"/>
  <c r="BD33" i="10"/>
  <c r="AY33" i="10"/>
  <c r="AU33" i="10"/>
  <c r="AT33" i="10"/>
  <c r="AO33" i="10"/>
  <c r="AK33" i="10"/>
  <c r="AJ33" i="10"/>
  <c r="AE33" i="10"/>
  <c r="Z33" i="10"/>
  <c r="U33" i="10"/>
  <c r="P33" i="10"/>
  <c r="K33" i="10"/>
  <c r="F33" i="10"/>
  <c r="C33" i="10"/>
  <c r="B33" i="10"/>
  <c r="A33" i="10"/>
  <c r="EV32" i="10"/>
  <c r="EU32" i="10"/>
  <c r="EQ32" i="10"/>
  <c r="EP32" i="10"/>
  <c r="EK32" i="10"/>
  <c r="EF32" i="10"/>
  <c r="EA32" i="10"/>
  <c r="DW32" i="10"/>
  <c r="DV32" i="10"/>
  <c r="DQ32" i="10"/>
  <c r="DM32" i="10"/>
  <c r="DL32" i="10"/>
  <c r="DH32" i="10"/>
  <c r="DG32" i="10"/>
  <c r="DC32" i="10"/>
  <c r="DB32" i="10"/>
  <c r="CW32" i="10"/>
  <c r="CS32" i="10"/>
  <c r="CR32" i="10"/>
  <c r="CM32" i="10"/>
  <c r="CI32" i="10"/>
  <c r="CH32" i="10"/>
  <c r="CC32" i="10"/>
  <c r="BX32" i="10"/>
  <c r="BT32" i="10"/>
  <c r="BS32" i="10"/>
  <c r="BO32" i="10"/>
  <c r="BN32" i="10"/>
  <c r="BJ32" i="10"/>
  <c r="BI32" i="10"/>
  <c r="BD32" i="10"/>
  <c r="AZ32" i="10"/>
  <c r="AY32" i="10"/>
  <c r="AT32" i="10"/>
  <c r="AO32" i="10"/>
  <c r="AK32" i="10"/>
  <c r="AJ32" i="10"/>
  <c r="AF32" i="10"/>
  <c r="AE32" i="10"/>
  <c r="Z32" i="10"/>
  <c r="V32" i="10"/>
  <c r="U32" i="10"/>
  <c r="P32" i="10"/>
  <c r="L32" i="10"/>
  <c r="K32" i="10"/>
  <c r="G32" i="10"/>
  <c r="F32" i="10"/>
  <c r="C32" i="10"/>
  <c r="B32" i="10"/>
  <c r="A32" i="10"/>
  <c r="BY32" i="10" s="1"/>
  <c r="EV31" i="10"/>
  <c r="EU31" i="10"/>
  <c r="EP31" i="10"/>
  <c r="EK31" i="10"/>
  <c r="EG31" i="10"/>
  <c r="EF31" i="10"/>
  <c r="EA31" i="10"/>
  <c r="DV31" i="10"/>
  <c r="DQ31" i="10"/>
  <c r="DL31" i="10"/>
  <c r="DG31" i="10"/>
  <c r="DB31" i="10"/>
  <c r="CW31" i="10"/>
  <c r="CR31" i="10"/>
  <c r="CN31" i="10"/>
  <c r="CM31" i="10"/>
  <c r="CH31" i="10"/>
  <c r="CD31" i="10"/>
  <c r="CC31" i="10"/>
  <c r="BX31" i="10"/>
  <c r="BS31" i="10"/>
  <c r="BN31" i="10"/>
  <c r="BI31" i="10"/>
  <c r="BD31" i="10"/>
  <c r="AY31" i="10"/>
  <c r="AT31" i="10"/>
  <c r="AO31" i="10"/>
  <c r="AK31" i="10"/>
  <c r="AJ31" i="10"/>
  <c r="AF31" i="10"/>
  <c r="AE31" i="10"/>
  <c r="Z31" i="10"/>
  <c r="U31" i="10"/>
  <c r="P31" i="10"/>
  <c r="K31" i="10"/>
  <c r="F31" i="10"/>
  <c r="C31" i="10"/>
  <c r="B31" i="10"/>
  <c r="A31" i="10"/>
  <c r="EV30" i="10"/>
  <c r="EU30" i="10"/>
  <c r="EQ30" i="10"/>
  <c r="EP30" i="10"/>
  <c r="EL30" i="10"/>
  <c r="EK30" i="10"/>
  <c r="EG30" i="10"/>
  <c r="EF30" i="10"/>
  <c r="EB30" i="10"/>
  <c r="EA30" i="10"/>
  <c r="DW30" i="10"/>
  <c r="DV30" i="10"/>
  <c r="DR30" i="10"/>
  <c r="DQ30" i="10"/>
  <c r="DL30" i="10"/>
  <c r="DH30" i="10"/>
  <c r="DG30" i="10"/>
  <c r="DC30" i="10"/>
  <c r="DB30" i="10"/>
  <c r="CX30" i="10"/>
  <c r="CW30" i="10"/>
  <c r="CS30" i="10"/>
  <c r="CR30" i="10"/>
  <c r="CN30" i="10"/>
  <c r="CM30" i="10"/>
  <c r="CI30" i="10"/>
  <c r="CH30" i="10"/>
  <c r="CD30" i="10"/>
  <c r="CC30" i="10"/>
  <c r="BX30" i="10"/>
  <c r="BT30" i="10"/>
  <c r="BS30" i="10"/>
  <c r="BO30" i="10"/>
  <c r="BN30" i="10"/>
  <c r="BJ30" i="10"/>
  <c r="BI30" i="10"/>
  <c r="BE30" i="10"/>
  <c r="BD30" i="10"/>
  <c r="AZ30" i="10"/>
  <c r="AY30" i="10"/>
  <c r="AU30" i="10"/>
  <c r="AT30" i="10"/>
  <c r="AP30" i="10"/>
  <c r="AO30" i="10"/>
  <c r="AJ30" i="10"/>
  <c r="AF30" i="10"/>
  <c r="AE30" i="10"/>
  <c r="AA30" i="10"/>
  <c r="Z30" i="10"/>
  <c r="V30" i="10"/>
  <c r="U30" i="10"/>
  <c r="Q30" i="10"/>
  <c r="P30" i="10"/>
  <c r="L30" i="10"/>
  <c r="K30" i="10"/>
  <c r="G30" i="10"/>
  <c r="F30" i="10"/>
  <c r="C30" i="10"/>
  <c r="B30" i="10"/>
  <c r="A30" i="10"/>
  <c r="DM30" i="10" s="1"/>
  <c r="EU29" i="10"/>
  <c r="EP29" i="10"/>
  <c r="EK29" i="10"/>
  <c r="EF29" i="10"/>
  <c r="EB29" i="10"/>
  <c r="EA29" i="10"/>
  <c r="DW29" i="10"/>
  <c r="DV29" i="10"/>
  <c r="DR29" i="10"/>
  <c r="DQ29" i="10"/>
  <c r="DL29" i="10"/>
  <c r="DG29" i="10"/>
  <c r="DB29" i="10"/>
  <c r="CW29" i="10"/>
  <c r="CR29" i="10"/>
  <c r="CM29" i="10"/>
  <c r="CI29" i="10"/>
  <c r="CH29" i="10"/>
  <c r="CD29" i="10"/>
  <c r="CC29" i="10"/>
  <c r="BY29" i="10"/>
  <c r="BX29" i="10"/>
  <c r="BS29" i="10"/>
  <c r="BN29" i="10"/>
  <c r="BI29" i="10"/>
  <c r="BD29" i="10"/>
  <c r="AY29" i="10"/>
  <c r="AU29" i="10"/>
  <c r="AT29" i="10"/>
  <c r="AO29" i="10"/>
  <c r="AK29" i="10"/>
  <c r="AJ29" i="10"/>
  <c r="AF29" i="10"/>
  <c r="AE29" i="10"/>
  <c r="AA29" i="10"/>
  <c r="Z29" i="10"/>
  <c r="U29" i="10"/>
  <c r="Q29" i="10"/>
  <c r="P29" i="10"/>
  <c r="K29" i="10"/>
  <c r="F29" i="10"/>
  <c r="C29" i="10"/>
  <c r="B29" i="10"/>
  <c r="A29" i="10"/>
  <c r="EU28" i="10"/>
  <c r="EQ28" i="10"/>
  <c r="EP28" i="10"/>
  <c r="EL28" i="10"/>
  <c r="EK28" i="10"/>
  <c r="EG28" i="10"/>
  <c r="EF28" i="10"/>
  <c r="EB28" i="10"/>
  <c r="EA28" i="10"/>
  <c r="DW28" i="10"/>
  <c r="DV28" i="10"/>
  <c r="DR28" i="10"/>
  <c r="DQ28" i="10"/>
  <c r="DM28" i="10"/>
  <c r="DL28" i="10"/>
  <c r="DG28" i="10"/>
  <c r="DC28" i="10"/>
  <c r="DB28" i="10"/>
  <c r="CX28" i="10"/>
  <c r="CW28" i="10"/>
  <c r="CS28" i="10"/>
  <c r="CR28" i="10"/>
  <c r="CN28" i="10"/>
  <c r="CM28" i="10"/>
  <c r="CI28" i="10"/>
  <c r="CH28" i="10"/>
  <c r="CC28" i="10"/>
  <c r="BY28" i="10"/>
  <c r="BX28" i="10"/>
  <c r="BS28" i="10"/>
  <c r="BO28" i="10"/>
  <c r="BN28" i="10"/>
  <c r="BJ28" i="10"/>
  <c r="BI28" i="10"/>
  <c r="BE28" i="10"/>
  <c r="BD28" i="10"/>
  <c r="AZ28" i="10"/>
  <c r="AY28" i="10"/>
  <c r="AU28" i="10"/>
  <c r="AT28" i="10"/>
  <c r="AP28" i="10"/>
  <c r="AO28" i="10"/>
  <c r="AK28" i="10"/>
  <c r="AJ28" i="10"/>
  <c r="AE28" i="10"/>
  <c r="AA28" i="10"/>
  <c r="Z28" i="10"/>
  <c r="V28" i="10"/>
  <c r="U28" i="10"/>
  <c r="Q28" i="10"/>
  <c r="P28" i="10"/>
  <c r="L28" i="10"/>
  <c r="K28" i="10"/>
  <c r="G28" i="10"/>
  <c r="F28" i="10"/>
  <c r="C28" i="10"/>
  <c r="B28" i="10"/>
  <c r="A28" i="10"/>
  <c r="EV27" i="10"/>
  <c r="EU27" i="10"/>
  <c r="EQ27" i="10"/>
  <c r="EP27" i="10"/>
  <c r="EL27" i="10"/>
  <c r="EK27" i="10"/>
  <c r="EF27" i="10"/>
  <c r="EB27" i="10"/>
  <c r="EA27" i="10"/>
  <c r="DW27" i="10"/>
  <c r="DV27" i="10"/>
  <c r="DR27" i="10"/>
  <c r="DQ27" i="10"/>
  <c r="DM27" i="10"/>
  <c r="DL27" i="10"/>
  <c r="DG27" i="10"/>
  <c r="DC27" i="10"/>
  <c r="DB27" i="10"/>
  <c r="CX27" i="10"/>
  <c r="CW27" i="10"/>
  <c r="CR27" i="10"/>
  <c r="CN27" i="10"/>
  <c r="CM27" i="10"/>
  <c r="CI27" i="10"/>
  <c r="CH27" i="10"/>
  <c r="CC27" i="10"/>
  <c r="BY27" i="10"/>
  <c r="BX27" i="10"/>
  <c r="BT27" i="10"/>
  <c r="BS27" i="10"/>
  <c r="BO27" i="10"/>
  <c r="BN27" i="10"/>
  <c r="BJ27" i="10"/>
  <c r="BI27" i="10"/>
  <c r="BD27" i="10"/>
  <c r="AZ27" i="10"/>
  <c r="AY27" i="10"/>
  <c r="AU27" i="10"/>
  <c r="AT27" i="10"/>
  <c r="AP27" i="10"/>
  <c r="AO27" i="10"/>
  <c r="AK27" i="10"/>
  <c r="AJ27" i="10"/>
  <c r="AF27" i="10"/>
  <c r="AE27" i="10"/>
  <c r="Z27" i="10"/>
  <c r="V27" i="10"/>
  <c r="U27" i="10"/>
  <c r="P27" i="10"/>
  <c r="L27" i="10"/>
  <c r="K27" i="10"/>
  <c r="G27" i="10"/>
  <c r="F27" i="10"/>
  <c r="C27" i="10"/>
  <c r="B27" i="10"/>
  <c r="A27" i="10"/>
  <c r="DH27" i="10" s="1"/>
  <c r="EU26" i="10"/>
  <c r="EP26" i="10"/>
  <c r="EK26" i="10"/>
  <c r="EF26" i="10"/>
  <c r="EA26" i="10"/>
  <c r="DV26" i="10"/>
  <c r="DQ26" i="10"/>
  <c r="DL26" i="10"/>
  <c r="DG26" i="10"/>
  <c r="DB26" i="10"/>
  <c r="CW26" i="10"/>
  <c r="CR26" i="10"/>
  <c r="CM26" i="10"/>
  <c r="CH26" i="10"/>
  <c r="CC26" i="10"/>
  <c r="BX26" i="10"/>
  <c r="BS26" i="10"/>
  <c r="BN26" i="10"/>
  <c r="BI26" i="10"/>
  <c r="BD26" i="10"/>
  <c r="AY26" i="10"/>
  <c r="AT26" i="10"/>
  <c r="AO26" i="10"/>
  <c r="AJ26" i="10"/>
  <c r="AE26" i="10"/>
  <c r="Z26" i="10"/>
  <c r="U26" i="10"/>
  <c r="P26" i="10"/>
  <c r="K26" i="10"/>
  <c r="F26" i="10"/>
  <c r="C26" i="10"/>
  <c r="B26" i="10"/>
  <c r="A26" i="10"/>
  <c r="EL26" i="10" s="1"/>
  <c r="EU25" i="10"/>
  <c r="EP25" i="10"/>
  <c r="EK25" i="10"/>
  <c r="EF25" i="10"/>
  <c r="EA25" i="10"/>
  <c r="DV25" i="10"/>
  <c r="DQ25" i="10"/>
  <c r="DL25" i="10"/>
  <c r="DG25" i="10"/>
  <c r="DB25" i="10"/>
  <c r="CX25" i="10"/>
  <c r="CW25" i="10"/>
  <c r="CR25" i="10"/>
  <c r="CM25" i="10"/>
  <c r="CH25" i="10"/>
  <c r="CC25" i="10"/>
  <c r="BX25" i="10"/>
  <c r="BS25" i="10"/>
  <c r="BN25" i="10"/>
  <c r="BI25" i="10"/>
  <c r="BD25" i="10"/>
  <c r="AY25" i="10"/>
  <c r="AT25" i="10"/>
  <c r="AO25" i="10"/>
  <c r="AK25" i="10"/>
  <c r="AJ25" i="10"/>
  <c r="AE25" i="10"/>
  <c r="Z25" i="10"/>
  <c r="U25" i="10"/>
  <c r="P25" i="10"/>
  <c r="K25" i="10"/>
  <c r="F25" i="10"/>
  <c r="C25" i="10"/>
  <c r="B25" i="10"/>
  <c r="A25" i="10"/>
  <c r="EV24" i="10"/>
  <c r="EU24" i="10"/>
  <c r="EQ24" i="10"/>
  <c r="EP24" i="10"/>
  <c r="EK24" i="10"/>
  <c r="EG24" i="10"/>
  <c r="EF24" i="10"/>
  <c r="EB24" i="10"/>
  <c r="EA24" i="10"/>
  <c r="DV24" i="10"/>
  <c r="DR24" i="10"/>
  <c r="DQ24" i="10"/>
  <c r="DM24" i="10"/>
  <c r="DL24" i="10"/>
  <c r="DH24" i="10"/>
  <c r="DG24" i="10"/>
  <c r="DC24" i="10"/>
  <c r="DB24" i="10"/>
  <c r="CW24" i="10"/>
  <c r="CS24" i="10"/>
  <c r="CR24" i="10"/>
  <c r="CN24" i="10"/>
  <c r="CM24" i="10"/>
  <c r="CI24" i="10"/>
  <c r="CH24" i="10"/>
  <c r="CC24" i="10"/>
  <c r="BY24" i="10"/>
  <c r="BX24" i="10"/>
  <c r="BS24" i="10"/>
  <c r="BO24" i="10"/>
  <c r="BN24" i="10"/>
  <c r="BI24" i="10"/>
  <c r="BE24" i="10"/>
  <c r="BD24" i="10"/>
  <c r="AZ24" i="10"/>
  <c r="AY24" i="10"/>
  <c r="AU24" i="10"/>
  <c r="AT24" i="10"/>
  <c r="AO24" i="10"/>
  <c r="AK24" i="10"/>
  <c r="AJ24" i="10"/>
  <c r="AF24" i="10"/>
  <c r="AE24" i="10"/>
  <c r="AA24" i="10"/>
  <c r="Z24" i="10"/>
  <c r="U24" i="10"/>
  <c r="Q24" i="10"/>
  <c r="P24" i="10"/>
  <c r="L24" i="10"/>
  <c r="K24" i="10"/>
  <c r="G24" i="10"/>
  <c r="F24" i="10"/>
  <c r="C24" i="10"/>
  <c r="B24" i="10"/>
  <c r="A24" i="10"/>
  <c r="BT24" i="10" s="1"/>
  <c r="EV23" i="10"/>
  <c r="EU23" i="10"/>
  <c r="EQ23" i="10"/>
  <c r="EP23" i="10"/>
  <c r="EL23" i="10"/>
  <c r="EK23" i="10"/>
  <c r="EG23" i="10"/>
  <c r="EF23" i="10"/>
  <c r="EB23" i="10"/>
  <c r="EA23" i="10"/>
  <c r="DV23" i="10"/>
  <c r="DR23" i="10"/>
  <c r="DQ23" i="10"/>
  <c r="DM23" i="10"/>
  <c r="DL23" i="10"/>
  <c r="DG23" i="10"/>
  <c r="DC23" i="10"/>
  <c r="DB23" i="10"/>
  <c r="CW23" i="10"/>
  <c r="CS23" i="10"/>
  <c r="CR23" i="10"/>
  <c r="CM23" i="10"/>
  <c r="CH23" i="10"/>
  <c r="CD23" i="10"/>
  <c r="CC23" i="10"/>
  <c r="BY23" i="10"/>
  <c r="BX23" i="10"/>
  <c r="BV35" i="10" s="1"/>
  <c r="BS23" i="10"/>
  <c r="BO23" i="10"/>
  <c r="BN23" i="10"/>
  <c r="BJ23" i="10"/>
  <c r="BI23" i="10"/>
  <c r="BE23" i="10"/>
  <c r="BD23" i="10"/>
  <c r="AZ23" i="10"/>
  <c r="AY23" i="10"/>
  <c r="AT23" i="10"/>
  <c r="AP23" i="10"/>
  <c r="AO23" i="10"/>
  <c r="AK23" i="10"/>
  <c r="AJ23" i="10"/>
  <c r="AF23" i="10"/>
  <c r="AE23" i="10"/>
  <c r="Z23" i="10"/>
  <c r="V23" i="10"/>
  <c r="U23" i="10"/>
  <c r="P23" i="10"/>
  <c r="L23" i="10"/>
  <c r="K23" i="10"/>
  <c r="F23" i="10"/>
  <c r="C23" i="10"/>
  <c r="B23" i="10"/>
  <c r="A23" i="10"/>
  <c r="EU22" i="10"/>
  <c r="EP22" i="10"/>
  <c r="EK22" i="10"/>
  <c r="EF22" i="10"/>
  <c r="EB22" i="10"/>
  <c r="EA22" i="10"/>
  <c r="DW22" i="10"/>
  <c r="DV22" i="10"/>
  <c r="DQ22" i="10"/>
  <c r="DM22" i="10"/>
  <c r="DL22" i="10"/>
  <c r="DG22" i="10"/>
  <c r="DB22" i="10"/>
  <c r="CW22" i="10"/>
  <c r="CR22" i="10"/>
  <c r="CM22" i="10"/>
  <c r="CH22" i="10"/>
  <c r="CD22" i="10"/>
  <c r="CC22" i="10"/>
  <c r="BY22" i="10"/>
  <c r="BX22" i="10"/>
  <c r="BS22" i="10"/>
  <c r="BO22" i="10"/>
  <c r="BN22" i="10"/>
  <c r="BI22" i="10"/>
  <c r="BD22" i="10"/>
  <c r="AZ22" i="10"/>
  <c r="AY22" i="10"/>
  <c r="AU22" i="10"/>
  <c r="AT22" i="10"/>
  <c r="AO22" i="10"/>
  <c r="AK22" i="10"/>
  <c r="AJ22" i="10"/>
  <c r="AE22" i="10"/>
  <c r="AA22" i="10"/>
  <c r="Z22" i="10"/>
  <c r="V22" i="10"/>
  <c r="U22" i="10"/>
  <c r="P22" i="10"/>
  <c r="K22" i="10"/>
  <c r="F22" i="10"/>
  <c r="C22" i="10"/>
  <c r="B22" i="10"/>
  <c r="A22" i="10"/>
  <c r="EQ22" i="10" s="1"/>
  <c r="EU21" i="10"/>
  <c r="EQ21" i="10"/>
  <c r="EP21" i="10"/>
  <c r="EK21" i="10"/>
  <c r="EG21" i="10"/>
  <c r="EF21" i="10"/>
  <c r="EA21" i="10"/>
  <c r="DV21" i="10"/>
  <c r="DQ21" i="10"/>
  <c r="DL21" i="10"/>
  <c r="DG21" i="10"/>
  <c r="DC21" i="10"/>
  <c r="DB21" i="10"/>
  <c r="CW21" i="10"/>
  <c r="CR21" i="10"/>
  <c r="CN21" i="10"/>
  <c r="CM21" i="10"/>
  <c r="CH21" i="10"/>
  <c r="CC21" i="10"/>
  <c r="BX21" i="10"/>
  <c r="BT21" i="10"/>
  <c r="BS21" i="10"/>
  <c r="BO21" i="10"/>
  <c r="BN21" i="10"/>
  <c r="BI21" i="10"/>
  <c r="BE21" i="10"/>
  <c r="BD21" i="10"/>
  <c r="AY21" i="10"/>
  <c r="AT21" i="10"/>
  <c r="AO21" i="10"/>
  <c r="AK21" i="10"/>
  <c r="AJ21" i="10"/>
  <c r="AE21" i="10"/>
  <c r="AA21" i="10"/>
  <c r="Z21" i="10"/>
  <c r="V21" i="10"/>
  <c r="U21" i="10"/>
  <c r="Q21" i="10"/>
  <c r="P21" i="10"/>
  <c r="K21" i="10"/>
  <c r="G21" i="10"/>
  <c r="F21" i="10"/>
  <c r="C21" i="10"/>
  <c r="B21" i="10"/>
  <c r="A21" i="10"/>
  <c r="EU20" i="10"/>
  <c r="EP20" i="10"/>
  <c r="EK20" i="10"/>
  <c r="EF20" i="10"/>
  <c r="EA20" i="10"/>
  <c r="DV20" i="10"/>
  <c r="DQ20" i="10"/>
  <c r="DL20" i="10"/>
  <c r="DG20" i="10"/>
  <c r="DB20" i="10"/>
  <c r="CW20" i="10"/>
  <c r="CR20" i="10"/>
  <c r="CM20" i="10"/>
  <c r="CH20" i="10"/>
  <c r="CC20" i="10"/>
  <c r="BX20" i="10"/>
  <c r="BS20" i="10"/>
  <c r="BN20" i="10"/>
  <c r="BI20" i="10"/>
  <c r="BD20" i="10"/>
  <c r="AY20" i="10"/>
  <c r="AT20" i="10"/>
  <c r="AO20" i="10"/>
  <c r="AJ20" i="10"/>
  <c r="AE20" i="10"/>
  <c r="Z20" i="10"/>
  <c r="U20" i="10"/>
  <c r="P20" i="10"/>
  <c r="K20" i="10"/>
  <c r="F20" i="10"/>
  <c r="C20" i="10"/>
  <c r="B20" i="10"/>
  <c r="A20" i="10"/>
  <c r="CD20" i="10" s="1"/>
  <c r="EV19" i="10"/>
  <c r="EU19" i="10"/>
  <c r="EQ19" i="10"/>
  <c r="EP19" i="10"/>
  <c r="EL19" i="10"/>
  <c r="EK19" i="10"/>
  <c r="EG19" i="10"/>
  <c r="EF19" i="10"/>
  <c r="EB19" i="10"/>
  <c r="EA19" i="10"/>
  <c r="DW19" i="10"/>
  <c r="DV19" i="10"/>
  <c r="DR19" i="10"/>
  <c r="DQ19" i="10"/>
  <c r="DL19" i="10"/>
  <c r="DH19" i="10"/>
  <c r="DG19" i="10"/>
  <c r="DC19" i="10"/>
  <c r="DB19" i="10"/>
  <c r="CX19" i="10"/>
  <c r="CW19" i="10"/>
  <c r="CS19" i="10"/>
  <c r="CR19" i="10"/>
  <c r="CN19" i="10"/>
  <c r="CM19" i="10"/>
  <c r="CI19" i="10"/>
  <c r="CH19" i="10"/>
  <c r="CD19" i="10"/>
  <c r="CC19" i="10"/>
  <c r="BX19" i="10"/>
  <c r="BT19" i="10"/>
  <c r="BS19" i="10"/>
  <c r="BO19" i="10"/>
  <c r="BN19" i="10"/>
  <c r="BJ19" i="10"/>
  <c r="BI19" i="10"/>
  <c r="BE19" i="10"/>
  <c r="BD19" i="10"/>
  <c r="AZ19" i="10"/>
  <c r="AY19" i="10"/>
  <c r="AU19" i="10"/>
  <c r="AT19" i="10"/>
  <c r="AP19" i="10"/>
  <c r="AO19" i="10"/>
  <c r="AJ19" i="10"/>
  <c r="AF19" i="10"/>
  <c r="AE19" i="10"/>
  <c r="AA19" i="10"/>
  <c r="Z19" i="10"/>
  <c r="V19" i="10"/>
  <c r="U19" i="10"/>
  <c r="Q19" i="10"/>
  <c r="P19" i="10"/>
  <c r="L19" i="10"/>
  <c r="K19" i="10"/>
  <c r="G19" i="10"/>
  <c r="F19" i="10"/>
  <c r="C19" i="10"/>
  <c r="B19" i="10"/>
  <c r="A19" i="10"/>
  <c r="DM19" i="10" s="1"/>
  <c r="EV18" i="10"/>
  <c r="EU18" i="10"/>
  <c r="EQ18" i="10"/>
  <c r="EP18" i="10"/>
  <c r="EL18" i="10"/>
  <c r="EK18" i="10"/>
  <c r="EG18" i="10"/>
  <c r="EF18" i="10"/>
  <c r="EB18" i="10"/>
  <c r="EA18" i="10"/>
  <c r="DV18" i="10"/>
  <c r="DR18" i="10"/>
  <c r="DQ18" i="10"/>
  <c r="DM18" i="10"/>
  <c r="DL18" i="10"/>
  <c r="DH18" i="10"/>
  <c r="DG18" i="10"/>
  <c r="DC18" i="10"/>
  <c r="DB18" i="10"/>
  <c r="CX18" i="10"/>
  <c r="CW18" i="10"/>
  <c r="CS18" i="10"/>
  <c r="CR18" i="10"/>
  <c r="CN18" i="10"/>
  <c r="CM18" i="10"/>
  <c r="CH18" i="10"/>
  <c r="CC18" i="10"/>
  <c r="BY18" i="10"/>
  <c r="BX18" i="10"/>
  <c r="BT18" i="10"/>
  <c r="BS18" i="10"/>
  <c r="BO18" i="10"/>
  <c r="BN18" i="10"/>
  <c r="BJ18" i="10"/>
  <c r="BI18" i="10"/>
  <c r="BE18" i="10"/>
  <c r="BD18" i="10"/>
  <c r="AZ18" i="10"/>
  <c r="AY18" i="10"/>
  <c r="AT18" i="10"/>
  <c r="AP18" i="10"/>
  <c r="AO18" i="10"/>
  <c r="AK18" i="10"/>
  <c r="AJ18" i="10"/>
  <c r="AF18" i="10"/>
  <c r="AE18" i="10"/>
  <c r="AA18" i="10"/>
  <c r="Z18" i="10"/>
  <c r="V18" i="10"/>
  <c r="U18" i="10"/>
  <c r="Q18" i="10"/>
  <c r="P18" i="10"/>
  <c r="L18" i="10"/>
  <c r="K18" i="10"/>
  <c r="F18" i="10"/>
  <c r="C18" i="10"/>
  <c r="B18" i="10"/>
  <c r="A18" i="10"/>
  <c r="EU17" i="10"/>
  <c r="EQ17" i="10"/>
  <c r="EP17" i="10"/>
  <c r="EL17" i="10"/>
  <c r="EK17" i="10"/>
  <c r="EI35" i="10" s="1"/>
  <c r="EG17" i="10"/>
  <c r="EF17" i="10"/>
  <c r="EB17" i="10"/>
  <c r="EA17" i="10"/>
  <c r="DW17" i="10"/>
  <c r="DV17" i="10"/>
  <c r="DR17" i="10"/>
  <c r="DQ17" i="10"/>
  <c r="DM17" i="10"/>
  <c r="DL17" i="10"/>
  <c r="DG17" i="10"/>
  <c r="DC17" i="10"/>
  <c r="DB17" i="10"/>
  <c r="CX17" i="10"/>
  <c r="CW17" i="10"/>
  <c r="CS17" i="10"/>
  <c r="CR17" i="10"/>
  <c r="CN17" i="10"/>
  <c r="CM17" i="10"/>
  <c r="CI17" i="10"/>
  <c r="CH17" i="10"/>
  <c r="CC17" i="10"/>
  <c r="BY17" i="10"/>
  <c r="BX17" i="10"/>
  <c r="BS17" i="10"/>
  <c r="BN17" i="10"/>
  <c r="BJ17" i="10"/>
  <c r="BI17" i="10"/>
  <c r="BE17" i="10"/>
  <c r="BD17" i="10"/>
  <c r="AZ17" i="10"/>
  <c r="AY17" i="10"/>
  <c r="AU17" i="10"/>
  <c r="AT17" i="10"/>
  <c r="AP17" i="10"/>
  <c r="AO17" i="10"/>
  <c r="AK17" i="10"/>
  <c r="AJ17" i="10"/>
  <c r="AE17" i="10"/>
  <c r="AA17" i="10"/>
  <c r="Z17" i="10"/>
  <c r="V17" i="10"/>
  <c r="U17" i="10"/>
  <c r="Q17" i="10"/>
  <c r="P17" i="10"/>
  <c r="L17" i="10"/>
  <c r="K17" i="10"/>
  <c r="G17" i="10"/>
  <c r="F17" i="10"/>
  <c r="C17" i="10"/>
  <c r="B17" i="10"/>
  <c r="A17" i="10"/>
  <c r="BO17" i="10" s="1"/>
  <c r="EU16" i="10"/>
  <c r="EP16" i="10"/>
  <c r="EK16" i="10"/>
  <c r="EF16" i="10"/>
  <c r="EA16" i="10"/>
  <c r="DV16" i="10"/>
  <c r="DQ16" i="10"/>
  <c r="DL16" i="10"/>
  <c r="DG16" i="10"/>
  <c r="DB16" i="10"/>
  <c r="CX16" i="10"/>
  <c r="CW16" i="10"/>
  <c r="CS16" i="10"/>
  <c r="CR16" i="10"/>
  <c r="CM16" i="10"/>
  <c r="CH16" i="10"/>
  <c r="CC16" i="10"/>
  <c r="BX16" i="10"/>
  <c r="BS16" i="10"/>
  <c r="BN16" i="10"/>
  <c r="BI16" i="10"/>
  <c r="BD16" i="10"/>
  <c r="AY16" i="10"/>
  <c r="AU16" i="10"/>
  <c r="AT16" i="10"/>
  <c r="AO16" i="10"/>
  <c r="AJ16" i="10"/>
  <c r="AE16" i="10"/>
  <c r="Z16" i="10"/>
  <c r="U16" i="10"/>
  <c r="P16" i="10"/>
  <c r="K16" i="10"/>
  <c r="F16" i="10"/>
  <c r="C16" i="10"/>
  <c r="B16" i="10"/>
  <c r="A16" i="10"/>
  <c r="BT16" i="10" s="1"/>
  <c r="EV15" i="10"/>
  <c r="EU15" i="10"/>
  <c r="EP15" i="10"/>
  <c r="EK15" i="10"/>
  <c r="EF15" i="10"/>
  <c r="EA15" i="10"/>
  <c r="DV15" i="10"/>
  <c r="DQ15" i="10"/>
  <c r="DL15" i="10"/>
  <c r="DG15" i="10"/>
  <c r="DB15" i="10"/>
  <c r="CW15" i="10"/>
  <c r="CR15" i="10"/>
  <c r="CN15" i="10"/>
  <c r="CM15" i="10"/>
  <c r="CH15" i="10"/>
  <c r="CC15" i="10"/>
  <c r="BX15" i="10"/>
  <c r="BS15" i="10"/>
  <c r="BN15" i="10"/>
  <c r="BI15" i="10"/>
  <c r="BD15" i="10"/>
  <c r="AY15" i="10"/>
  <c r="AT15" i="10"/>
  <c r="AP15" i="10"/>
  <c r="AO15" i="10"/>
  <c r="AJ15" i="10"/>
  <c r="AF15" i="10"/>
  <c r="AE15" i="10"/>
  <c r="Z15" i="10"/>
  <c r="U15" i="10"/>
  <c r="P15" i="10"/>
  <c r="K15" i="10"/>
  <c r="F15" i="10"/>
  <c r="C15" i="10"/>
  <c r="B15" i="10"/>
  <c r="A15" i="10"/>
  <c r="DR15" i="10" s="1"/>
  <c r="EV14" i="10"/>
  <c r="EU14" i="10"/>
  <c r="EQ14" i="10"/>
  <c r="EP14" i="10"/>
  <c r="EL14" i="10"/>
  <c r="EK14" i="10"/>
  <c r="EG14" i="10"/>
  <c r="EF14" i="10"/>
  <c r="EB14" i="10"/>
  <c r="EA14" i="10"/>
  <c r="DW14" i="10"/>
  <c r="DV14" i="10"/>
  <c r="DR14" i="10"/>
  <c r="DQ14" i="10"/>
  <c r="DL14" i="10"/>
  <c r="DH14" i="10"/>
  <c r="DG14" i="10"/>
  <c r="DC14" i="10"/>
  <c r="DB14" i="10"/>
  <c r="CX14" i="10"/>
  <c r="CW14" i="10"/>
  <c r="CU35" i="10" s="1"/>
  <c r="CS14" i="10"/>
  <c r="CR14" i="10"/>
  <c r="CN14" i="10"/>
  <c r="CM14" i="10"/>
  <c r="CI14" i="10"/>
  <c r="CH14" i="10"/>
  <c r="CD14" i="10"/>
  <c r="CC14" i="10"/>
  <c r="BX14" i="10"/>
  <c r="BT14" i="10"/>
  <c r="BS14" i="10"/>
  <c r="BO14" i="10"/>
  <c r="BN14" i="10"/>
  <c r="BJ14" i="10"/>
  <c r="BI14" i="10"/>
  <c r="BE14" i="10"/>
  <c r="BD14" i="10"/>
  <c r="AZ14" i="10"/>
  <c r="AY14" i="10"/>
  <c r="AU14" i="10"/>
  <c r="AT14" i="10"/>
  <c r="AP14" i="10"/>
  <c r="AO14" i="10"/>
  <c r="AJ14" i="10"/>
  <c r="AF14" i="10"/>
  <c r="AE14" i="10"/>
  <c r="AA14" i="10"/>
  <c r="Z14" i="10"/>
  <c r="V14" i="10"/>
  <c r="U14" i="10"/>
  <c r="Q14" i="10"/>
  <c r="P14" i="10"/>
  <c r="L14" i="10"/>
  <c r="K14" i="10"/>
  <c r="G14" i="10"/>
  <c r="F14" i="10"/>
  <c r="C14" i="10"/>
  <c r="B14" i="10"/>
  <c r="A14" i="10"/>
  <c r="DM14" i="10" s="1"/>
  <c r="EU13" i="10"/>
  <c r="EP13" i="10"/>
  <c r="EK13" i="10"/>
  <c r="EF13" i="10"/>
  <c r="EB13" i="10"/>
  <c r="EA13" i="10"/>
  <c r="DW13" i="10"/>
  <c r="DV13" i="10"/>
  <c r="DT35" i="10" s="1"/>
  <c r="DQ13" i="10"/>
  <c r="DL13" i="10"/>
  <c r="DG13" i="10"/>
  <c r="DB13" i="10"/>
  <c r="CW13" i="10"/>
  <c r="CR13" i="10"/>
  <c r="CM13" i="10"/>
  <c r="CI13" i="10"/>
  <c r="CH13" i="10"/>
  <c r="CD13" i="10"/>
  <c r="CC13" i="10"/>
  <c r="BX13" i="10"/>
  <c r="BT13" i="10"/>
  <c r="BS13" i="10"/>
  <c r="BN13" i="10"/>
  <c r="BI13" i="10"/>
  <c r="BD13" i="10"/>
  <c r="AY13" i="10"/>
  <c r="AT13" i="10"/>
  <c r="AP13" i="10"/>
  <c r="AO13" i="10"/>
  <c r="AJ13" i="10"/>
  <c r="AE13" i="10"/>
  <c r="AA13" i="10"/>
  <c r="Z13" i="10"/>
  <c r="U13" i="10"/>
  <c r="P13" i="10"/>
  <c r="K13" i="10"/>
  <c r="G13" i="10"/>
  <c r="F13" i="10"/>
  <c r="C13" i="10"/>
  <c r="B13" i="10"/>
  <c r="A13" i="10"/>
  <c r="CS13" i="10" s="1"/>
  <c r="EU12" i="10"/>
  <c r="EP12" i="10"/>
  <c r="EK12" i="10"/>
  <c r="EG12" i="10"/>
  <c r="EF12" i="10"/>
  <c r="EB12" i="10"/>
  <c r="EA12" i="10"/>
  <c r="DV12" i="10"/>
  <c r="DQ12" i="10"/>
  <c r="DM12" i="10"/>
  <c r="DL12" i="10"/>
  <c r="DG12" i="10"/>
  <c r="DB12" i="10"/>
  <c r="CW12" i="10"/>
  <c r="CS12" i="10"/>
  <c r="CR12" i="10"/>
  <c r="CM12" i="10"/>
  <c r="CH12" i="10"/>
  <c r="CD12" i="10"/>
  <c r="CC12" i="10"/>
  <c r="BX12" i="10"/>
  <c r="BS12" i="10"/>
  <c r="BO12" i="10"/>
  <c r="BN12" i="10"/>
  <c r="BI12" i="10"/>
  <c r="BD12" i="10"/>
  <c r="AZ12" i="10"/>
  <c r="AY12" i="10"/>
  <c r="AT12" i="10"/>
  <c r="AP12" i="10"/>
  <c r="AO12" i="10"/>
  <c r="AJ12" i="10"/>
  <c r="AE12" i="10"/>
  <c r="Z12" i="10"/>
  <c r="V12" i="10"/>
  <c r="U12" i="10"/>
  <c r="P12" i="10"/>
  <c r="K12" i="10"/>
  <c r="F12" i="10"/>
  <c r="C12" i="10"/>
  <c r="B12" i="10"/>
  <c r="A12" i="10"/>
  <c r="AU12" i="10" s="1"/>
  <c r="EV11" i="10"/>
  <c r="EU11" i="10"/>
  <c r="EQ11" i="10"/>
  <c r="EP11" i="10"/>
  <c r="EK11" i="10"/>
  <c r="EF11" i="10"/>
  <c r="EA11" i="10"/>
  <c r="DV11" i="10"/>
  <c r="DQ11" i="10"/>
  <c r="DM11" i="10"/>
  <c r="DL11" i="10"/>
  <c r="DH11" i="10"/>
  <c r="DG11" i="10"/>
  <c r="DC11" i="10"/>
  <c r="DB11" i="10"/>
  <c r="CX11" i="10"/>
  <c r="CW11" i="10"/>
  <c r="CR11" i="10"/>
  <c r="CM11" i="10"/>
  <c r="CI11" i="10"/>
  <c r="CH11" i="10"/>
  <c r="CD11" i="10"/>
  <c r="CC11" i="10"/>
  <c r="BX11" i="10"/>
  <c r="BT11" i="10"/>
  <c r="BS11" i="10"/>
  <c r="BO11" i="10"/>
  <c r="BN11" i="10"/>
  <c r="BJ11" i="10"/>
  <c r="BI11" i="10"/>
  <c r="BD11" i="10"/>
  <c r="AZ11" i="10"/>
  <c r="AY11" i="10"/>
  <c r="AT11" i="10"/>
  <c r="AP11" i="10"/>
  <c r="AO11" i="10"/>
  <c r="AJ11" i="10"/>
  <c r="AE11" i="10"/>
  <c r="AA11" i="10"/>
  <c r="Z11" i="10"/>
  <c r="V11" i="10"/>
  <c r="U11" i="10"/>
  <c r="P11" i="10"/>
  <c r="L11" i="10"/>
  <c r="K11" i="10"/>
  <c r="F11" i="10"/>
  <c r="C11" i="10"/>
  <c r="B11" i="10"/>
  <c r="A11" i="10"/>
  <c r="DW11" i="10" s="1"/>
  <c r="EU10" i="10"/>
  <c r="EP10" i="10"/>
  <c r="EK10" i="10"/>
  <c r="EF10" i="10"/>
  <c r="EA10" i="10"/>
  <c r="DV10" i="10"/>
  <c r="DQ10" i="10"/>
  <c r="DL10" i="10"/>
  <c r="DG10" i="10"/>
  <c r="DB10" i="10"/>
  <c r="CX10" i="10"/>
  <c r="CW10" i="10"/>
  <c r="CR10" i="10"/>
  <c r="CM10" i="10"/>
  <c r="CH10" i="10"/>
  <c r="CC10" i="10"/>
  <c r="BX10" i="10"/>
  <c r="BS10" i="10"/>
  <c r="BN10" i="10"/>
  <c r="BI10" i="10"/>
  <c r="BD10" i="10"/>
  <c r="AZ10" i="10"/>
  <c r="AY10" i="10"/>
  <c r="AT10" i="10"/>
  <c r="AO10" i="10"/>
  <c r="AJ10" i="10"/>
  <c r="AE10" i="10"/>
  <c r="Z10" i="10"/>
  <c r="U10" i="10"/>
  <c r="P10" i="10"/>
  <c r="K10" i="10"/>
  <c r="F10" i="10"/>
  <c r="C10" i="10"/>
  <c r="B10" i="10"/>
  <c r="A10" i="10"/>
  <c r="EU9" i="10"/>
  <c r="EQ9" i="10"/>
  <c r="EP9" i="10"/>
  <c r="EK9" i="10"/>
  <c r="EF9" i="10"/>
  <c r="EA9" i="10"/>
  <c r="DV9" i="10"/>
  <c r="DQ9" i="10"/>
  <c r="DL9" i="10"/>
  <c r="DG9" i="10"/>
  <c r="DB9" i="10"/>
  <c r="CX9" i="10"/>
  <c r="CW9" i="10"/>
  <c r="CR9" i="10"/>
  <c r="CM9" i="10"/>
  <c r="CH9" i="10"/>
  <c r="CD9" i="10"/>
  <c r="CC9" i="10"/>
  <c r="BX9" i="10"/>
  <c r="BS9" i="10"/>
  <c r="BN9" i="10"/>
  <c r="BI9" i="10"/>
  <c r="BD9" i="10"/>
  <c r="AY9" i="10"/>
  <c r="AU9" i="10"/>
  <c r="AT9" i="10"/>
  <c r="AP9" i="10"/>
  <c r="AO9" i="10"/>
  <c r="AJ9" i="10"/>
  <c r="AE9" i="10"/>
  <c r="AA9" i="10"/>
  <c r="Z9" i="10"/>
  <c r="U9" i="10"/>
  <c r="P9" i="10"/>
  <c r="K9" i="10"/>
  <c r="G9" i="10"/>
  <c r="F9" i="10"/>
  <c r="C9" i="10"/>
  <c r="B9" i="10"/>
  <c r="A9" i="10"/>
  <c r="EV8" i="10"/>
  <c r="EU8" i="10"/>
  <c r="EQ8" i="10"/>
  <c r="EP8" i="10"/>
  <c r="EK8" i="10"/>
  <c r="EG8" i="10"/>
  <c r="EF8" i="10"/>
  <c r="EB8" i="10"/>
  <c r="EA8" i="10"/>
  <c r="DW8" i="10"/>
  <c r="DV8" i="10"/>
  <c r="DR8" i="10"/>
  <c r="DQ8" i="10"/>
  <c r="DM8" i="10"/>
  <c r="DL8" i="10"/>
  <c r="DH8" i="10"/>
  <c r="DG8" i="10"/>
  <c r="DC8" i="10"/>
  <c r="DB8" i="10"/>
  <c r="CW8" i="10"/>
  <c r="CS8" i="10"/>
  <c r="CR8" i="10"/>
  <c r="CN8" i="10"/>
  <c r="CM8" i="10"/>
  <c r="CI8" i="10"/>
  <c r="CH8" i="10"/>
  <c r="CC8" i="10"/>
  <c r="BY8" i="10"/>
  <c r="BX8" i="10"/>
  <c r="BT8" i="10"/>
  <c r="BS8" i="10"/>
  <c r="BO8" i="10"/>
  <c r="BN8" i="10"/>
  <c r="BI8" i="10"/>
  <c r="BE8" i="10"/>
  <c r="BD8" i="10"/>
  <c r="AZ8" i="10"/>
  <c r="AY8" i="10"/>
  <c r="AU8" i="10"/>
  <c r="AT8" i="10"/>
  <c r="AP8" i="10"/>
  <c r="AO8" i="10"/>
  <c r="AK8" i="10"/>
  <c r="AJ8" i="10"/>
  <c r="AH35" i="10" s="1"/>
  <c r="AF8" i="10"/>
  <c r="AE8" i="10"/>
  <c r="AA8" i="10"/>
  <c r="Z8" i="10"/>
  <c r="X35" i="10" s="1"/>
  <c r="U8" i="10"/>
  <c r="Q8" i="10"/>
  <c r="P8" i="10"/>
  <c r="L8" i="10"/>
  <c r="K8" i="10"/>
  <c r="G8" i="10"/>
  <c r="F8" i="10"/>
  <c r="C8" i="10"/>
  <c r="B8" i="10"/>
  <c r="A8" i="10"/>
  <c r="EV7" i="10"/>
  <c r="EU7" i="10"/>
  <c r="ES35" i="10" s="1"/>
  <c r="EQ7" i="10"/>
  <c r="EP7" i="10"/>
  <c r="EL7" i="10"/>
  <c r="EK7" i="10"/>
  <c r="EG7" i="10"/>
  <c r="EF7" i="10"/>
  <c r="EB7" i="10"/>
  <c r="EA7" i="10"/>
  <c r="DV7" i="10"/>
  <c r="DR7" i="10"/>
  <c r="DQ7" i="10"/>
  <c r="DM7" i="10"/>
  <c r="DL7" i="10"/>
  <c r="DG7" i="10"/>
  <c r="DC7" i="10"/>
  <c r="DB7" i="10"/>
  <c r="CX7" i="10"/>
  <c r="CW7" i="10"/>
  <c r="CS7" i="10"/>
  <c r="CR7" i="10"/>
  <c r="CN7" i="10"/>
  <c r="CM7" i="10"/>
  <c r="CH7" i="10"/>
  <c r="CC7" i="10"/>
  <c r="BY7" i="10"/>
  <c r="BX7" i="10"/>
  <c r="BT7" i="10"/>
  <c r="BS7" i="10"/>
  <c r="BO7" i="10"/>
  <c r="BN7" i="10"/>
  <c r="BJ7" i="10"/>
  <c r="BI7" i="10"/>
  <c r="BE7" i="10"/>
  <c r="BD7" i="10"/>
  <c r="AZ7" i="10"/>
  <c r="AY7" i="10"/>
  <c r="AT7" i="10"/>
  <c r="AP7" i="10"/>
  <c r="AO7" i="10"/>
  <c r="AK7" i="10"/>
  <c r="AJ7" i="10"/>
  <c r="AF7" i="10"/>
  <c r="AE7" i="10"/>
  <c r="Z7" i="10"/>
  <c r="V7" i="10"/>
  <c r="U7" i="10"/>
  <c r="Q7" i="10"/>
  <c r="P7" i="10"/>
  <c r="L7" i="10"/>
  <c r="K7" i="10"/>
  <c r="F7" i="10"/>
  <c r="C7" i="10"/>
  <c r="B7" i="10"/>
  <c r="A7" i="10"/>
  <c r="DH7" i="10" s="1"/>
  <c r="EU6" i="10"/>
  <c r="EP6" i="10"/>
  <c r="EK6" i="10"/>
  <c r="EF6" i="10"/>
  <c r="EA6" i="10"/>
  <c r="DW6" i="10"/>
  <c r="DV6" i="10"/>
  <c r="DQ6" i="10"/>
  <c r="DL6" i="10"/>
  <c r="DG6" i="10"/>
  <c r="DB6" i="10"/>
  <c r="CW6" i="10"/>
  <c r="CR6" i="10"/>
  <c r="CN6" i="10"/>
  <c r="CM6" i="10"/>
  <c r="CH6" i="10"/>
  <c r="CD6" i="10"/>
  <c r="CC6" i="10"/>
  <c r="CA35" i="10" s="1"/>
  <c r="BY6" i="10"/>
  <c r="BX6" i="10"/>
  <c r="BS6" i="10"/>
  <c r="BN6" i="10"/>
  <c r="BI6" i="10"/>
  <c r="BD6" i="10"/>
  <c r="AY6" i="10"/>
  <c r="AT6" i="10"/>
  <c r="AO6" i="10"/>
  <c r="AJ6" i="10"/>
  <c r="AF6" i="10"/>
  <c r="AE6" i="10"/>
  <c r="Z6" i="10"/>
  <c r="U6" i="10"/>
  <c r="P6" i="10"/>
  <c r="K6" i="10"/>
  <c r="F6" i="10"/>
  <c r="C6" i="10"/>
  <c r="B6" i="10"/>
  <c r="A6" i="10"/>
  <c r="DC6" i="10" s="1"/>
  <c r="EU5" i="10"/>
  <c r="EP5" i="10"/>
  <c r="EK5" i="10"/>
  <c r="EF5" i="10"/>
  <c r="EB5" i="10"/>
  <c r="EA5" i="10"/>
  <c r="DV5" i="10"/>
  <c r="DQ5" i="10"/>
  <c r="DL5" i="10"/>
  <c r="DH5" i="10"/>
  <c r="DG5" i="10"/>
  <c r="DB5" i="10"/>
  <c r="CW5" i="10"/>
  <c r="CR5" i="10"/>
  <c r="CN5" i="10"/>
  <c r="CM5" i="10"/>
  <c r="CH5" i="10"/>
  <c r="CC5" i="10"/>
  <c r="BY5" i="10"/>
  <c r="BX5" i="10"/>
  <c r="BS5" i="10"/>
  <c r="BN5" i="10"/>
  <c r="BJ5" i="10"/>
  <c r="BI5" i="10"/>
  <c r="BD5" i="10"/>
  <c r="AZ5" i="10"/>
  <c r="AY5" i="10"/>
  <c r="AT5" i="10"/>
  <c r="AO5" i="10"/>
  <c r="AJ5" i="10"/>
  <c r="AE5" i="10"/>
  <c r="Z5" i="10"/>
  <c r="U5" i="10"/>
  <c r="Q5" i="10"/>
  <c r="P5" i="10"/>
  <c r="K5" i="10"/>
  <c r="G5" i="10"/>
  <c r="F5" i="10"/>
  <c r="C5" i="10"/>
  <c r="B5" i="10"/>
  <c r="A5" i="10"/>
  <c r="CX5" i="10" s="1"/>
  <c r="EV4" i="10"/>
  <c r="EU4" i="10"/>
  <c r="EQ4" i="10"/>
  <c r="EP4" i="10"/>
  <c r="EN35" i="10" s="1"/>
  <c r="EK4" i="10"/>
  <c r="EG4" i="10"/>
  <c r="EF4" i="10"/>
  <c r="EA4" i="10"/>
  <c r="DV4" i="10"/>
  <c r="DQ4" i="10"/>
  <c r="DL4" i="10"/>
  <c r="DH4" i="10"/>
  <c r="DG4" i="10"/>
  <c r="DC4" i="10"/>
  <c r="DB4" i="10"/>
  <c r="CZ35" i="10" s="1"/>
  <c r="CX4" i="10"/>
  <c r="CW4" i="10"/>
  <c r="CS4" i="10"/>
  <c r="CR4" i="10"/>
  <c r="CM4" i="10"/>
  <c r="CH4" i="10"/>
  <c r="CD4" i="10"/>
  <c r="CC4" i="10"/>
  <c r="BX4" i="10"/>
  <c r="BT4" i="10"/>
  <c r="BS4" i="10"/>
  <c r="BO4" i="10"/>
  <c r="BN4" i="10"/>
  <c r="BL35" i="10" s="1"/>
  <c r="BJ4" i="10"/>
  <c r="BI4" i="10"/>
  <c r="BG35" i="10" s="1"/>
  <c r="BE4" i="10"/>
  <c r="BD4" i="10"/>
  <c r="AY4" i="10"/>
  <c r="AT4" i="10"/>
  <c r="AO4" i="10"/>
  <c r="AK4" i="10"/>
  <c r="AJ4" i="10"/>
  <c r="AE4" i="10"/>
  <c r="Z4" i="10"/>
  <c r="V4" i="10"/>
  <c r="U4" i="10"/>
  <c r="S35" i="10" s="1"/>
  <c r="Q4" i="10"/>
  <c r="P4" i="10"/>
  <c r="K4" i="10"/>
  <c r="I35" i="10" s="1"/>
  <c r="G4" i="10"/>
  <c r="F4" i="10"/>
  <c r="C4" i="10"/>
  <c r="B4" i="10"/>
  <c r="A4" i="10"/>
  <c r="BY4" i="10" s="1"/>
  <c r="ES2" i="10"/>
  <c r="EN2" i="10"/>
  <c r="EI2" i="10"/>
  <c r="ED2" i="10"/>
  <c r="DY2" i="10"/>
  <c r="DT2" i="10"/>
  <c r="DO2" i="10"/>
  <c r="DJ2" i="10"/>
  <c r="DE2" i="10"/>
  <c r="CZ2" i="10"/>
  <c r="CU2" i="10"/>
  <c r="CP2" i="10"/>
  <c r="CK2" i="10"/>
  <c r="CF2" i="10"/>
  <c r="CA2" i="10"/>
  <c r="BV2" i="10"/>
  <c r="BQ2" i="10"/>
  <c r="BL2" i="10"/>
  <c r="BG2" i="10"/>
  <c r="BB2" i="10"/>
  <c r="AW2" i="10"/>
  <c r="AR2" i="10"/>
  <c r="AM2" i="10"/>
  <c r="AH2" i="10"/>
  <c r="AC2" i="10"/>
  <c r="X2" i="10"/>
  <c r="S2" i="10"/>
  <c r="N2" i="10"/>
  <c r="I2" i="10"/>
  <c r="D2" i="10"/>
  <c r="A1" i="10"/>
  <c r="ES40" i="9"/>
  <c r="EN40" i="9"/>
  <c r="EI40" i="9"/>
  <c r="ED40" i="9"/>
  <c r="DY40" i="9"/>
  <c r="DT40" i="9"/>
  <c r="DO40" i="9"/>
  <c r="DJ40" i="9"/>
  <c r="DE40" i="9"/>
  <c r="CZ40" i="9"/>
  <c r="CU40" i="9"/>
  <c r="CP40" i="9"/>
  <c r="CK40" i="9"/>
  <c r="CF40" i="9"/>
  <c r="CA40" i="9"/>
  <c r="BV40" i="9"/>
  <c r="BQ40" i="9"/>
  <c r="BL40" i="9"/>
  <c r="BG40" i="9"/>
  <c r="BB40" i="9"/>
  <c r="AW40" i="9"/>
  <c r="AR40" i="9"/>
  <c r="AM40" i="9"/>
  <c r="AH40" i="9"/>
  <c r="AC40" i="9"/>
  <c r="X40" i="9"/>
  <c r="S40" i="9"/>
  <c r="N40" i="9"/>
  <c r="I40" i="9"/>
  <c r="D40" i="9"/>
  <c r="ES39" i="9"/>
  <c r="EN39" i="9"/>
  <c r="EI39" i="9"/>
  <c r="ED39" i="9"/>
  <c r="DY39" i="9"/>
  <c r="DT39" i="9"/>
  <c r="DO39" i="9"/>
  <c r="DJ39" i="9"/>
  <c r="DE39" i="9"/>
  <c r="CZ39" i="9"/>
  <c r="CU39" i="9"/>
  <c r="CP39" i="9"/>
  <c r="CK39" i="9"/>
  <c r="CF39" i="9"/>
  <c r="CA39" i="9"/>
  <c r="BV39" i="9"/>
  <c r="BQ39" i="9"/>
  <c r="BL39" i="9"/>
  <c r="BG39" i="9"/>
  <c r="BB39" i="9"/>
  <c r="AW39" i="9"/>
  <c r="AR39" i="9"/>
  <c r="AM39" i="9"/>
  <c r="AH39" i="9"/>
  <c r="AC39" i="9"/>
  <c r="X39" i="9"/>
  <c r="S39" i="9"/>
  <c r="N39" i="9"/>
  <c r="I39" i="9"/>
  <c r="D39" i="9"/>
  <c r="ES38" i="9"/>
  <c r="EN38" i="9"/>
  <c r="EI38" i="9"/>
  <c r="ED38" i="9"/>
  <c r="DY38" i="9"/>
  <c r="DT38" i="9"/>
  <c r="DO38" i="9"/>
  <c r="DJ38" i="9"/>
  <c r="DE38" i="9"/>
  <c r="CZ38" i="9"/>
  <c r="CU38" i="9"/>
  <c r="CP38" i="9"/>
  <c r="CK38" i="9"/>
  <c r="CF38" i="9"/>
  <c r="CA38" i="9"/>
  <c r="BV38" i="9"/>
  <c r="BQ38" i="9"/>
  <c r="BL38" i="9"/>
  <c r="BG38" i="9"/>
  <c r="BB38" i="9"/>
  <c r="AW38" i="9"/>
  <c r="AR38" i="9"/>
  <c r="AM38" i="9"/>
  <c r="AH38" i="9"/>
  <c r="AC38" i="9"/>
  <c r="X38" i="9"/>
  <c r="S38" i="9"/>
  <c r="N38" i="9"/>
  <c r="I38" i="9"/>
  <c r="D38" i="9"/>
  <c r="S35" i="9"/>
  <c r="I35" i="9"/>
  <c r="EU34" i="9"/>
  <c r="EP34" i="9"/>
  <c r="EK34" i="9"/>
  <c r="EF34" i="9"/>
  <c r="EA34" i="9"/>
  <c r="DV34" i="9"/>
  <c r="DQ34" i="9"/>
  <c r="DL34" i="9"/>
  <c r="DG34" i="9"/>
  <c r="DC34" i="9"/>
  <c r="DB34" i="9"/>
  <c r="CW34" i="9"/>
  <c r="CR34" i="9"/>
  <c r="CM34" i="9"/>
  <c r="CH34" i="9"/>
  <c r="CC34" i="9"/>
  <c r="BX34" i="9"/>
  <c r="BS34" i="9"/>
  <c r="BN34" i="9"/>
  <c r="BI34" i="9"/>
  <c r="BD34" i="9"/>
  <c r="AY34" i="9"/>
  <c r="AT34" i="9"/>
  <c r="AO34" i="9"/>
  <c r="AJ34" i="9"/>
  <c r="AE34" i="9"/>
  <c r="Z34" i="9"/>
  <c r="U34" i="9"/>
  <c r="P34" i="9"/>
  <c r="K34" i="9"/>
  <c r="F34" i="9"/>
  <c r="C34" i="9"/>
  <c r="B34" i="9"/>
  <c r="A34" i="9"/>
  <c r="BT34" i="9" s="1"/>
  <c r="EV33" i="9"/>
  <c r="EU33" i="9"/>
  <c r="EP33" i="9"/>
  <c r="EK33" i="9"/>
  <c r="EF33" i="9"/>
  <c r="EB33" i="9"/>
  <c r="EA33" i="9"/>
  <c r="DW33" i="9"/>
  <c r="DV33" i="9"/>
  <c r="DR33" i="9"/>
  <c r="DQ33" i="9"/>
  <c r="DL33" i="9"/>
  <c r="DH33" i="9"/>
  <c r="DG33" i="9"/>
  <c r="DB33" i="9"/>
  <c r="CW33" i="9"/>
  <c r="CS33" i="9"/>
  <c r="CR33" i="9"/>
  <c r="CN33" i="9"/>
  <c r="CM33" i="9"/>
  <c r="CI33" i="9"/>
  <c r="CH33" i="9"/>
  <c r="CD33" i="9"/>
  <c r="CC33" i="9"/>
  <c r="BX33" i="9"/>
  <c r="BT33" i="9"/>
  <c r="BS33" i="9"/>
  <c r="BO33" i="9"/>
  <c r="BN33" i="9"/>
  <c r="BI33" i="9"/>
  <c r="BE33" i="9"/>
  <c r="BD33" i="9"/>
  <c r="AZ33" i="9"/>
  <c r="AY33" i="9"/>
  <c r="AU33" i="9"/>
  <c r="AT33" i="9"/>
  <c r="AP33" i="9"/>
  <c r="AO33" i="9"/>
  <c r="AK33" i="9"/>
  <c r="AJ33" i="9"/>
  <c r="AE33" i="9"/>
  <c r="AA33" i="9"/>
  <c r="Z33" i="9"/>
  <c r="U33" i="9"/>
  <c r="P33" i="9"/>
  <c r="L33" i="9"/>
  <c r="K33" i="9"/>
  <c r="G33" i="9"/>
  <c r="F33" i="9"/>
  <c r="C33" i="9"/>
  <c r="B33" i="9"/>
  <c r="A33" i="9"/>
  <c r="EV32" i="9"/>
  <c r="EU32" i="9"/>
  <c r="EQ32" i="9"/>
  <c r="EP32" i="9"/>
  <c r="EL32" i="9"/>
  <c r="EK32" i="9"/>
  <c r="EF32" i="9"/>
  <c r="EB32" i="9"/>
  <c r="EA32" i="9"/>
  <c r="DV32" i="9"/>
  <c r="DR32" i="9"/>
  <c r="DQ32" i="9"/>
  <c r="DM32" i="9"/>
  <c r="DL32" i="9"/>
  <c r="DH32" i="9"/>
  <c r="DG32" i="9"/>
  <c r="DC32" i="9"/>
  <c r="DB32" i="9"/>
  <c r="CX32" i="9"/>
  <c r="CW32" i="9"/>
  <c r="CR32" i="9"/>
  <c r="CN32" i="9"/>
  <c r="CM32" i="9"/>
  <c r="CH32" i="9"/>
  <c r="CD32" i="9"/>
  <c r="CC32" i="9"/>
  <c r="BY32" i="9"/>
  <c r="BX32" i="9"/>
  <c r="BT32" i="9"/>
  <c r="BS32" i="9"/>
  <c r="BO32" i="9"/>
  <c r="BN32" i="9"/>
  <c r="BJ32" i="9"/>
  <c r="BI32" i="9"/>
  <c r="BD32" i="9"/>
  <c r="AZ32" i="9"/>
  <c r="AY32" i="9"/>
  <c r="AT32" i="9"/>
  <c r="AO32" i="9"/>
  <c r="AK32" i="9"/>
  <c r="AJ32" i="9"/>
  <c r="AF32" i="9"/>
  <c r="AE32" i="9"/>
  <c r="AA32" i="9"/>
  <c r="Z32" i="9"/>
  <c r="V32" i="9"/>
  <c r="U32" i="9"/>
  <c r="P32" i="9"/>
  <c r="L32" i="9"/>
  <c r="K32" i="9"/>
  <c r="F32" i="9"/>
  <c r="C32" i="9"/>
  <c r="B32" i="9"/>
  <c r="A32" i="9"/>
  <c r="EV31" i="9"/>
  <c r="EU31" i="9"/>
  <c r="EQ31" i="9"/>
  <c r="EP31" i="9"/>
  <c r="EL31" i="9"/>
  <c r="EK31" i="9"/>
  <c r="EF31" i="9"/>
  <c r="EB31" i="9"/>
  <c r="EA31" i="9"/>
  <c r="DW31" i="9"/>
  <c r="DV31" i="9"/>
  <c r="DR31" i="9"/>
  <c r="DQ31" i="9"/>
  <c r="DM31" i="9"/>
  <c r="DL31" i="9"/>
  <c r="DG31" i="9"/>
  <c r="DC31" i="9"/>
  <c r="DB31" i="9"/>
  <c r="CX31" i="9"/>
  <c r="CW31" i="9"/>
  <c r="CR31" i="9"/>
  <c r="CN31" i="9"/>
  <c r="CM31" i="9"/>
  <c r="CI31" i="9"/>
  <c r="CH31" i="9"/>
  <c r="CC31" i="9"/>
  <c r="BY31" i="9"/>
  <c r="BX31" i="9"/>
  <c r="BT31" i="9"/>
  <c r="BS31" i="9"/>
  <c r="BO31" i="9"/>
  <c r="BN31" i="9"/>
  <c r="BJ31" i="9"/>
  <c r="BI31" i="9"/>
  <c r="BD31" i="9"/>
  <c r="AZ31" i="9"/>
  <c r="AY31" i="9"/>
  <c r="AU31" i="9"/>
  <c r="AT31" i="9"/>
  <c r="AP31" i="9"/>
  <c r="AO31" i="9"/>
  <c r="AK31" i="9"/>
  <c r="AJ31" i="9"/>
  <c r="AF31" i="9"/>
  <c r="AE31" i="9"/>
  <c r="Z31" i="9"/>
  <c r="V31" i="9"/>
  <c r="U31" i="9"/>
  <c r="P31" i="9"/>
  <c r="L31" i="9"/>
  <c r="K31" i="9"/>
  <c r="G31" i="9"/>
  <c r="F31" i="9"/>
  <c r="C31" i="9"/>
  <c r="B31" i="9"/>
  <c r="A31" i="9"/>
  <c r="DH31" i="9" s="1"/>
  <c r="EU30" i="9"/>
  <c r="EP30" i="9"/>
  <c r="EK30" i="9"/>
  <c r="EG30" i="9"/>
  <c r="EF30" i="9"/>
  <c r="EA30" i="9"/>
  <c r="DW30" i="9"/>
  <c r="DV30" i="9"/>
  <c r="DQ30" i="9"/>
  <c r="DM30" i="9"/>
  <c r="DL30" i="9"/>
  <c r="DH30" i="9"/>
  <c r="DG30" i="9"/>
  <c r="DB30" i="9"/>
  <c r="CX30" i="9"/>
  <c r="CW30" i="9"/>
  <c r="CR30" i="9"/>
  <c r="CM30" i="9"/>
  <c r="CI30" i="9"/>
  <c r="CH30" i="9"/>
  <c r="CC30" i="9"/>
  <c r="BY30" i="9"/>
  <c r="BX30" i="9"/>
  <c r="BT30" i="9"/>
  <c r="BS30" i="9"/>
  <c r="BO30" i="9"/>
  <c r="BN30" i="9"/>
  <c r="BI30" i="9"/>
  <c r="BE30" i="9"/>
  <c r="BD30" i="9"/>
  <c r="AY30" i="9"/>
  <c r="AT30" i="9"/>
  <c r="AO30" i="9"/>
  <c r="AK30" i="9"/>
  <c r="AJ30" i="9"/>
  <c r="AF30" i="9"/>
  <c r="AE30" i="9"/>
  <c r="AA30" i="9"/>
  <c r="Z30" i="9"/>
  <c r="V30" i="9"/>
  <c r="U30" i="9"/>
  <c r="P30" i="9"/>
  <c r="K30" i="9"/>
  <c r="G30" i="9"/>
  <c r="F30" i="9"/>
  <c r="C30" i="9"/>
  <c r="B30" i="9"/>
  <c r="A30" i="9"/>
  <c r="EQ30" i="9" s="1"/>
  <c r="EU29" i="9"/>
  <c r="EQ29" i="9"/>
  <c r="EP29" i="9"/>
  <c r="EL29" i="9"/>
  <c r="EK29" i="9"/>
  <c r="EG29" i="9"/>
  <c r="EF29" i="9"/>
  <c r="EA29" i="9"/>
  <c r="DW29" i="9"/>
  <c r="DV29" i="9"/>
  <c r="DR29" i="9"/>
  <c r="DQ29" i="9"/>
  <c r="DL29" i="9"/>
  <c r="DH29" i="9"/>
  <c r="DG29" i="9"/>
  <c r="DB29" i="9"/>
  <c r="CX29" i="9"/>
  <c r="CW29" i="9"/>
  <c r="CS29" i="9"/>
  <c r="CR29" i="9"/>
  <c r="CM29" i="9"/>
  <c r="CH29" i="9"/>
  <c r="CD29" i="9"/>
  <c r="CC29" i="9"/>
  <c r="BX29" i="9"/>
  <c r="BT29" i="9"/>
  <c r="BS29" i="9"/>
  <c r="BO29" i="9"/>
  <c r="BN29" i="9"/>
  <c r="BI29" i="9"/>
  <c r="BE29" i="9"/>
  <c r="BD29" i="9"/>
  <c r="AY29" i="9"/>
  <c r="AT29" i="9"/>
  <c r="AO29" i="9"/>
  <c r="AK29" i="9"/>
  <c r="AJ29" i="9"/>
  <c r="AE29" i="9"/>
  <c r="AA29" i="9"/>
  <c r="Z29" i="9"/>
  <c r="V29" i="9"/>
  <c r="U29" i="9"/>
  <c r="Q29" i="9"/>
  <c r="P29" i="9"/>
  <c r="K29" i="9"/>
  <c r="G29" i="9"/>
  <c r="F29" i="9"/>
  <c r="C29" i="9"/>
  <c r="B29" i="9"/>
  <c r="A29" i="9"/>
  <c r="EV28" i="9"/>
  <c r="EU28" i="9"/>
  <c r="EQ28" i="9"/>
  <c r="EP28" i="9"/>
  <c r="EL28" i="9"/>
  <c r="EK28" i="9"/>
  <c r="EG28" i="9"/>
  <c r="EF28" i="9"/>
  <c r="EB28" i="9"/>
  <c r="EA28" i="9"/>
  <c r="DW28" i="9"/>
  <c r="DV28" i="9"/>
  <c r="DR28" i="9"/>
  <c r="DQ28" i="9"/>
  <c r="DL28" i="9"/>
  <c r="DH28" i="9"/>
  <c r="DG28" i="9"/>
  <c r="DC28" i="9"/>
  <c r="DB28" i="9"/>
  <c r="CX28" i="9"/>
  <c r="CW28" i="9"/>
  <c r="CS28" i="9"/>
  <c r="CR28" i="9"/>
  <c r="CN28" i="9"/>
  <c r="CM28" i="9"/>
  <c r="CI28" i="9"/>
  <c r="CH28" i="9"/>
  <c r="CD28" i="9"/>
  <c r="CC28" i="9"/>
  <c r="BX28" i="9"/>
  <c r="BT28" i="9"/>
  <c r="BS28" i="9"/>
  <c r="BO28" i="9"/>
  <c r="BN28" i="9"/>
  <c r="BJ28" i="9"/>
  <c r="BI28" i="9"/>
  <c r="BE28" i="9"/>
  <c r="BD28" i="9"/>
  <c r="AZ28" i="9"/>
  <c r="AY28" i="9"/>
  <c r="AU28" i="9"/>
  <c r="AT28" i="9"/>
  <c r="AP28" i="9"/>
  <c r="AO28" i="9"/>
  <c r="AJ28" i="9"/>
  <c r="AF28" i="9"/>
  <c r="AE28" i="9"/>
  <c r="AA28" i="9"/>
  <c r="Z28" i="9"/>
  <c r="V28" i="9"/>
  <c r="U28" i="9"/>
  <c r="Q28" i="9"/>
  <c r="P28" i="9"/>
  <c r="L28" i="9"/>
  <c r="K28" i="9"/>
  <c r="G28" i="9"/>
  <c r="F28" i="9"/>
  <c r="C28" i="9"/>
  <c r="B28" i="9"/>
  <c r="A28" i="9"/>
  <c r="DM28" i="9" s="1"/>
  <c r="EU27" i="9"/>
  <c r="EQ27" i="9"/>
  <c r="EP27" i="9"/>
  <c r="EK27" i="9"/>
  <c r="EF27" i="9"/>
  <c r="EB27" i="9"/>
  <c r="EA27" i="9"/>
  <c r="DV27" i="9"/>
  <c r="DR27" i="9"/>
  <c r="DQ27" i="9"/>
  <c r="DM27" i="9"/>
  <c r="DL27" i="9"/>
  <c r="DG27" i="9"/>
  <c r="DB27" i="9"/>
  <c r="CX27" i="9"/>
  <c r="CW27" i="9"/>
  <c r="CR27" i="9"/>
  <c r="CM27" i="9"/>
  <c r="CH27" i="9"/>
  <c r="CD27" i="9"/>
  <c r="CC27" i="9"/>
  <c r="BY27" i="9"/>
  <c r="BX27" i="9"/>
  <c r="BT27" i="9"/>
  <c r="BS27" i="9"/>
  <c r="BN27" i="9"/>
  <c r="BI27" i="9"/>
  <c r="BE27" i="9"/>
  <c r="BD27" i="9"/>
  <c r="AY27" i="9"/>
  <c r="AT27" i="9"/>
  <c r="AO27" i="9"/>
  <c r="AK27" i="9"/>
  <c r="AJ27" i="9"/>
  <c r="AF27" i="9"/>
  <c r="AE27" i="9"/>
  <c r="AA27" i="9"/>
  <c r="Z27" i="9"/>
  <c r="U27" i="9"/>
  <c r="Q27" i="9"/>
  <c r="P27" i="9"/>
  <c r="K27" i="9"/>
  <c r="F27" i="9"/>
  <c r="C27" i="9"/>
  <c r="B27" i="9"/>
  <c r="A27" i="9"/>
  <c r="EL27" i="9" s="1"/>
  <c r="EU26" i="9"/>
  <c r="EQ26" i="9"/>
  <c r="EP26" i="9"/>
  <c r="EL26" i="9"/>
  <c r="EK26" i="9"/>
  <c r="EF26" i="9"/>
  <c r="EA26" i="9"/>
  <c r="DV26" i="9"/>
  <c r="DQ26" i="9"/>
  <c r="DL26" i="9"/>
  <c r="DG26" i="9"/>
  <c r="DB26" i="9"/>
  <c r="CW26" i="9"/>
  <c r="CS26" i="9"/>
  <c r="CR26" i="9"/>
  <c r="CM26" i="9"/>
  <c r="CI26" i="9"/>
  <c r="CH26" i="9"/>
  <c r="CC26" i="9"/>
  <c r="BX26" i="9"/>
  <c r="BS26" i="9"/>
  <c r="BN26" i="9"/>
  <c r="BI26" i="9"/>
  <c r="BD26" i="9"/>
  <c r="AY26" i="9"/>
  <c r="AT26" i="9"/>
  <c r="AO26" i="9"/>
  <c r="AK26" i="9"/>
  <c r="AJ26" i="9"/>
  <c r="AE26" i="9"/>
  <c r="Z26" i="9"/>
  <c r="U26" i="9"/>
  <c r="P26" i="9"/>
  <c r="K26" i="9"/>
  <c r="F26" i="9"/>
  <c r="C26" i="9"/>
  <c r="B26" i="9"/>
  <c r="A26" i="9"/>
  <c r="EU25" i="9"/>
  <c r="EP25" i="9"/>
  <c r="EL25" i="9"/>
  <c r="EK25" i="9"/>
  <c r="EG25" i="9"/>
  <c r="EF25" i="9"/>
  <c r="EA25" i="9"/>
  <c r="DV25" i="9"/>
  <c r="DQ25" i="9"/>
  <c r="DL25" i="9"/>
  <c r="DG25" i="9"/>
  <c r="DB25" i="9"/>
  <c r="CW25" i="9"/>
  <c r="CR25" i="9"/>
  <c r="CN25" i="9"/>
  <c r="CM25" i="9"/>
  <c r="CI25" i="9"/>
  <c r="CH25" i="9"/>
  <c r="CC25" i="9"/>
  <c r="BX25" i="9"/>
  <c r="BS25" i="9"/>
  <c r="BN25" i="9"/>
  <c r="BI25" i="9"/>
  <c r="BD25" i="9"/>
  <c r="AY25" i="9"/>
  <c r="AT25" i="9"/>
  <c r="AO25" i="9"/>
  <c r="AK25" i="9"/>
  <c r="AJ25" i="9"/>
  <c r="AE25" i="9"/>
  <c r="Z25" i="9"/>
  <c r="U25" i="9"/>
  <c r="P25" i="9"/>
  <c r="K25" i="9"/>
  <c r="F25" i="9"/>
  <c r="C25" i="9"/>
  <c r="B25" i="9"/>
  <c r="A25" i="9"/>
  <c r="BY25" i="9" s="1"/>
  <c r="EV24" i="9"/>
  <c r="EU24" i="9"/>
  <c r="EP24" i="9"/>
  <c r="EL24" i="9"/>
  <c r="EK24" i="9"/>
  <c r="EG24" i="9"/>
  <c r="EF24" i="9"/>
  <c r="EB24" i="9"/>
  <c r="EA24" i="9"/>
  <c r="DW24" i="9"/>
  <c r="DV24" i="9"/>
  <c r="DR24" i="9"/>
  <c r="DQ24" i="9"/>
  <c r="DL24" i="9"/>
  <c r="DH24" i="9"/>
  <c r="DG24" i="9"/>
  <c r="DB24" i="9"/>
  <c r="CX24" i="9"/>
  <c r="CW24" i="9"/>
  <c r="CS24" i="9"/>
  <c r="CR24" i="9"/>
  <c r="CN24" i="9"/>
  <c r="CM24" i="9"/>
  <c r="CI24" i="9"/>
  <c r="CH24" i="9"/>
  <c r="CD24" i="9"/>
  <c r="CC24" i="9"/>
  <c r="BX24" i="9"/>
  <c r="BT24" i="9"/>
  <c r="BS24" i="9"/>
  <c r="BN24" i="9"/>
  <c r="BJ24" i="9"/>
  <c r="BI24" i="9"/>
  <c r="BE24" i="9"/>
  <c r="BD24" i="9"/>
  <c r="AZ24" i="9"/>
  <c r="AY24" i="9"/>
  <c r="AU24" i="9"/>
  <c r="AT24" i="9"/>
  <c r="AP24" i="9"/>
  <c r="AO24" i="9"/>
  <c r="AJ24" i="9"/>
  <c r="AF24" i="9"/>
  <c r="AE24" i="9"/>
  <c r="Z24" i="9"/>
  <c r="V24" i="9"/>
  <c r="U24" i="9"/>
  <c r="Q24" i="9"/>
  <c r="P24" i="9"/>
  <c r="L24" i="9"/>
  <c r="K24" i="9"/>
  <c r="G24" i="9"/>
  <c r="F24" i="9"/>
  <c r="C24" i="9"/>
  <c r="B24" i="9"/>
  <c r="A24" i="9"/>
  <c r="DM24" i="9" s="1"/>
  <c r="EV23" i="9"/>
  <c r="EU23" i="9"/>
  <c r="EQ23" i="9"/>
  <c r="EP23" i="9"/>
  <c r="EL23" i="9"/>
  <c r="EK23" i="9"/>
  <c r="EG23" i="9"/>
  <c r="EF23" i="9"/>
  <c r="EB23" i="9"/>
  <c r="EA23" i="9"/>
  <c r="DW23" i="9"/>
  <c r="DV23" i="9"/>
  <c r="DR23" i="9"/>
  <c r="DQ23" i="9"/>
  <c r="DL23" i="9"/>
  <c r="DH23" i="9"/>
  <c r="DG23" i="9"/>
  <c r="DC23" i="9"/>
  <c r="DB23" i="9"/>
  <c r="CX23" i="9"/>
  <c r="CW23" i="9"/>
  <c r="CS23" i="9"/>
  <c r="CR23" i="9"/>
  <c r="CN23" i="9"/>
  <c r="CM23" i="9"/>
  <c r="CI23" i="9"/>
  <c r="CH23" i="9"/>
  <c r="CD23" i="9"/>
  <c r="CC23" i="9"/>
  <c r="BX23" i="9"/>
  <c r="BT23" i="9"/>
  <c r="BS23" i="9"/>
  <c r="BO23" i="9"/>
  <c r="BN23" i="9"/>
  <c r="BJ23" i="9"/>
  <c r="BI23" i="9"/>
  <c r="BE23" i="9"/>
  <c r="BD23" i="9"/>
  <c r="AZ23" i="9"/>
  <c r="AY23" i="9"/>
  <c r="AU23" i="9"/>
  <c r="AT23" i="9"/>
  <c r="AP23" i="9"/>
  <c r="AO23" i="9"/>
  <c r="AJ23" i="9"/>
  <c r="AF23" i="9"/>
  <c r="AE23" i="9"/>
  <c r="AA23" i="9"/>
  <c r="Z23" i="9"/>
  <c r="V23" i="9"/>
  <c r="U23" i="9"/>
  <c r="Q23" i="9"/>
  <c r="P23" i="9"/>
  <c r="L23" i="9"/>
  <c r="K23" i="9"/>
  <c r="G23" i="9"/>
  <c r="F23" i="9"/>
  <c r="C23" i="9"/>
  <c r="B23" i="9"/>
  <c r="A23" i="9"/>
  <c r="DM23" i="9" s="1"/>
  <c r="EU22" i="9"/>
  <c r="EP22" i="9"/>
  <c r="EK22" i="9"/>
  <c r="EF22" i="9"/>
  <c r="EA22" i="9"/>
  <c r="DV22" i="9"/>
  <c r="DQ22" i="9"/>
  <c r="DL22" i="9"/>
  <c r="DG22" i="9"/>
  <c r="DB22" i="9"/>
  <c r="CW22" i="9"/>
  <c r="CR22" i="9"/>
  <c r="CM22" i="9"/>
  <c r="CH22" i="9"/>
  <c r="CC22" i="9"/>
  <c r="BX22" i="9"/>
  <c r="BS22" i="9"/>
  <c r="BN22" i="9"/>
  <c r="BI22" i="9"/>
  <c r="BD22" i="9"/>
  <c r="AY22" i="9"/>
  <c r="AU22" i="9"/>
  <c r="AT22" i="9"/>
  <c r="AO22" i="9"/>
  <c r="AJ22" i="9"/>
  <c r="AE22" i="9"/>
  <c r="Z22" i="9"/>
  <c r="U22" i="9"/>
  <c r="P22" i="9"/>
  <c r="K22" i="9"/>
  <c r="F22" i="9"/>
  <c r="C22" i="9"/>
  <c r="B22" i="9"/>
  <c r="A22" i="9"/>
  <c r="BY22" i="9" s="1"/>
  <c r="EU21" i="9"/>
  <c r="EP21" i="9"/>
  <c r="EL21" i="9"/>
  <c r="EK21" i="9"/>
  <c r="EF21" i="9"/>
  <c r="EA21" i="9"/>
  <c r="DV21" i="9"/>
  <c r="DQ21" i="9"/>
  <c r="DL21" i="9"/>
  <c r="DG21" i="9"/>
  <c r="DB21" i="9"/>
  <c r="CX21" i="9"/>
  <c r="CW21" i="9"/>
  <c r="CR21" i="9"/>
  <c r="CM21" i="9"/>
  <c r="CH21" i="9"/>
  <c r="CC21" i="9"/>
  <c r="BX21" i="9"/>
  <c r="BS21" i="9"/>
  <c r="BN21" i="9"/>
  <c r="BI21" i="9"/>
  <c r="BD21" i="9"/>
  <c r="AY21" i="9"/>
  <c r="AT21" i="9"/>
  <c r="AP21" i="9"/>
  <c r="AO21" i="9"/>
  <c r="AJ21" i="9"/>
  <c r="AE21" i="9"/>
  <c r="Z21" i="9"/>
  <c r="U21" i="9"/>
  <c r="P21" i="9"/>
  <c r="K21" i="9"/>
  <c r="F21" i="9"/>
  <c r="C21" i="9"/>
  <c r="B21" i="9"/>
  <c r="A21" i="9"/>
  <c r="BE21" i="9" s="1"/>
  <c r="EU20" i="9"/>
  <c r="EP20" i="9"/>
  <c r="EL20" i="9"/>
  <c r="EK20" i="9"/>
  <c r="EF20" i="9"/>
  <c r="EA20" i="9"/>
  <c r="DV20" i="9"/>
  <c r="DQ20" i="9"/>
  <c r="DL20" i="9"/>
  <c r="DG20" i="9"/>
  <c r="DB20" i="9"/>
  <c r="CW20" i="9"/>
  <c r="CR20" i="9"/>
  <c r="CN20" i="9"/>
  <c r="CM20" i="9"/>
  <c r="CI20" i="9"/>
  <c r="CH20" i="9"/>
  <c r="CC20" i="9"/>
  <c r="BX20" i="9"/>
  <c r="BS20" i="9"/>
  <c r="BN20" i="9"/>
  <c r="BI20" i="9"/>
  <c r="BD20" i="9"/>
  <c r="AY20" i="9"/>
  <c r="AU20" i="9"/>
  <c r="AT20" i="9"/>
  <c r="AP20" i="9"/>
  <c r="AO20" i="9"/>
  <c r="AK20" i="9"/>
  <c r="AJ20" i="9"/>
  <c r="AE20" i="9"/>
  <c r="Z20" i="9"/>
  <c r="U20" i="9"/>
  <c r="P20" i="9"/>
  <c r="K20" i="9"/>
  <c r="F20" i="9"/>
  <c r="C20" i="9"/>
  <c r="B20" i="9"/>
  <c r="A20" i="9"/>
  <c r="BJ20" i="9" s="1"/>
  <c r="EV19" i="9"/>
  <c r="EU19" i="9"/>
  <c r="EP19" i="9"/>
  <c r="EL19" i="9"/>
  <c r="EK19" i="9"/>
  <c r="EG19" i="9"/>
  <c r="EF19" i="9"/>
  <c r="EB19" i="9"/>
  <c r="EA19" i="9"/>
  <c r="DV19" i="9"/>
  <c r="DR19" i="9"/>
  <c r="DQ19" i="9"/>
  <c r="DM19" i="9"/>
  <c r="DL19" i="9"/>
  <c r="DH19" i="9"/>
  <c r="DG19" i="9"/>
  <c r="DB19" i="9"/>
  <c r="CX19" i="9"/>
  <c r="CW19" i="9"/>
  <c r="CR19" i="9"/>
  <c r="CN19" i="9"/>
  <c r="CM19" i="9"/>
  <c r="CI19" i="9"/>
  <c r="CH19" i="9"/>
  <c r="CC19" i="9"/>
  <c r="BY19" i="9"/>
  <c r="BX19" i="9"/>
  <c r="BT19" i="9"/>
  <c r="BS19" i="9"/>
  <c r="BN19" i="9"/>
  <c r="BJ19" i="9"/>
  <c r="BI19" i="9"/>
  <c r="BE19" i="9"/>
  <c r="BD19" i="9"/>
  <c r="AZ19" i="9"/>
  <c r="AY19" i="9"/>
  <c r="AU19" i="9"/>
  <c r="AT19" i="9"/>
  <c r="AO19" i="9"/>
  <c r="AK19" i="9"/>
  <c r="AJ19" i="9"/>
  <c r="AF19" i="9"/>
  <c r="AE19" i="9"/>
  <c r="Z19" i="9"/>
  <c r="V19" i="9"/>
  <c r="U19" i="9"/>
  <c r="Q19" i="9"/>
  <c r="P19" i="9"/>
  <c r="K19" i="9"/>
  <c r="G19" i="9"/>
  <c r="F19" i="9"/>
  <c r="C19" i="9"/>
  <c r="B19" i="9"/>
  <c r="A19" i="9"/>
  <c r="EU18" i="9"/>
  <c r="EQ18" i="9"/>
  <c r="EP18" i="9"/>
  <c r="EK18" i="9"/>
  <c r="EG18" i="9"/>
  <c r="EF18" i="9"/>
  <c r="EA18" i="9"/>
  <c r="DW18" i="9"/>
  <c r="DV18" i="9"/>
  <c r="DQ18" i="9"/>
  <c r="DM18" i="9"/>
  <c r="DL18" i="9"/>
  <c r="DG18" i="9"/>
  <c r="DC18" i="9"/>
  <c r="DB18" i="9"/>
  <c r="CW18" i="9"/>
  <c r="CR18" i="9"/>
  <c r="CM18" i="9"/>
  <c r="CI18" i="9"/>
  <c r="CH18" i="9"/>
  <c r="CD18" i="9"/>
  <c r="CC18" i="9"/>
  <c r="BX18" i="9"/>
  <c r="BT18" i="9"/>
  <c r="BS18" i="9"/>
  <c r="BN18" i="9"/>
  <c r="BI18" i="9"/>
  <c r="BE18" i="9"/>
  <c r="BD18" i="9"/>
  <c r="AY18" i="9"/>
  <c r="AT18" i="9"/>
  <c r="AP18" i="9"/>
  <c r="AO18" i="9"/>
  <c r="AK18" i="9"/>
  <c r="AJ18" i="9"/>
  <c r="AE18" i="9"/>
  <c r="AA18" i="9"/>
  <c r="Z18" i="9"/>
  <c r="U18" i="9"/>
  <c r="P18" i="9"/>
  <c r="K18" i="9"/>
  <c r="G18" i="9"/>
  <c r="F18" i="9"/>
  <c r="C18" i="9"/>
  <c r="B18" i="9"/>
  <c r="A18" i="9"/>
  <c r="CS18" i="9" s="1"/>
  <c r="EU17" i="9"/>
  <c r="EP17" i="9"/>
  <c r="EK17" i="9"/>
  <c r="EF17" i="9"/>
  <c r="EA17" i="9"/>
  <c r="DW17" i="9"/>
  <c r="DV17" i="9"/>
  <c r="DR17" i="9"/>
  <c r="DQ17" i="9"/>
  <c r="DM17" i="9"/>
  <c r="DL17" i="9"/>
  <c r="DH17" i="9"/>
  <c r="DG17" i="9"/>
  <c r="DB17" i="9"/>
  <c r="CW17" i="9"/>
  <c r="CS17" i="9"/>
  <c r="CR17" i="9"/>
  <c r="CM17" i="9"/>
  <c r="CH17" i="9"/>
  <c r="CD17" i="9"/>
  <c r="CC17" i="9"/>
  <c r="BY17" i="9"/>
  <c r="BX17" i="9"/>
  <c r="BT17" i="9"/>
  <c r="BS17" i="9"/>
  <c r="BO17" i="9"/>
  <c r="BN17" i="9"/>
  <c r="BI17" i="9"/>
  <c r="BD17" i="9"/>
  <c r="AZ17" i="9"/>
  <c r="AY17" i="9"/>
  <c r="AT17" i="9"/>
  <c r="AO17" i="9"/>
  <c r="AK17" i="9"/>
  <c r="AJ17" i="9"/>
  <c r="AF17" i="9"/>
  <c r="AE17" i="9"/>
  <c r="AA17" i="9"/>
  <c r="Z17" i="9"/>
  <c r="U17" i="9"/>
  <c r="P17" i="9"/>
  <c r="L17" i="9"/>
  <c r="K17" i="9"/>
  <c r="F17" i="9"/>
  <c r="C17" i="9"/>
  <c r="B17" i="9"/>
  <c r="A17" i="9"/>
  <c r="EU16" i="9"/>
  <c r="EQ16" i="9"/>
  <c r="EP16" i="9"/>
  <c r="EL16" i="9"/>
  <c r="EK16" i="9"/>
  <c r="EF16" i="9"/>
  <c r="EA16" i="9"/>
  <c r="DV16" i="9"/>
  <c r="DR16" i="9"/>
  <c r="DQ16" i="9"/>
  <c r="DL16" i="9"/>
  <c r="DH16" i="9"/>
  <c r="DG16" i="9"/>
  <c r="DC16" i="9"/>
  <c r="DB16" i="9"/>
  <c r="CW16" i="9"/>
  <c r="CR16" i="9"/>
  <c r="CN16" i="9"/>
  <c r="CM16" i="9"/>
  <c r="CH16" i="9"/>
  <c r="CC16" i="9"/>
  <c r="BY16" i="9"/>
  <c r="BX16" i="9"/>
  <c r="BS16" i="9"/>
  <c r="BN16" i="9"/>
  <c r="BJ16" i="9"/>
  <c r="BI16" i="9"/>
  <c r="BD16" i="9"/>
  <c r="AZ16" i="9"/>
  <c r="AY16" i="9"/>
  <c r="AT16" i="9"/>
  <c r="AP16" i="9"/>
  <c r="AO16" i="9"/>
  <c r="AJ16" i="9"/>
  <c r="AF16" i="9"/>
  <c r="AE16" i="9"/>
  <c r="Z16" i="9"/>
  <c r="V16" i="9"/>
  <c r="U16" i="9"/>
  <c r="P16" i="9"/>
  <c r="K16" i="9"/>
  <c r="F16" i="9"/>
  <c r="C16" i="9"/>
  <c r="B16" i="9"/>
  <c r="A16" i="9"/>
  <c r="EU15" i="9"/>
  <c r="EQ15" i="9"/>
  <c r="EP15" i="9"/>
  <c r="EL15" i="9"/>
  <c r="EK15" i="9"/>
  <c r="EF15" i="9"/>
  <c r="EA15" i="9"/>
  <c r="DW15" i="9"/>
  <c r="DV15" i="9"/>
  <c r="DQ15" i="9"/>
  <c r="DL15" i="9"/>
  <c r="DG15" i="9"/>
  <c r="DB15" i="9"/>
  <c r="CX15" i="9"/>
  <c r="CW15" i="9"/>
  <c r="CR15" i="9"/>
  <c r="CM15" i="9"/>
  <c r="CI15" i="9"/>
  <c r="CH15" i="9"/>
  <c r="CD15" i="9"/>
  <c r="CC15" i="9"/>
  <c r="BX15" i="9"/>
  <c r="BT15" i="9"/>
  <c r="BS15" i="9"/>
  <c r="BN15" i="9"/>
  <c r="BI15" i="9"/>
  <c r="BD15" i="9"/>
  <c r="AY15" i="9"/>
  <c r="AU15" i="9"/>
  <c r="AT15" i="9"/>
  <c r="AP15" i="9"/>
  <c r="AO15" i="9"/>
  <c r="AK15" i="9"/>
  <c r="AJ15" i="9"/>
  <c r="AF15" i="9"/>
  <c r="AE15" i="9"/>
  <c r="Z15" i="9"/>
  <c r="U15" i="9"/>
  <c r="P15" i="9"/>
  <c r="K15" i="9"/>
  <c r="F15" i="9"/>
  <c r="C15" i="9"/>
  <c r="B15" i="9"/>
  <c r="A15" i="9"/>
  <c r="EV14" i="9"/>
  <c r="EU14" i="9"/>
  <c r="EQ14" i="9"/>
  <c r="EP14" i="9"/>
  <c r="EL14" i="9"/>
  <c r="EK14" i="9"/>
  <c r="EF14" i="9"/>
  <c r="EA14" i="9"/>
  <c r="DW14" i="9"/>
  <c r="DV14" i="9"/>
  <c r="DQ14" i="9"/>
  <c r="DL14" i="9"/>
  <c r="DH14" i="9"/>
  <c r="DG14" i="9"/>
  <c r="DB14" i="9"/>
  <c r="CX14" i="9"/>
  <c r="CW14" i="9"/>
  <c r="CS14" i="9"/>
  <c r="CR14" i="9"/>
  <c r="CM14" i="9"/>
  <c r="CH14" i="9"/>
  <c r="CC14" i="9"/>
  <c r="BX14" i="9"/>
  <c r="BS14" i="9"/>
  <c r="BN14" i="9"/>
  <c r="BJ14" i="9"/>
  <c r="BI14" i="9"/>
  <c r="BD14" i="9"/>
  <c r="AY14" i="9"/>
  <c r="AT14" i="9"/>
  <c r="AO14" i="9"/>
  <c r="AJ14" i="9"/>
  <c r="AE14" i="9"/>
  <c r="AA14" i="9"/>
  <c r="Z14" i="9"/>
  <c r="U14" i="9"/>
  <c r="Q14" i="9"/>
  <c r="P14" i="9"/>
  <c r="K14" i="9"/>
  <c r="G14" i="9"/>
  <c r="F14" i="9"/>
  <c r="C14" i="9"/>
  <c r="B14" i="9"/>
  <c r="A14" i="9"/>
  <c r="EV13" i="9"/>
  <c r="EU13" i="9"/>
  <c r="EP13" i="9"/>
  <c r="EL13" i="9"/>
  <c r="EK13" i="9"/>
  <c r="EG13" i="9"/>
  <c r="EF13" i="9"/>
  <c r="EA13" i="9"/>
  <c r="DW13" i="9"/>
  <c r="DV13" i="9"/>
  <c r="DQ13" i="9"/>
  <c r="DL13" i="9"/>
  <c r="DH13" i="9"/>
  <c r="DG13" i="9"/>
  <c r="DB13" i="9"/>
  <c r="CW13" i="9"/>
  <c r="CR13" i="9"/>
  <c r="CM13" i="9"/>
  <c r="CI13" i="9"/>
  <c r="CH13" i="9"/>
  <c r="CC13" i="9"/>
  <c r="BY13" i="9"/>
  <c r="BX13" i="9"/>
  <c r="BS13" i="9"/>
  <c r="BN13" i="9"/>
  <c r="BI13" i="9"/>
  <c r="BE13" i="9"/>
  <c r="BD13" i="9"/>
  <c r="AY13" i="9"/>
  <c r="AT13" i="9"/>
  <c r="AP13" i="9"/>
  <c r="AO13" i="9"/>
  <c r="AJ13" i="9"/>
  <c r="AE13" i="9"/>
  <c r="AA13" i="9"/>
  <c r="Z13" i="9"/>
  <c r="V13" i="9"/>
  <c r="U13" i="9"/>
  <c r="P13" i="9"/>
  <c r="K13" i="9"/>
  <c r="G13" i="9"/>
  <c r="F13" i="9"/>
  <c r="C13" i="9"/>
  <c r="B13" i="9"/>
  <c r="A13" i="9"/>
  <c r="EV12" i="9"/>
  <c r="EU12" i="9"/>
  <c r="EQ12" i="9"/>
  <c r="EP12" i="9"/>
  <c r="EL12" i="9"/>
  <c r="EK12" i="9"/>
  <c r="EG12" i="9"/>
  <c r="EF12" i="9"/>
  <c r="EB12" i="9"/>
  <c r="EA12" i="9"/>
  <c r="DW12" i="9"/>
  <c r="DV12" i="9"/>
  <c r="DR12" i="9"/>
  <c r="DQ12" i="9"/>
  <c r="DL12" i="9"/>
  <c r="DH12" i="9"/>
  <c r="DG12" i="9"/>
  <c r="DC12" i="9"/>
  <c r="DB12" i="9"/>
  <c r="CX12" i="9"/>
  <c r="CW12" i="9"/>
  <c r="CU35" i="9" s="1"/>
  <c r="CS12" i="9"/>
  <c r="CR12" i="9"/>
  <c r="CN12" i="9"/>
  <c r="CM12" i="9"/>
  <c r="CI12" i="9"/>
  <c r="CH12" i="9"/>
  <c r="CD12" i="9"/>
  <c r="CC12" i="9"/>
  <c r="BX12" i="9"/>
  <c r="BT12" i="9"/>
  <c r="BS12" i="9"/>
  <c r="BO12" i="9"/>
  <c r="BN12" i="9"/>
  <c r="BJ12" i="9"/>
  <c r="BI12" i="9"/>
  <c r="BE12" i="9"/>
  <c r="BD12" i="9"/>
  <c r="AZ12" i="9"/>
  <c r="AY12" i="9"/>
  <c r="AU12" i="9"/>
  <c r="AT12" i="9"/>
  <c r="AP12" i="9"/>
  <c r="AO12" i="9"/>
  <c r="AJ12" i="9"/>
  <c r="AF12" i="9"/>
  <c r="AE12" i="9"/>
  <c r="AA12" i="9"/>
  <c r="Z12" i="9"/>
  <c r="V12" i="9"/>
  <c r="U12" i="9"/>
  <c r="Q12" i="9"/>
  <c r="P12" i="9"/>
  <c r="L12" i="9"/>
  <c r="K12" i="9"/>
  <c r="G12" i="9"/>
  <c r="F12" i="9"/>
  <c r="C12" i="9"/>
  <c r="B12" i="9"/>
  <c r="A12" i="9"/>
  <c r="DM12" i="9" s="1"/>
  <c r="EV11" i="9"/>
  <c r="EU11" i="9"/>
  <c r="EP11" i="9"/>
  <c r="EK11" i="9"/>
  <c r="EF11" i="9"/>
  <c r="EA11" i="9"/>
  <c r="DV11" i="9"/>
  <c r="DQ11" i="9"/>
  <c r="DM11" i="9"/>
  <c r="DL11" i="9"/>
  <c r="DH11" i="9"/>
  <c r="DG11" i="9"/>
  <c r="DB11" i="9"/>
  <c r="CW11" i="9"/>
  <c r="CS11" i="9"/>
  <c r="CR11" i="9"/>
  <c r="CM11" i="9"/>
  <c r="CH11" i="9"/>
  <c r="CC11" i="9"/>
  <c r="BX11" i="9"/>
  <c r="BT11" i="9"/>
  <c r="BS11" i="9"/>
  <c r="BQ35" i="9" s="1"/>
  <c r="BO11" i="9"/>
  <c r="BN11" i="9"/>
  <c r="BJ11" i="9"/>
  <c r="BI11" i="9"/>
  <c r="BE11" i="9"/>
  <c r="BD11" i="9"/>
  <c r="AY11" i="9"/>
  <c r="AT11" i="9"/>
  <c r="AP11" i="9"/>
  <c r="AO11" i="9"/>
  <c r="AJ11" i="9"/>
  <c r="AE11" i="9"/>
  <c r="Z11" i="9"/>
  <c r="V11" i="9"/>
  <c r="U11" i="9"/>
  <c r="Q11" i="9"/>
  <c r="P11" i="9"/>
  <c r="L11" i="9"/>
  <c r="K11" i="9"/>
  <c r="F11" i="9"/>
  <c r="C11" i="9"/>
  <c r="B11" i="9"/>
  <c r="A11" i="9"/>
  <c r="EL11" i="9" s="1"/>
  <c r="EU10" i="9"/>
  <c r="EP10" i="9"/>
  <c r="EK10" i="9"/>
  <c r="EG10" i="9"/>
  <c r="EF10" i="9"/>
  <c r="EB10" i="9"/>
  <c r="EA10" i="9"/>
  <c r="DW10" i="9"/>
  <c r="DV10" i="9"/>
  <c r="DQ10" i="9"/>
  <c r="DL10" i="9"/>
  <c r="DG10" i="9"/>
  <c r="DB10" i="9"/>
  <c r="CW10" i="9"/>
  <c r="CS10" i="9"/>
  <c r="CR10" i="9"/>
  <c r="CM10" i="9"/>
  <c r="CI10" i="9"/>
  <c r="CH10" i="9"/>
  <c r="CC10" i="9"/>
  <c r="BY10" i="9"/>
  <c r="BX10" i="9"/>
  <c r="BS10" i="9"/>
  <c r="BO10" i="9"/>
  <c r="BN10" i="9"/>
  <c r="BI10" i="9"/>
  <c r="BD10" i="9"/>
  <c r="AZ10" i="9"/>
  <c r="AY10" i="9"/>
  <c r="AT10" i="9"/>
  <c r="AO10" i="9"/>
  <c r="AK10" i="9"/>
  <c r="AJ10" i="9"/>
  <c r="AE10" i="9"/>
  <c r="Z10" i="9"/>
  <c r="V10" i="9"/>
  <c r="U10" i="9"/>
  <c r="Q10" i="9"/>
  <c r="P10" i="9"/>
  <c r="K10" i="9"/>
  <c r="F10" i="9"/>
  <c r="C10" i="9"/>
  <c r="B10" i="9"/>
  <c r="A10" i="9"/>
  <c r="EL10" i="9" s="1"/>
  <c r="EU9" i="9"/>
  <c r="EP9" i="9"/>
  <c r="EK9" i="9"/>
  <c r="EF9" i="9"/>
  <c r="EA9" i="9"/>
  <c r="DV9" i="9"/>
  <c r="DQ9" i="9"/>
  <c r="DL9" i="9"/>
  <c r="DG9" i="9"/>
  <c r="DB9" i="9"/>
  <c r="CW9" i="9"/>
  <c r="CS9" i="9"/>
  <c r="CR9" i="9"/>
  <c r="CM9" i="9"/>
  <c r="CH9" i="9"/>
  <c r="CC9" i="9"/>
  <c r="BX9" i="9"/>
  <c r="BS9" i="9"/>
  <c r="BN9" i="9"/>
  <c r="BI9" i="9"/>
  <c r="BD9" i="9"/>
  <c r="AY9" i="9"/>
  <c r="AT9" i="9"/>
  <c r="AO9" i="9"/>
  <c r="AJ9" i="9"/>
  <c r="AE9" i="9"/>
  <c r="Z9" i="9"/>
  <c r="U9" i="9"/>
  <c r="P9" i="9"/>
  <c r="K9" i="9"/>
  <c r="F9" i="9"/>
  <c r="C9" i="9"/>
  <c r="B9" i="9"/>
  <c r="A9" i="9"/>
  <c r="DW9" i="9" s="1"/>
  <c r="EV8" i="9"/>
  <c r="EU8" i="9"/>
  <c r="EP8" i="9"/>
  <c r="EL8" i="9"/>
  <c r="EK8" i="9"/>
  <c r="EG8" i="9"/>
  <c r="EF8" i="9"/>
  <c r="EB8" i="9"/>
  <c r="EA8" i="9"/>
  <c r="DW8" i="9"/>
  <c r="DV8" i="9"/>
  <c r="DR8" i="9"/>
  <c r="DQ8" i="9"/>
  <c r="DL8" i="9"/>
  <c r="DH8" i="9"/>
  <c r="DG8" i="9"/>
  <c r="DB8" i="9"/>
  <c r="CX8" i="9"/>
  <c r="CW8" i="9"/>
  <c r="CS8" i="9"/>
  <c r="CR8" i="9"/>
  <c r="CN8" i="9"/>
  <c r="CM8" i="9"/>
  <c r="CI8" i="9"/>
  <c r="CH8" i="9"/>
  <c r="CD8" i="9"/>
  <c r="CC8" i="9"/>
  <c r="BX8" i="9"/>
  <c r="BT8" i="9"/>
  <c r="BS8" i="9"/>
  <c r="BN8" i="9"/>
  <c r="BJ8" i="9"/>
  <c r="BI8" i="9"/>
  <c r="BE8" i="9"/>
  <c r="BD8" i="9"/>
  <c r="AZ8" i="9"/>
  <c r="AY8" i="9"/>
  <c r="AU8" i="9"/>
  <c r="AT8" i="9"/>
  <c r="AP8" i="9"/>
  <c r="AO8" i="9"/>
  <c r="AJ8" i="9"/>
  <c r="AF8" i="9"/>
  <c r="AE8" i="9"/>
  <c r="Z8" i="9"/>
  <c r="V8" i="9"/>
  <c r="U8" i="9"/>
  <c r="Q8" i="9"/>
  <c r="P8" i="9"/>
  <c r="N35" i="9" s="1"/>
  <c r="L8" i="9"/>
  <c r="K8" i="9"/>
  <c r="G8" i="9"/>
  <c r="F8" i="9"/>
  <c r="C8" i="9"/>
  <c r="B8" i="9"/>
  <c r="A8" i="9"/>
  <c r="BY8" i="9" s="1"/>
  <c r="EV7" i="9"/>
  <c r="EU7" i="9"/>
  <c r="EQ7" i="9"/>
  <c r="EP7" i="9"/>
  <c r="EL7" i="9"/>
  <c r="EK7" i="9"/>
  <c r="EG7" i="9"/>
  <c r="EF7" i="9"/>
  <c r="EB7" i="9"/>
  <c r="EA7" i="9"/>
  <c r="DY35" i="9" s="1"/>
  <c r="DW7" i="9"/>
  <c r="DV7" i="9"/>
  <c r="DR7" i="9"/>
  <c r="DQ7" i="9"/>
  <c r="DL7" i="9"/>
  <c r="DH7" i="9"/>
  <c r="DG7" i="9"/>
  <c r="DC7" i="9"/>
  <c r="DB7" i="9"/>
  <c r="CX7" i="9"/>
  <c r="CW7" i="9"/>
  <c r="CS7" i="9"/>
  <c r="CR7" i="9"/>
  <c r="CP35" i="9" s="1"/>
  <c r="CN7" i="9"/>
  <c r="CM7" i="9"/>
  <c r="CI7" i="9"/>
  <c r="CH7" i="9"/>
  <c r="CD7" i="9"/>
  <c r="CC7" i="9"/>
  <c r="BX7" i="9"/>
  <c r="BT7" i="9"/>
  <c r="BS7" i="9"/>
  <c r="BO7" i="9"/>
  <c r="BN7" i="9"/>
  <c r="BJ7" i="9"/>
  <c r="BI7" i="9"/>
  <c r="BE7" i="9"/>
  <c r="BD7" i="9"/>
  <c r="AZ7" i="9"/>
  <c r="AY7" i="9"/>
  <c r="AW35" i="9" s="1"/>
  <c r="AU7" i="9"/>
  <c r="AT7" i="9"/>
  <c r="AP7" i="9"/>
  <c r="AO7" i="9"/>
  <c r="AJ7" i="9"/>
  <c r="AF7" i="9"/>
  <c r="AE7" i="9"/>
  <c r="AA7" i="9"/>
  <c r="Z7" i="9"/>
  <c r="V7" i="9"/>
  <c r="U7" i="9"/>
  <c r="Q7" i="9"/>
  <c r="P7" i="9"/>
  <c r="L7" i="9"/>
  <c r="K7" i="9"/>
  <c r="G7" i="9"/>
  <c r="F7" i="9"/>
  <c r="D35" i="9" s="1"/>
  <c r="C7" i="9"/>
  <c r="B7" i="9"/>
  <c r="A7" i="9"/>
  <c r="DM7" i="9" s="1"/>
  <c r="EU6" i="9"/>
  <c r="EP6" i="9"/>
  <c r="EK6" i="9"/>
  <c r="EF6" i="9"/>
  <c r="EA6" i="9"/>
  <c r="DV6" i="9"/>
  <c r="DQ6" i="9"/>
  <c r="DL6" i="9"/>
  <c r="DG6" i="9"/>
  <c r="DE35" i="9" s="1"/>
  <c r="DB6" i="9"/>
  <c r="CW6" i="9"/>
  <c r="CR6" i="9"/>
  <c r="CM6" i="9"/>
  <c r="CH6" i="9"/>
  <c r="CC6" i="9"/>
  <c r="BX6" i="9"/>
  <c r="BS6" i="9"/>
  <c r="BN6" i="9"/>
  <c r="BI6" i="9"/>
  <c r="BD6" i="9"/>
  <c r="AY6" i="9"/>
  <c r="AT6" i="9"/>
  <c r="AO6" i="9"/>
  <c r="AJ6" i="9"/>
  <c r="AE6" i="9"/>
  <c r="Z6" i="9"/>
  <c r="U6" i="9"/>
  <c r="P6" i="9"/>
  <c r="K6" i="9"/>
  <c r="F6" i="9"/>
  <c r="C6" i="9"/>
  <c r="B6" i="9"/>
  <c r="A6" i="9"/>
  <c r="EB6" i="9" s="1"/>
  <c r="EU5" i="9"/>
  <c r="EP5" i="9"/>
  <c r="EK5" i="9"/>
  <c r="EF5" i="9"/>
  <c r="EA5" i="9"/>
  <c r="DV5" i="9"/>
  <c r="DQ5" i="9"/>
  <c r="DL5" i="9"/>
  <c r="DJ35" i="9" s="1"/>
  <c r="DG5" i="9"/>
  <c r="DB5" i="9"/>
  <c r="CW5" i="9"/>
  <c r="CR5" i="9"/>
  <c r="CM5" i="9"/>
  <c r="CH5" i="9"/>
  <c r="CC5" i="9"/>
  <c r="BX5" i="9"/>
  <c r="BS5" i="9"/>
  <c r="BN5" i="9"/>
  <c r="BI5" i="9"/>
  <c r="BD5" i="9"/>
  <c r="BB35" i="9" s="1"/>
  <c r="AY5" i="9"/>
  <c r="AT5" i="9"/>
  <c r="AO5" i="9"/>
  <c r="AJ5" i="9"/>
  <c r="AE5" i="9"/>
  <c r="Z5" i="9"/>
  <c r="U5" i="9"/>
  <c r="P5" i="9"/>
  <c r="K5" i="9"/>
  <c r="F5" i="9"/>
  <c r="C5" i="9"/>
  <c r="B5" i="9"/>
  <c r="A5" i="9"/>
  <c r="BO5" i="9" s="1"/>
  <c r="EV4" i="9"/>
  <c r="EU4" i="9"/>
  <c r="EP4" i="9"/>
  <c r="EL4" i="9"/>
  <c r="EK4" i="9"/>
  <c r="EF4" i="9"/>
  <c r="ED35" i="9" s="1"/>
  <c r="EA4" i="9"/>
  <c r="DW4" i="9"/>
  <c r="DV4" i="9"/>
  <c r="DR4" i="9"/>
  <c r="DQ4" i="9"/>
  <c r="DO35" i="9" s="1"/>
  <c r="DM4" i="9"/>
  <c r="DL4" i="9"/>
  <c r="DH4" i="9"/>
  <c r="DG4" i="9"/>
  <c r="DB4" i="9"/>
  <c r="CX4" i="9"/>
  <c r="CW4" i="9"/>
  <c r="CR4" i="9"/>
  <c r="CN4" i="9"/>
  <c r="CM4" i="9"/>
  <c r="CH4" i="9"/>
  <c r="CD4" i="9"/>
  <c r="CC4" i="9"/>
  <c r="BY4" i="9"/>
  <c r="BX4" i="9"/>
  <c r="BT4" i="9"/>
  <c r="BS4" i="9"/>
  <c r="BN4" i="9"/>
  <c r="BJ4" i="9"/>
  <c r="BI4" i="9"/>
  <c r="BD4" i="9"/>
  <c r="AZ4" i="9"/>
  <c r="AY4" i="9"/>
  <c r="AU4" i="9"/>
  <c r="AT4" i="9"/>
  <c r="AO4" i="9"/>
  <c r="AK4" i="9"/>
  <c r="AJ4" i="9"/>
  <c r="AF4" i="9"/>
  <c r="AE4" i="9"/>
  <c r="Z4" i="9"/>
  <c r="V4" i="9"/>
  <c r="U4" i="9"/>
  <c r="P4" i="9"/>
  <c r="L4" i="9"/>
  <c r="K4" i="9"/>
  <c r="G4" i="9"/>
  <c r="F4" i="9"/>
  <c r="C4" i="9"/>
  <c r="B4" i="9"/>
  <c r="A4" i="9"/>
  <c r="ES2" i="9"/>
  <c r="EN2" i="9"/>
  <c r="EI2" i="9"/>
  <c r="ED2" i="9"/>
  <c r="DY2" i="9"/>
  <c r="DT2" i="9"/>
  <c r="DO2" i="9"/>
  <c r="DJ2" i="9"/>
  <c r="DE2" i="9"/>
  <c r="CZ2" i="9"/>
  <c r="CU2" i="9"/>
  <c r="CP2" i="9"/>
  <c r="CK2" i="9"/>
  <c r="CF2" i="9"/>
  <c r="CA2" i="9"/>
  <c r="BV2" i="9"/>
  <c r="BQ2" i="9"/>
  <c r="BL2" i="9"/>
  <c r="BG2" i="9"/>
  <c r="BB2" i="9"/>
  <c r="AW2" i="9"/>
  <c r="AR2" i="9"/>
  <c r="AM2" i="9"/>
  <c r="AH2" i="9"/>
  <c r="AC2" i="9"/>
  <c r="X2" i="9"/>
  <c r="S2" i="9"/>
  <c r="N2" i="9"/>
  <c r="I2" i="9"/>
  <c r="D2" i="9"/>
  <c r="A1" i="9"/>
  <c r="ES40" i="8"/>
  <c r="EN40" i="8"/>
  <c r="EI40" i="8"/>
  <c r="ED40" i="8"/>
  <c r="DY40" i="8"/>
  <c r="DT40" i="8"/>
  <c r="DO40" i="8"/>
  <c r="DJ40" i="8"/>
  <c r="DE40" i="8"/>
  <c r="CZ40" i="8"/>
  <c r="CU40" i="8"/>
  <c r="T23" i="19" s="1"/>
  <c r="CP40" i="8"/>
  <c r="CK40" i="8"/>
  <c r="CF40" i="8"/>
  <c r="CA40" i="8"/>
  <c r="BV40" i="8"/>
  <c r="BQ40" i="8"/>
  <c r="BL40" i="8"/>
  <c r="BG40" i="8"/>
  <c r="BB40" i="8"/>
  <c r="AW40" i="8"/>
  <c r="AR40" i="8"/>
  <c r="AM40" i="8"/>
  <c r="AH40" i="8"/>
  <c r="AC40" i="8"/>
  <c r="X40" i="8"/>
  <c r="S40" i="8"/>
  <c r="N40" i="8"/>
  <c r="I40" i="8"/>
  <c r="D40" i="8"/>
  <c r="ES39" i="8"/>
  <c r="EN39" i="8"/>
  <c r="EI39" i="8"/>
  <c r="ED39" i="8"/>
  <c r="DY39" i="8"/>
  <c r="DT39" i="8"/>
  <c r="DO39" i="8"/>
  <c r="DJ39" i="8"/>
  <c r="DE39" i="8"/>
  <c r="CZ39" i="8"/>
  <c r="CU39" i="8"/>
  <c r="CP39" i="8"/>
  <c r="CK39" i="8"/>
  <c r="CF39" i="8"/>
  <c r="CA39" i="8"/>
  <c r="BV39" i="8"/>
  <c r="BQ39" i="8"/>
  <c r="BL39" i="8"/>
  <c r="BG39" i="8"/>
  <c r="BB39" i="8"/>
  <c r="AW39" i="8"/>
  <c r="AR39" i="8"/>
  <c r="AM39" i="8"/>
  <c r="AH39" i="8"/>
  <c r="AC39" i="8"/>
  <c r="X39" i="8"/>
  <c r="S39" i="8"/>
  <c r="N39" i="8"/>
  <c r="I39" i="8"/>
  <c r="D39" i="8"/>
  <c r="ES38" i="8"/>
  <c r="EN38" i="8"/>
  <c r="EI38" i="8"/>
  <c r="ED38" i="8"/>
  <c r="DY38" i="8"/>
  <c r="DT38" i="8"/>
  <c r="DO38" i="8"/>
  <c r="DJ38" i="8"/>
  <c r="DE38" i="8"/>
  <c r="CZ38" i="8"/>
  <c r="CU38" i="8"/>
  <c r="CP38" i="8"/>
  <c r="CK38" i="8"/>
  <c r="CF38" i="8"/>
  <c r="CA38" i="8"/>
  <c r="BV38" i="8"/>
  <c r="BQ38" i="8"/>
  <c r="BL38" i="8"/>
  <c r="BG38" i="8"/>
  <c r="BB38" i="8"/>
  <c r="AW38" i="8"/>
  <c r="AR38" i="8"/>
  <c r="AM38" i="8"/>
  <c r="AH38" i="8"/>
  <c r="AC38" i="8"/>
  <c r="X38" i="8"/>
  <c r="S38" i="8"/>
  <c r="N38" i="8"/>
  <c r="I38" i="8"/>
  <c r="D38" i="8"/>
  <c r="BV35" i="8"/>
  <c r="EU34" i="8"/>
  <c r="EP34" i="8"/>
  <c r="EK34" i="8"/>
  <c r="EG34" i="8"/>
  <c r="EF34" i="8"/>
  <c r="EB34" i="8"/>
  <c r="EA34" i="8"/>
  <c r="DV34" i="8"/>
  <c r="DQ34" i="8"/>
  <c r="DL34" i="8"/>
  <c r="DG34" i="8"/>
  <c r="DB34" i="8"/>
  <c r="CW34" i="8"/>
  <c r="CS34" i="8"/>
  <c r="CR34" i="8"/>
  <c r="CN34" i="8"/>
  <c r="CM34" i="8"/>
  <c r="CH34" i="8"/>
  <c r="CC34" i="8"/>
  <c r="BY34" i="8"/>
  <c r="BX34" i="8"/>
  <c r="BS34" i="8"/>
  <c r="BN34" i="8"/>
  <c r="BI34" i="8"/>
  <c r="BE34" i="8"/>
  <c r="BD34" i="8"/>
  <c r="AY34" i="8"/>
  <c r="AU34" i="8"/>
  <c r="AT34" i="8"/>
  <c r="AP34" i="8"/>
  <c r="AO34" i="8"/>
  <c r="AJ34" i="8"/>
  <c r="AE34" i="8"/>
  <c r="AA34" i="8"/>
  <c r="Z34" i="8"/>
  <c r="U34" i="8"/>
  <c r="P34" i="8"/>
  <c r="L34" i="8"/>
  <c r="K34" i="8"/>
  <c r="F34" i="8"/>
  <c r="C34" i="8"/>
  <c r="B34" i="8"/>
  <c r="A34" i="8"/>
  <c r="EQ34" i="8" s="1"/>
  <c r="EU33" i="8"/>
  <c r="EP33" i="8"/>
  <c r="EK33" i="8"/>
  <c r="EF33" i="8"/>
  <c r="EA33" i="8"/>
  <c r="DV33" i="8"/>
  <c r="DQ33" i="8"/>
  <c r="DL33" i="8"/>
  <c r="DG33" i="8"/>
  <c r="DB33" i="8"/>
  <c r="CW33" i="8"/>
  <c r="CR33" i="8"/>
  <c r="CM33" i="8"/>
  <c r="CH33" i="8"/>
  <c r="CC33" i="8"/>
  <c r="BX33" i="8"/>
  <c r="BS33" i="8"/>
  <c r="BN33" i="8"/>
  <c r="BI33" i="8"/>
  <c r="AY33" i="8"/>
  <c r="AT33" i="8"/>
  <c r="AO33" i="8"/>
  <c r="AJ33" i="8"/>
  <c r="AE33" i="8"/>
  <c r="Z33" i="8"/>
  <c r="U33" i="8"/>
  <c r="P33" i="8"/>
  <c r="K33" i="8"/>
  <c r="C33" i="8"/>
  <c r="B33" i="8"/>
  <c r="A33" i="8"/>
  <c r="AA33" i="8" s="1"/>
  <c r="EV32" i="8"/>
  <c r="EU32" i="8"/>
  <c r="EP32" i="8"/>
  <c r="EL32" i="8"/>
  <c r="EK32" i="8"/>
  <c r="EF32" i="8"/>
  <c r="EA32" i="8"/>
  <c r="DW32" i="8"/>
  <c r="DV32" i="8"/>
  <c r="DQ32" i="8"/>
  <c r="DM32" i="8"/>
  <c r="DL32" i="8"/>
  <c r="DH32" i="8"/>
  <c r="DG32" i="8"/>
  <c r="DB32" i="8"/>
  <c r="CX32" i="8"/>
  <c r="CW32" i="8"/>
  <c r="CR32" i="8"/>
  <c r="CN32" i="8"/>
  <c r="CM32" i="8"/>
  <c r="CH32" i="8"/>
  <c r="CD32" i="8"/>
  <c r="CC32" i="8"/>
  <c r="BX32" i="8"/>
  <c r="BT32" i="8"/>
  <c r="BS32" i="8"/>
  <c r="BN32" i="8"/>
  <c r="BJ32" i="8"/>
  <c r="BI32" i="8"/>
  <c r="BD32" i="8"/>
  <c r="AZ32" i="8"/>
  <c r="AY32" i="8"/>
  <c r="AU32" i="8"/>
  <c r="AT32" i="8"/>
  <c r="AO32" i="8"/>
  <c r="AK32" i="8"/>
  <c r="AJ32" i="8"/>
  <c r="AE32" i="8"/>
  <c r="Z32" i="8"/>
  <c r="V32" i="8"/>
  <c r="U32" i="8"/>
  <c r="P32" i="8"/>
  <c r="L32" i="8"/>
  <c r="K32" i="8"/>
  <c r="G32" i="8"/>
  <c r="F32" i="8"/>
  <c r="C32" i="8"/>
  <c r="B32" i="8"/>
  <c r="A32" i="8"/>
  <c r="DR32" i="8" s="1"/>
  <c r="EU31" i="8"/>
  <c r="EP31" i="8"/>
  <c r="EK31" i="8"/>
  <c r="EF31" i="8"/>
  <c r="EA31" i="8"/>
  <c r="DV31" i="8"/>
  <c r="DQ31" i="8"/>
  <c r="DL31" i="8"/>
  <c r="DG31" i="8"/>
  <c r="DB31" i="8"/>
  <c r="CX31" i="8"/>
  <c r="CW31" i="8"/>
  <c r="CR31" i="8"/>
  <c r="CM31" i="8"/>
  <c r="CH31" i="8"/>
  <c r="CC31" i="8"/>
  <c r="BX31" i="8"/>
  <c r="BS31" i="8"/>
  <c r="BN31" i="8"/>
  <c r="BI31" i="8"/>
  <c r="AY31" i="8"/>
  <c r="AT31" i="8"/>
  <c r="AO31" i="8"/>
  <c r="AJ31" i="8"/>
  <c r="AE31" i="8"/>
  <c r="Z31" i="8"/>
  <c r="U31" i="8"/>
  <c r="P31" i="8"/>
  <c r="K31" i="8"/>
  <c r="C31" i="8"/>
  <c r="B31" i="8"/>
  <c r="A31" i="8"/>
  <c r="EU30" i="8"/>
  <c r="EQ30" i="8"/>
  <c r="EP30" i="8"/>
  <c r="EK30" i="8"/>
  <c r="EF30" i="8"/>
  <c r="EA30" i="8"/>
  <c r="DW30" i="8"/>
  <c r="DV30" i="8"/>
  <c r="DQ30" i="8"/>
  <c r="DM30" i="8"/>
  <c r="DL30" i="8"/>
  <c r="DH30" i="8"/>
  <c r="DG30" i="8"/>
  <c r="DC30" i="8"/>
  <c r="DB30" i="8"/>
  <c r="CW30" i="8"/>
  <c r="CR30" i="8"/>
  <c r="CM30" i="8"/>
  <c r="CI30" i="8"/>
  <c r="CH30" i="8"/>
  <c r="CD30" i="8"/>
  <c r="CC30" i="8"/>
  <c r="BX30" i="8"/>
  <c r="BT30" i="8"/>
  <c r="BS30" i="8"/>
  <c r="BO30" i="8"/>
  <c r="BN30" i="8"/>
  <c r="BI30" i="8"/>
  <c r="BE30" i="8"/>
  <c r="BD30" i="8"/>
  <c r="AY30" i="8"/>
  <c r="AT30" i="8"/>
  <c r="AP30" i="8"/>
  <c r="AO30" i="8"/>
  <c r="AK30" i="8"/>
  <c r="AJ30" i="8"/>
  <c r="AE30" i="8"/>
  <c r="AA30" i="8"/>
  <c r="Z30" i="8"/>
  <c r="U30" i="8"/>
  <c r="Q30" i="8"/>
  <c r="P30" i="8"/>
  <c r="K30" i="8"/>
  <c r="G30" i="8"/>
  <c r="F30" i="8"/>
  <c r="C30" i="8"/>
  <c r="B30" i="8"/>
  <c r="A30" i="8"/>
  <c r="EV29" i="8"/>
  <c r="EU29" i="8"/>
  <c r="EP29" i="8"/>
  <c r="EK29" i="8"/>
  <c r="EF29" i="8"/>
  <c r="EB29" i="8"/>
  <c r="EA29" i="8"/>
  <c r="DW29" i="8"/>
  <c r="DV29" i="8"/>
  <c r="DR29" i="8"/>
  <c r="DQ29" i="8"/>
  <c r="DL29" i="8"/>
  <c r="DH29" i="8"/>
  <c r="DG29" i="8"/>
  <c r="DB29" i="8"/>
  <c r="CW29" i="8"/>
  <c r="CS29" i="8"/>
  <c r="CR29" i="8"/>
  <c r="CM29" i="8"/>
  <c r="CI29" i="8"/>
  <c r="CH29" i="8"/>
  <c r="CD29" i="8"/>
  <c r="CC29" i="8"/>
  <c r="BY29" i="8"/>
  <c r="BX29" i="8"/>
  <c r="BS29" i="8"/>
  <c r="BO29" i="8"/>
  <c r="BN29" i="8"/>
  <c r="BI29" i="8"/>
  <c r="BD29" i="8"/>
  <c r="AZ29" i="8"/>
  <c r="AY29" i="8"/>
  <c r="AU29" i="8"/>
  <c r="AT29" i="8"/>
  <c r="AP29" i="8"/>
  <c r="AO29" i="8"/>
  <c r="AK29" i="8"/>
  <c r="AJ29" i="8"/>
  <c r="AE29" i="8"/>
  <c r="AA29" i="8"/>
  <c r="Z29" i="8"/>
  <c r="U29" i="8"/>
  <c r="P29" i="8"/>
  <c r="K29" i="8"/>
  <c r="G29" i="8"/>
  <c r="F29" i="8"/>
  <c r="C29" i="8"/>
  <c r="B29" i="8"/>
  <c r="A29" i="8"/>
  <c r="EV28" i="8"/>
  <c r="EU28" i="8"/>
  <c r="EP28" i="8"/>
  <c r="EK28" i="8"/>
  <c r="EF28" i="8"/>
  <c r="EA28" i="8"/>
  <c r="DV28" i="8"/>
  <c r="DQ28" i="8"/>
  <c r="DL28" i="8"/>
  <c r="DG28" i="8"/>
  <c r="DB28" i="8"/>
  <c r="CW28" i="8"/>
  <c r="CR28" i="8"/>
  <c r="CN28" i="8"/>
  <c r="CM28" i="8"/>
  <c r="CH28" i="8"/>
  <c r="CC28" i="8"/>
  <c r="BX28" i="8"/>
  <c r="BS28" i="8"/>
  <c r="BN28" i="8"/>
  <c r="BI28" i="8"/>
  <c r="BD28" i="8"/>
  <c r="AY28" i="8"/>
  <c r="AT28" i="8"/>
  <c r="AP28" i="8"/>
  <c r="AO28" i="8"/>
  <c r="AJ28" i="8"/>
  <c r="AE28" i="8"/>
  <c r="Z28" i="8"/>
  <c r="U28" i="8"/>
  <c r="P28" i="8"/>
  <c r="K28" i="8"/>
  <c r="F28" i="8"/>
  <c r="C28" i="8"/>
  <c r="B28" i="8"/>
  <c r="A28" i="8"/>
  <c r="EU27" i="8"/>
  <c r="EQ27" i="8"/>
  <c r="EP27" i="8"/>
  <c r="EK27" i="8"/>
  <c r="EF27" i="8"/>
  <c r="EA27" i="8"/>
  <c r="DV27" i="8"/>
  <c r="DQ27" i="8"/>
  <c r="DL27" i="8"/>
  <c r="DG27" i="8"/>
  <c r="DB27" i="8"/>
  <c r="CX27" i="8"/>
  <c r="CW27" i="8"/>
  <c r="CR27" i="8"/>
  <c r="CN27" i="8"/>
  <c r="CM27" i="8"/>
  <c r="CH27" i="8"/>
  <c r="CC27" i="8"/>
  <c r="BX27" i="8"/>
  <c r="BS27" i="8"/>
  <c r="BN27" i="8"/>
  <c r="BI27" i="8"/>
  <c r="AY27" i="8"/>
  <c r="AU27" i="8"/>
  <c r="AT27" i="8"/>
  <c r="AP27" i="8"/>
  <c r="AO27" i="8"/>
  <c r="AK27" i="8"/>
  <c r="AJ27" i="8"/>
  <c r="AE27" i="8"/>
  <c r="Z27" i="8"/>
  <c r="U27" i="8"/>
  <c r="P27" i="8"/>
  <c r="K27" i="8"/>
  <c r="C27" i="8"/>
  <c r="B27" i="8"/>
  <c r="A27" i="8"/>
  <c r="DM27" i="8" s="1"/>
  <c r="EV26" i="8"/>
  <c r="EU26" i="8"/>
  <c r="EP26" i="8"/>
  <c r="EL26" i="8"/>
  <c r="EK26" i="8"/>
  <c r="EG26" i="8"/>
  <c r="EF26" i="8"/>
  <c r="EA26" i="8"/>
  <c r="DW26" i="8"/>
  <c r="DV26" i="8"/>
  <c r="DQ26" i="8"/>
  <c r="DL26" i="8"/>
  <c r="DH26" i="8"/>
  <c r="DG26" i="8"/>
  <c r="DC26" i="8"/>
  <c r="DB26" i="8"/>
  <c r="CW26" i="8"/>
  <c r="CS26" i="8"/>
  <c r="CR26" i="8"/>
  <c r="CM26" i="8"/>
  <c r="CH26" i="8"/>
  <c r="CC26" i="8"/>
  <c r="BX26" i="8"/>
  <c r="BT26" i="8"/>
  <c r="BS26" i="8"/>
  <c r="BN26" i="8"/>
  <c r="BJ26" i="8"/>
  <c r="BI26" i="8"/>
  <c r="AY26" i="8"/>
  <c r="AU26" i="8"/>
  <c r="AT26" i="8"/>
  <c r="AO26" i="8"/>
  <c r="AJ26" i="8"/>
  <c r="AF26" i="8"/>
  <c r="AE26" i="8"/>
  <c r="Z26" i="8"/>
  <c r="V26" i="8"/>
  <c r="U26" i="8"/>
  <c r="Q26" i="8"/>
  <c r="P26" i="8"/>
  <c r="K26" i="8"/>
  <c r="C26" i="8"/>
  <c r="B26" i="8"/>
  <c r="A26" i="8"/>
  <c r="EU25" i="8"/>
  <c r="EQ25" i="8"/>
  <c r="EP25" i="8"/>
  <c r="EL25" i="8"/>
  <c r="EK25" i="8"/>
  <c r="EG25" i="8"/>
  <c r="EF25" i="8"/>
  <c r="EA25" i="8"/>
  <c r="DW25" i="8"/>
  <c r="DV25" i="8"/>
  <c r="DQ25" i="8"/>
  <c r="DL25" i="8"/>
  <c r="DH25" i="8"/>
  <c r="DG25" i="8"/>
  <c r="DB25" i="8"/>
  <c r="CW25" i="8"/>
  <c r="CS25" i="8"/>
  <c r="CR25" i="8"/>
  <c r="CM25" i="8"/>
  <c r="CI25" i="8"/>
  <c r="CH25" i="8"/>
  <c r="CC25" i="8"/>
  <c r="BX25" i="8"/>
  <c r="BT25" i="8"/>
  <c r="BS25" i="8"/>
  <c r="BN25" i="8"/>
  <c r="BJ25" i="8"/>
  <c r="BI25" i="8"/>
  <c r="BE25" i="8"/>
  <c r="BD25" i="8"/>
  <c r="AY25" i="8"/>
  <c r="AU25" i="8"/>
  <c r="AT25" i="8"/>
  <c r="AP25" i="8"/>
  <c r="AO25" i="8"/>
  <c r="AJ25" i="8"/>
  <c r="AE25" i="8"/>
  <c r="AA25" i="8"/>
  <c r="Z25" i="8"/>
  <c r="U25" i="8"/>
  <c r="P25" i="8"/>
  <c r="K25" i="8"/>
  <c r="G25" i="8"/>
  <c r="F25" i="8"/>
  <c r="C25" i="8"/>
  <c r="B25" i="8"/>
  <c r="A25" i="8"/>
  <c r="EV24" i="8"/>
  <c r="EU24" i="8"/>
  <c r="EQ24" i="8"/>
  <c r="EP24" i="8"/>
  <c r="EL24" i="8"/>
  <c r="EK24" i="8"/>
  <c r="EG24" i="8"/>
  <c r="EF24" i="8"/>
  <c r="EB24" i="8"/>
  <c r="EA24" i="8"/>
  <c r="DW24" i="8"/>
  <c r="DV24" i="8"/>
  <c r="DR24" i="8"/>
  <c r="DQ24" i="8"/>
  <c r="DL24" i="8"/>
  <c r="DH24" i="8"/>
  <c r="DG24" i="8"/>
  <c r="DC24" i="8"/>
  <c r="DB24" i="8"/>
  <c r="CX24" i="8"/>
  <c r="CW24" i="8"/>
  <c r="CS24" i="8"/>
  <c r="CR24" i="8"/>
  <c r="CN24" i="8"/>
  <c r="CM24" i="8"/>
  <c r="CI24" i="8"/>
  <c r="CH24" i="8"/>
  <c r="CD24" i="8"/>
  <c r="CC24" i="8"/>
  <c r="BX24" i="8"/>
  <c r="BT24" i="8"/>
  <c r="BS24" i="8"/>
  <c r="BO24" i="8"/>
  <c r="BN24" i="8"/>
  <c r="BJ24" i="8"/>
  <c r="BI24" i="8"/>
  <c r="BE24" i="8"/>
  <c r="BD24" i="8"/>
  <c r="AZ24" i="8"/>
  <c r="AY24" i="8"/>
  <c r="AU24" i="8"/>
  <c r="AT24" i="8"/>
  <c r="AP24" i="8"/>
  <c r="AO24" i="8"/>
  <c r="AJ24" i="8"/>
  <c r="AF24" i="8"/>
  <c r="AE24" i="8"/>
  <c r="AA24" i="8"/>
  <c r="Z24" i="8"/>
  <c r="V24" i="8"/>
  <c r="U24" i="8"/>
  <c r="Q24" i="8"/>
  <c r="P24" i="8"/>
  <c r="L24" i="8"/>
  <c r="K24" i="8"/>
  <c r="G24" i="8"/>
  <c r="F24" i="8"/>
  <c r="C24" i="8"/>
  <c r="B24" i="8"/>
  <c r="A24" i="8"/>
  <c r="DM24" i="8" s="1"/>
  <c r="EU23" i="8"/>
  <c r="EP23" i="8"/>
  <c r="EK23" i="8"/>
  <c r="EF23" i="8"/>
  <c r="EA23" i="8"/>
  <c r="DV23" i="8"/>
  <c r="DR23" i="8"/>
  <c r="DQ23" i="8"/>
  <c r="DL23" i="8"/>
  <c r="DH23" i="8"/>
  <c r="DG23" i="8"/>
  <c r="DB23" i="8"/>
  <c r="CW23" i="8"/>
  <c r="CR23" i="8"/>
  <c r="CM23" i="8"/>
  <c r="CH23" i="8"/>
  <c r="CC23" i="8"/>
  <c r="BX23" i="8"/>
  <c r="BS23" i="8"/>
  <c r="BO23" i="8"/>
  <c r="BN23" i="8"/>
  <c r="BJ23" i="8"/>
  <c r="BI23" i="8"/>
  <c r="C23" i="8"/>
  <c r="B23" i="8"/>
  <c r="A23" i="8"/>
  <c r="U23" i="8" s="1"/>
  <c r="EU22" i="8"/>
  <c r="EP22" i="8"/>
  <c r="EL22" i="8"/>
  <c r="EK22" i="8"/>
  <c r="EG22" i="8"/>
  <c r="EF22" i="8"/>
  <c r="EA22" i="8"/>
  <c r="DW22" i="8"/>
  <c r="DV22" i="8"/>
  <c r="DQ22" i="8"/>
  <c r="DL22" i="8"/>
  <c r="DG22" i="8"/>
  <c r="DC22" i="8"/>
  <c r="DB22" i="8"/>
  <c r="CW22" i="8"/>
  <c r="CS22" i="8"/>
  <c r="CR22" i="8"/>
  <c r="CN22" i="8"/>
  <c r="CM22" i="8"/>
  <c r="CI22" i="8"/>
  <c r="CH22" i="8"/>
  <c r="CC22" i="8"/>
  <c r="BX22" i="8"/>
  <c r="BS22" i="8"/>
  <c r="BN22" i="8"/>
  <c r="BI22" i="8"/>
  <c r="BD22" i="8"/>
  <c r="AY22" i="8"/>
  <c r="AU22" i="8"/>
  <c r="AT22" i="8"/>
  <c r="AO22" i="8"/>
  <c r="AK22" i="8"/>
  <c r="AJ22" i="8"/>
  <c r="AE22" i="8"/>
  <c r="Z22" i="8"/>
  <c r="U22" i="8"/>
  <c r="Q22" i="8"/>
  <c r="P22" i="8"/>
  <c r="K22" i="8"/>
  <c r="F22" i="8"/>
  <c r="C22" i="8"/>
  <c r="B22" i="8"/>
  <c r="A22" i="8"/>
  <c r="EV21" i="8"/>
  <c r="EU21" i="8"/>
  <c r="EQ21" i="8"/>
  <c r="EP21" i="8"/>
  <c r="EL21" i="8"/>
  <c r="EK21" i="8"/>
  <c r="EG21" i="8"/>
  <c r="EF21" i="8"/>
  <c r="EB21" i="8"/>
  <c r="EA21" i="8"/>
  <c r="DW21" i="8"/>
  <c r="DV21" i="8"/>
  <c r="DQ21" i="8"/>
  <c r="DM21" i="8"/>
  <c r="DL21" i="8"/>
  <c r="DH21" i="8"/>
  <c r="DG21" i="8"/>
  <c r="DC21" i="8"/>
  <c r="DB21" i="8"/>
  <c r="CX21" i="8"/>
  <c r="CW21" i="8"/>
  <c r="CS21" i="8"/>
  <c r="CR21" i="8"/>
  <c r="CN21" i="8"/>
  <c r="CM21" i="8"/>
  <c r="CH21" i="8"/>
  <c r="CC21" i="8"/>
  <c r="BY21" i="8"/>
  <c r="BX21" i="8"/>
  <c r="BT21" i="8"/>
  <c r="BS21" i="8"/>
  <c r="BO21" i="8"/>
  <c r="BN21" i="8"/>
  <c r="BJ21" i="8"/>
  <c r="BI21" i="8"/>
  <c r="BE21" i="8"/>
  <c r="BD21" i="8"/>
  <c r="AZ21" i="8"/>
  <c r="AY21" i="8"/>
  <c r="AU21" i="8"/>
  <c r="AK21" i="8"/>
  <c r="AJ21" i="8"/>
  <c r="AF21" i="8"/>
  <c r="AA21" i="8"/>
  <c r="Z21" i="8"/>
  <c r="V21" i="8"/>
  <c r="U21" i="8"/>
  <c r="Q21" i="8"/>
  <c r="P21" i="8"/>
  <c r="L21" i="8"/>
  <c r="K21" i="8"/>
  <c r="G21" i="8"/>
  <c r="F21" i="8"/>
  <c r="C21" i="8"/>
  <c r="B21" i="8"/>
  <c r="A21" i="8"/>
  <c r="EV20" i="8"/>
  <c r="EU20" i="8"/>
  <c r="EP20" i="8"/>
  <c r="EL20" i="8"/>
  <c r="EK20" i="8"/>
  <c r="EG20" i="8"/>
  <c r="EF20" i="8"/>
  <c r="EB20" i="8"/>
  <c r="EA20" i="8"/>
  <c r="DW20" i="8"/>
  <c r="DV20" i="8"/>
  <c r="DR20" i="8"/>
  <c r="DQ20" i="8"/>
  <c r="DL20" i="8"/>
  <c r="DH20" i="8"/>
  <c r="DG20" i="8"/>
  <c r="DB20" i="8"/>
  <c r="CX20" i="8"/>
  <c r="CW20" i="8"/>
  <c r="CS20" i="8"/>
  <c r="CR20" i="8"/>
  <c r="CN20" i="8"/>
  <c r="CM20" i="8"/>
  <c r="CI20" i="8"/>
  <c r="CH20" i="8"/>
  <c r="CD20" i="8"/>
  <c r="CC20" i="8"/>
  <c r="BX20" i="8"/>
  <c r="BT20" i="8"/>
  <c r="BS20" i="8"/>
  <c r="BN20" i="8"/>
  <c r="BJ20" i="8"/>
  <c r="BI20" i="8"/>
  <c r="BE20" i="8"/>
  <c r="BD20" i="8"/>
  <c r="AZ20" i="8"/>
  <c r="AY20" i="8"/>
  <c r="AU20" i="8"/>
  <c r="AT20" i="8"/>
  <c r="AP20" i="8"/>
  <c r="AJ20" i="8"/>
  <c r="AF20" i="8"/>
  <c r="AE20" i="8"/>
  <c r="Z20" i="8"/>
  <c r="V20" i="8"/>
  <c r="U20" i="8"/>
  <c r="Q20" i="8"/>
  <c r="P20" i="8"/>
  <c r="L20" i="8"/>
  <c r="K20" i="8"/>
  <c r="G20" i="8"/>
  <c r="F20" i="8"/>
  <c r="C20" i="8"/>
  <c r="B20" i="8"/>
  <c r="A20" i="8"/>
  <c r="AO20" i="8" s="1"/>
  <c r="EV19" i="8"/>
  <c r="EU19" i="8"/>
  <c r="EQ19" i="8"/>
  <c r="EP19" i="8"/>
  <c r="EL19" i="8"/>
  <c r="EK19" i="8"/>
  <c r="EG19" i="8"/>
  <c r="EF19" i="8"/>
  <c r="EB19" i="8"/>
  <c r="EA19" i="8"/>
  <c r="DW19" i="8"/>
  <c r="DV19" i="8"/>
  <c r="DR19" i="8"/>
  <c r="DQ19" i="8"/>
  <c r="DL19" i="8"/>
  <c r="DH19" i="8"/>
  <c r="DG19" i="8"/>
  <c r="DC19" i="8"/>
  <c r="DB19" i="8"/>
  <c r="CX19" i="8"/>
  <c r="CW19" i="8"/>
  <c r="CS19" i="8"/>
  <c r="CR19" i="8"/>
  <c r="CN19" i="8"/>
  <c r="CM19" i="8"/>
  <c r="CI19" i="8"/>
  <c r="CH19" i="8"/>
  <c r="CD19" i="8"/>
  <c r="CC19" i="8"/>
  <c r="BX19" i="8"/>
  <c r="BT19" i="8"/>
  <c r="BS19" i="8"/>
  <c r="BO19" i="8"/>
  <c r="BN19" i="8"/>
  <c r="BJ19" i="8"/>
  <c r="BI19" i="8"/>
  <c r="BE19" i="8"/>
  <c r="BD19" i="8"/>
  <c r="AZ19" i="8"/>
  <c r="AY19" i="8"/>
  <c r="AU19" i="8"/>
  <c r="AT19" i="8"/>
  <c r="AP19" i="8"/>
  <c r="AO19" i="8"/>
  <c r="AJ19" i="8"/>
  <c r="AF19" i="8"/>
  <c r="AE19" i="8"/>
  <c r="AA19" i="8"/>
  <c r="V19" i="8"/>
  <c r="U19" i="8"/>
  <c r="Q19" i="8"/>
  <c r="P19" i="8"/>
  <c r="L19" i="8"/>
  <c r="K19" i="8"/>
  <c r="G19" i="8"/>
  <c r="F19" i="8"/>
  <c r="C19" i="8"/>
  <c r="B19" i="8"/>
  <c r="A19" i="8"/>
  <c r="DM19" i="8" s="1"/>
  <c r="EU18" i="8"/>
  <c r="EP18" i="8"/>
  <c r="EK18" i="8"/>
  <c r="EF18" i="8"/>
  <c r="EA18" i="8"/>
  <c r="DV18" i="8"/>
  <c r="DQ18" i="8"/>
  <c r="DL18" i="8"/>
  <c r="DG18" i="8"/>
  <c r="DC18" i="8"/>
  <c r="DB18" i="8"/>
  <c r="CZ35" i="8" s="1"/>
  <c r="CW18" i="8"/>
  <c r="CR18" i="8"/>
  <c r="CM18" i="8"/>
  <c r="CH18" i="8"/>
  <c r="CC18" i="8"/>
  <c r="BX18" i="8"/>
  <c r="BS18" i="8"/>
  <c r="BN18" i="8"/>
  <c r="BI18" i="8"/>
  <c r="BE18" i="8"/>
  <c r="BD18" i="8"/>
  <c r="AZ18" i="8"/>
  <c r="AT18" i="8"/>
  <c r="AP18" i="8"/>
  <c r="C18" i="8"/>
  <c r="B18" i="8"/>
  <c r="A18" i="8"/>
  <c r="EB18" i="8" s="1"/>
  <c r="EU17" i="8"/>
  <c r="EQ17" i="8"/>
  <c r="EP17" i="8"/>
  <c r="EL17" i="8"/>
  <c r="EK17" i="8"/>
  <c r="EG17" i="8"/>
  <c r="EF17" i="8"/>
  <c r="EA17" i="8"/>
  <c r="DW17" i="8"/>
  <c r="DV17" i="8"/>
  <c r="DR17" i="8"/>
  <c r="DQ17" i="8"/>
  <c r="DM17" i="8"/>
  <c r="DL17" i="8"/>
  <c r="DG17" i="8"/>
  <c r="DC17" i="8"/>
  <c r="DB17" i="8"/>
  <c r="CW17" i="8"/>
  <c r="CS17" i="8"/>
  <c r="CR17" i="8"/>
  <c r="CN17" i="8"/>
  <c r="CM17" i="8"/>
  <c r="CH17" i="8"/>
  <c r="CD17" i="8"/>
  <c r="CC17" i="8"/>
  <c r="BY17" i="8"/>
  <c r="BX17" i="8"/>
  <c r="BS17" i="8"/>
  <c r="BO17" i="8"/>
  <c r="BN17" i="8"/>
  <c r="BJ17" i="8"/>
  <c r="BI17" i="8"/>
  <c r="BE17" i="8"/>
  <c r="BD17" i="8"/>
  <c r="AZ17" i="8"/>
  <c r="AY17" i="8"/>
  <c r="AP17" i="8"/>
  <c r="AO17" i="8"/>
  <c r="AK17" i="8"/>
  <c r="AJ17" i="8"/>
  <c r="AA17" i="8"/>
  <c r="Z17" i="8"/>
  <c r="V17" i="8"/>
  <c r="Q17" i="8"/>
  <c r="P17" i="8"/>
  <c r="K17" i="8"/>
  <c r="G17" i="8"/>
  <c r="F17" i="8"/>
  <c r="C17" i="8"/>
  <c r="B17" i="8"/>
  <c r="A17" i="8"/>
  <c r="EV16" i="8"/>
  <c r="EU16" i="8"/>
  <c r="EP16" i="8"/>
  <c r="EK16" i="8"/>
  <c r="EF16" i="8"/>
  <c r="EA16" i="8"/>
  <c r="DV16" i="8"/>
  <c r="DQ16" i="8"/>
  <c r="DL16" i="8"/>
  <c r="DG16" i="8"/>
  <c r="DB16" i="8"/>
  <c r="CW16" i="8"/>
  <c r="CR16" i="8"/>
  <c r="CP35" i="8" s="1"/>
  <c r="CN16" i="8"/>
  <c r="CM16" i="8"/>
  <c r="CK35" i="8" s="1"/>
  <c r="CH16" i="8"/>
  <c r="CC16" i="8"/>
  <c r="BX16" i="8"/>
  <c r="BS16" i="8"/>
  <c r="BN16" i="8"/>
  <c r="BI16" i="8"/>
  <c r="AU16" i="8"/>
  <c r="AT16" i="8"/>
  <c r="AP16" i="8"/>
  <c r="AO16" i="8"/>
  <c r="AK16" i="8"/>
  <c r="Z16" i="8"/>
  <c r="V16" i="8"/>
  <c r="C16" i="8"/>
  <c r="B16" i="8"/>
  <c r="A16" i="8"/>
  <c r="DW16" i="8" s="1"/>
  <c r="EU15" i="8"/>
  <c r="EP15" i="8"/>
  <c r="EK15" i="8"/>
  <c r="EF15" i="8"/>
  <c r="EB15" i="8"/>
  <c r="EA15" i="8"/>
  <c r="DV15" i="8"/>
  <c r="DT35" i="8" s="1"/>
  <c r="DR15" i="8"/>
  <c r="DQ15" i="8"/>
  <c r="DL15" i="8"/>
  <c r="DG15" i="8"/>
  <c r="DB15" i="8"/>
  <c r="CW15" i="8"/>
  <c r="CR15" i="8"/>
  <c r="CM15" i="8"/>
  <c r="CH15" i="8"/>
  <c r="CC15" i="8"/>
  <c r="BY15" i="8"/>
  <c r="BX15" i="8"/>
  <c r="BT15" i="8"/>
  <c r="BS15" i="8"/>
  <c r="BN15" i="8"/>
  <c r="BJ15" i="8"/>
  <c r="BI15" i="8"/>
  <c r="BD15" i="8"/>
  <c r="AY15" i="8"/>
  <c r="AT15" i="8"/>
  <c r="AO15" i="8"/>
  <c r="AJ15" i="8"/>
  <c r="AE15" i="8"/>
  <c r="Z15" i="8"/>
  <c r="V15" i="8"/>
  <c r="U15" i="8"/>
  <c r="P15" i="8"/>
  <c r="K15" i="8"/>
  <c r="G15" i="8"/>
  <c r="F15" i="8"/>
  <c r="C15" i="8"/>
  <c r="B15" i="8"/>
  <c r="A15" i="8"/>
  <c r="CN15" i="8" s="1"/>
  <c r="EU14" i="8"/>
  <c r="EP14" i="8"/>
  <c r="EK14" i="8"/>
  <c r="EF14" i="8"/>
  <c r="EA14" i="8"/>
  <c r="DV14" i="8"/>
  <c r="DQ14" i="8"/>
  <c r="DM14" i="8"/>
  <c r="DL14" i="8"/>
  <c r="DG14" i="8"/>
  <c r="DB14" i="8"/>
  <c r="CW14" i="8"/>
  <c r="CR14" i="8"/>
  <c r="CM14" i="8"/>
  <c r="CH14" i="8"/>
  <c r="CC14" i="8"/>
  <c r="BX14" i="8"/>
  <c r="BS14" i="8"/>
  <c r="BN14" i="8"/>
  <c r="BI14" i="8"/>
  <c r="BD14" i="8"/>
  <c r="AY14" i="8"/>
  <c r="AO14" i="8"/>
  <c r="AJ14" i="8"/>
  <c r="AE14" i="8"/>
  <c r="K14" i="8"/>
  <c r="F14" i="8"/>
  <c r="C14" i="8"/>
  <c r="B14" i="8"/>
  <c r="A14" i="8"/>
  <c r="EV13" i="8"/>
  <c r="EU13" i="8"/>
  <c r="EP13" i="8"/>
  <c r="EK13" i="8"/>
  <c r="EG13" i="8"/>
  <c r="EF13" i="8"/>
  <c r="EA13" i="8"/>
  <c r="DW13" i="8"/>
  <c r="DV13" i="8"/>
  <c r="DR13" i="8"/>
  <c r="DQ13" i="8"/>
  <c r="DM13" i="8"/>
  <c r="DL13" i="8"/>
  <c r="DH13" i="8"/>
  <c r="DG13" i="8"/>
  <c r="DC13" i="8"/>
  <c r="DB13" i="8"/>
  <c r="CW13" i="8"/>
  <c r="CS13" i="8"/>
  <c r="CR13" i="8"/>
  <c r="CN13" i="8"/>
  <c r="CM13" i="8"/>
  <c r="CH13" i="8"/>
  <c r="CD13" i="8"/>
  <c r="CC13" i="8"/>
  <c r="BY13" i="8"/>
  <c r="BX13" i="8"/>
  <c r="BT13" i="8"/>
  <c r="BS13" i="8"/>
  <c r="BO13" i="8"/>
  <c r="BN13" i="8"/>
  <c r="BI13" i="8"/>
  <c r="BE13" i="8"/>
  <c r="BD13" i="8"/>
  <c r="AZ13" i="8"/>
  <c r="AU13" i="8"/>
  <c r="AO13" i="8"/>
  <c r="AK13" i="8"/>
  <c r="AJ13" i="8"/>
  <c r="AF13" i="8"/>
  <c r="AE13" i="8"/>
  <c r="AA13" i="8"/>
  <c r="Z13" i="8"/>
  <c r="Q13" i="8"/>
  <c r="P13" i="8"/>
  <c r="K13" i="8"/>
  <c r="G13" i="8"/>
  <c r="F13" i="8"/>
  <c r="C13" i="8"/>
  <c r="B13" i="8"/>
  <c r="A13" i="8"/>
  <c r="EU12" i="8"/>
  <c r="EP12" i="8"/>
  <c r="EK12" i="8"/>
  <c r="EF12" i="8"/>
  <c r="EA12" i="8"/>
  <c r="DV12" i="8"/>
  <c r="DQ12" i="8"/>
  <c r="DL12" i="8"/>
  <c r="DG12" i="8"/>
  <c r="DC12" i="8"/>
  <c r="DB12" i="8"/>
  <c r="CW12" i="8"/>
  <c r="CR12" i="8"/>
  <c r="CM12" i="8"/>
  <c r="CH12" i="8"/>
  <c r="CC12" i="8"/>
  <c r="BX12" i="8"/>
  <c r="BS12" i="8"/>
  <c r="BN12" i="8"/>
  <c r="BI12" i="8"/>
  <c r="BD12" i="8"/>
  <c r="AZ12" i="8"/>
  <c r="AO12" i="8"/>
  <c r="AE12" i="8"/>
  <c r="U12" i="8"/>
  <c r="K12" i="8"/>
  <c r="C12" i="8"/>
  <c r="B12" i="8"/>
  <c r="A12" i="8"/>
  <c r="P12" i="8" s="1"/>
  <c r="EV11" i="8"/>
  <c r="EU11" i="8"/>
  <c r="EP11" i="8"/>
  <c r="EK11" i="8"/>
  <c r="EF11" i="8"/>
  <c r="EA11" i="8"/>
  <c r="DV11" i="8"/>
  <c r="DQ11" i="8"/>
  <c r="DL11" i="8"/>
  <c r="DH11" i="8"/>
  <c r="DG11" i="8"/>
  <c r="DC11" i="8"/>
  <c r="DB11" i="8"/>
  <c r="CW11" i="8"/>
  <c r="CU35" i="8" s="1"/>
  <c r="CR11" i="8"/>
  <c r="CM11" i="8"/>
  <c r="CH11" i="8"/>
  <c r="CC11" i="8"/>
  <c r="BY11" i="8"/>
  <c r="BX11" i="8"/>
  <c r="BS11" i="8"/>
  <c r="BN11" i="8"/>
  <c r="BI11" i="8"/>
  <c r="AZ11" i="8"/>
  <c r="AY11" i="8"/>
  <c r="AU11" i="8"/>
  <c r="AO11" i="8"/>
  <c r="AK11" i="8"/>
  <c r="AJ11" i="8"/>
  <c r="AE11" i="8"/>
  <c r="V11" i="8"/>
  <c r="U11" i="8"/>
  <c r="K11" i="8"/>
  <c r="C11" i="8"/>
  <c r="B11" i="8"/>
  <c r="A11" i="8"/>
  <c r="EU10" i="8"/>
  <c r="EQ10" i="8"/>
  <c r="EP10" i="8"/>
  <c r="EL10" i="8"/>
  <c r="EK10" i="8"/>
  <c r="EF10" i="8"/>
  <c r="EA10" i="8"/>
  <c r="DV10" i="8"/>
  <c r="DQ10" i="8"/>
  <c r="DL10" i="8"/>
  <c r="DG10" i="8"/>
  <c r="DB10" i="8"/>
  <c r="CW10" i="8"/>
  <c r="CS10" i="8"/>
  <c r="CR10" i="8"/>
  <c r="CM10" i="8"/>
  <c r="CI10" i="8"/>
  <c r="CH10" i="8"/>
  <c r="CC10" i="8"/>
  <c r="BY10" i="8"/>
  <c r="BX10" i="8"/>
  <c r="BS10" i="8"/>
  <c r="BN10" i="8"/>
  <c r="BI10" i="8"/>
  <c r="AO10" i="8"/>
  <c r="AK10" i="8"/>
  <c r="AJ10" i="8"/>
  <c r="AF10" i="8"/>
  <c r="AE10" i="8"/>
  <c r="U10" i="8"/>
  <c r="Q10" i="8"/>
  <c r="P10" i="8"/>
  <c r="K10" i="8"/>
  <c r="C10" i="8"/>
  <c r="B10" i="8"/>
  <c r="A10" i="8"/>
  <c r="AY10" i="8" s="1"/>
  <c r="EU9" i="8"/>
  <c r="EP9" i="8"/>
  <c r="EK9" i="8"/>
  <c r="EF9" i="8"/>
  <c r="EA9" i="8"/>
  <c r="DV9" i="8"/>
  <c r="DR9" i="8"/>
  <c r="DQ9" i="8"/>
  <c r="DL9" i="8"/>
  <c r="DG9" i="8"/>
  <c r="DB9" i="8"/>
  <c r="CW9" i="8"/>
  <c r="CR9" i="8"/>
  <c r="CM9" i="8"/>
  <c r="CH9" i="8"/>
  <c r="CC9" i="8"/>
  <c r="BX9" i="8"/>
  <c r="BS9" i="8"/>
  <c r="BO9" i="8"/>
  <c r="BN9" i="8"/>
  <c r="BJ9" i="8"/>
  <c r="BI9" i="8"/>
  <c r="C9" i="8"/>
  <c r="B9" i="8"/>
  <c r="A9" i="8"/>
  <c r="V9" i="8" s="1"/>
  <c r="EV8" i="8"/>
  <c r="EU8" i="8"/>
  <c r="EQ8" i="8"/>
  <c r="EP8" i="8"/>
  <c r="EL8" i="8"/>
  <c r="EK8" i="8"/>
  <c r="EG8" i="8"/>
  <c r="EF8" i="8"/>
  <c r="EB8" i="8"/>
  <c r="EA8" i="8"/>
  <c r="DW8" i="8"/>
  <c r="DV8" i="8"/>
  <c r="DR8" i="8"/>
  <c r="DQ8" i="8"/>
  <c r="DL8" i="8"/>
  <c r="DH8" i="8"/>
  <c r="DG8" i="8"/>
  <c r="DE35" i="8" s="1"/>
  <c r="DC8" i="8"/>
  <c r="DB8" i="8"/>
  <c r="CX8" i="8"/>
  <c r="CW8" i="8"/>
  <c r="CS8" i="8"/>
  <c r="CR8" i="8"/>
  <c r="CN8" i="8"/>
  <c r="CM8" i="8"/>
  <c r="CI8" i="8"/>
  <c r="CH8" i="8"/>
  <c r="CD8" i="8"/>
  <c r="CC8" i="8"/>
  <c r="BX8" i="8"/>
  <c r="BT8" i="8"/>
  <c r="BS8" i="8"/>
  <c r="BO8" i="8"/>
  <c r="BN8" i="8"/>
  <c r="BJ8" i="8"/>
  <c r="BI8" i="8"/>
  <c r="BE8" i="8"/>
  <c r="BD8" i="8"/>
  <c r="AZ8" i="8"/>
  <c r="AY8" i="8"/>
  <c r="AU8" i="8"/>
  <c r="AT8" i="8"/>
  <c r="AP8" i="8"/>
  <c r="AO8" i="8"/>
  <c r="AJ8" i="8"/>
  <c r="AF8" i="8"/>
  <c r="AE8" i="8"/>
  <c r="AA8" i="8"/>
  <c r="Z8" i="8"/>
  <c r="V8" i="8"/>
  <c r="U8" i="8"/>
  <c r="Q8" i="8"/>
  <c r="P8" i="8"/>
  <c r="L8" i="8"/>
  <c r="K8" i="8"/>
  <c r="G8" i="8"/>
  <c r="F8" i="8"/>
  <c r="C8" i="8"/>
  <c r="B8" i="8"/>
  <c r="A8" i="8"/>
  <c r="DM8" i="8" s="1"/>
  <c r="EU7" i="8"/>
  <c r="EQ7" i="8"/>
  <c r="EP7" i="8"/>
  <c r="EL7" i="8"/>
  <c r="EK7" i="8"/>
  <c r="EF7" i="8"/>
  <c r="EB7" i="8"/>
  <c r="EA7" i="8"/>
  <c r="DY35" i="8" s="1"/>
  <c r="DV7" i="8"/>
  <c r="DQ7" i="8"/>
  <c r="DL7" i="8"/>
  <c r="DH7" i="8"/>
  <c r="DG7" i="8"/>
  <c r="DB7" i="8"/>
  <c r="CW7" i="8"/>
  <c r="CR7" i="8"/>
  <c r="CN7" i="8"/>
  <c r="CM7" i="8"/>
  <c r="CH7" i="8"/>
  <c r="CD7" i="8"/>
  <c r="CC7" i="8"/>
  <c r="BY7" i="8"/>
  <c r="BX7" i="8"/>
  <c r="BS7" i="8"/>
  <c r="BN7" i="8"/>
  <c r="BI7" i="8"/>
  <c r="BD7" i="8"/>
  <c r="AY7" i="8"/>
  <c r="AO7" i="8"/>
  <c r="AJ7" i="8"/>
  <c r="AF7" i="8"/>
  <c r="AE7" i="8"/>
  <c r="AA7" i="8"/>
  <c r="Z7" i="8"/>
  <c r="L7" i="8"/>
  <c r="K7" i="8"/>
  <c r="F7" i="8"/>
  <c r="C7" i="8"/>
  <c r="B7" i="8"/>
  <c r="A7" i="8"/>
  <c r="AK7" i="8" s="1"/>
  <c r="EU6" i="8"/>
  <c r="EQ6" i="8"/>
  <c r="EP6" i="8"/>
  <c r="EL6" i="8"/>
  <c r="EK6" i="8"/>
  <c r="EG6" i="8"/>
  <c r="EF6" i="8"/>
  <c r="EB6" i="8"/>
  <c r="EA6" i="8"/>
  <c r="DW6" i="8"/>
  <c r="DV6" i="8"/>
  <c r="DQ6" i="8"/>
  <c r="DO35" i="8" s="1"/>
  <c r="DM6" i="8"/>
  <c r="DL6" i="8"/>
  <c r="DG6" i="8"/>
  <c r="DC6" i="8"/>
  <c r="DB6" i="8"/>
  <c r="CX6" i="8"/>
  <c r="CW6" i="8"/>
  <c r="CS6" i="8"/>
  <c r="CR6" i="8"/>
  <c r="CN6" i="8"/>
  <c r="CM6" i="8"/>
  <c r="CI6" i="8"/>
  <c r="CH6" i="8"/>
  <c r="CC6" i="8"/>
  <c r="BY6" i="8"/>
  <c r="BX6" i="8"/>
  <c r="BS6" i="8"/>
  <c r="BO6" i="8"/>
  <c r="BN6" i="8"/>
  <c r="BJ6" i="8"/>
  <c r="BI6" i="8"/>
  <c r="BE6" i="8"/>
  <c r="BD6" i="8"/>
  <c r="AZ6" i="8"/>
  <c r="AY6" i="8"/>
  <c r="AU6" i="8"/>
  <c r="AT6" i="8"/>
  <c r="AO6" i="8"/>
  <c r="AK6" i="8"/>
  <c r="AJ6" i="8"/>
  <c r="AE6" i="8"/>
  <c r="Z6" i="8"/>
  <c r="V6" i="8"/>
  <c r="U6" i="8"/>
  <c r="Q6" i="8"/>
  <c r="P6" i="8"/>
  <c r="L6" i="8"/>
  <c r="K6" i="8"/>
  <c r="G6" i="8"/>
  <c r="C6" i="8"/>
  <c r="B6" i="8"/>
  <c r="A6" i="8"/>
  <c r="AA6" i="8" s="1"/>
  <c r="EU5" i="8"/>
  <c r="EQ5" i="8"/>
  <c r="EP5" i="8"/>
  <c r="EK5" i="8"/>
  <c r="EG5" i="8"/>
  <c r="EF5" i="8"/>
  <c r="ED35" i="8" s="1"/>
  <c r="EA5" i="8"/>
  <c r="DV5" i="8"/>
  <c r="DQ5" i="8"/>
  <c r="DM5" i="8"/>
  <c r="DL5" i="8"/>
  <c r="DG5" i="8"/>
  <c r="DC5" i="8"/>
  <c r="DB5" i="8"/>
  <c r="CX5" i="8"/>
  <c r="CW5" i="8"/>
  <c r="CR5" i="8"/>
  <c r="CM5" i="8"/>
  <c r="CI5" i="8"/>
  <c r="CH5" i="8"/>
  <c r="CC5" i="8"/>
  <c r="BX5" i="8"/>
  <c r="BS5" i="8"/>
  <c r="BN5" i="8"/>
  <c r="BJ5" i="8"/>
  <c r="BI5" i="8"/>
  <c r="AY5" i="8"/>
  <c r="AU5" i="8"/>
  <c r="AJ5" i="8"/>
  <c r="AF5" i="8"/>
  <c r="AA5" i="8"/>
  <c r="P5" i="8"/>
  <c r="L5" i="8"/>
  <c r="F5" i="8"/>
  <c r="C5" i="8"/>
  <c r="B5" i="8"/>
  <c r="A5" i="8"/>
  <c r="AZ5" i="8" s="1"/>
  <c r="EV4" i="8"/>
  <c r="EU4" i="8"/>
  <c r="EP4" i="8"/>
  <c r="EL4" i="8"/>
  <c r="EK4" i="8"/>
  <c r="EG4" i="8"/>
  <c r="EF4" i="8"/>
  <c r="EB4" i="8"/>
  <c r="EA4" i="8"/>
  <c r="DW4" i="8"/>
  <c r="DV4" i="8"/>
  <c r="DR4" i="8"/>
  <c r="DQ4" i="8"/>
  <c r="DL4" i="8"/>
  <c r="DJ35" i="8" s="1"/>
  <c r="DH4" i="8"/>
  <c r="DG4" i="8"/>
  <c r="DB4" i="8"/>
  <c r="CX4" i="8"/>
  <c r="CW4" i="8"/>
  <c r="CS4" i="8"/>
  <c r="CR4" i="8"/>
  <c r="CN4" i="8"/>
  <c r="CM4" i="8"/>
  <c r="CI4" i="8"/>
  <c r="CH4" i="8"/>
  <c r="CD4" i="8"/>
  <c r="CC4" i="8"/>
  <c r="BX4" i="8"/>
  <c r="BT4" i="8"/>
  <c r="BS4" i="8"/>
  <c r="BQ35" i="8" s="1"/>
  <c r="BN4" i="8"/>
  <c r="BJ4" i="8"/>
  <c r="BI4" i="8"/>
  <c r="BE4" i="8"/>
  <c r="BD4" i="8"/>
  <c r="AZ4" i="8"/>
  <c r="AY4" i="8"/>
  <c r="AU4" i="8"/>
  <c r="AT4" i="8"/>
  <c r="AP4" i="8"/>
  <c r="AJ4" i="8"/>
  <c r="AF4" i="8"/>
  <c r="AE4" i="8"/>
  <c r="Z4" i="8"/>
  <c r="V4" i="8"/>
  <c r="U4" i="8"/>
  <c r="Q4" i="8"/>
  <c r="P4" i="8"/>
  <c r="L4" i="8"/>
  <c r="K4" i="8"/>
  <c r="G4" i="8"/>
  <c r="F4" i="8"/>
  <c r="C4" i="8"/>
  <c r="B4" i="8"/>
  <c r="A4" i="8"/>
  <c r="AO4" i="8" s="1"/>
  <c r="ES2" i="8"/>
  <c r="EN2" i="8"/>
  <c r="EI2" i="8"/>
  <c r="ED2" i="8"/>
  <c r="DY2" i="8"/>
  <c r="DT2" i="8"/>
  <c r="DO2" i="8"/>
  <c r="DJ2" i="8"/>
  <c r="DE2" i="8"/>
  <c r="CZ2" i="8"/>
  <c r="CU2" i="8"/>
  <c r="CP2" i="8"/>
  <c r="CK2" i="8"/>
  <c r="CF2" i="8"/>
  <c r="CA2" i="8"/>
  <c r="BV2" i="8"/>
  <c r="BQ2" i="8"/>
  <c r="BL2" i="8"/>
  <c r="BG2" i="8"/>
  <c r="BB2" i="8"/>
  <c r="AW2" i="8"/>
  <c r="AR2" i="8"/>
  <c r="AM2" i="8"/>
  <c r="AH2" i="8"/>
  <c r="AC2" i="8"/>
  <c r="X2" i="8"/>
  <c r="S2" i="8"/>
  <c r="N2" i="8"/>
  <c r="I2" i="8"/>
  <c r="D2" i="8"/>
  <c r="A1" i="8"/>
  <c r="ES40" i="7"/>
  <c r="EN40" i="7"/>
  <c r="EI40" i="7"/>
  <c r="ED40" i="7"/>
  <c r="DY40" i="7"/>
  <c r="DT40" i="7"/>
  <c r="DO40" i="7"/>
  <c r="DJ40" i="7"/>
  <c r="DE40" i="7"/>
  <c r="CZ40" i="7"/>
  <c r="CU40" i="7"/>
  <c r="CP40" i="7"/>
  <c r="CK40" i="7"/>
  <c r="CF40" i="7"/>
  <c r="CA40" i="7"/>
  <c r="BV40" i="7"/>
  <c r="BQ40" i="7"/>
  <c r="BL40" i="7"/>
  <c r="BG40" i="7"/>
  <c r="BB40" i="7"/>
  <c r="AW40" i="7"/>
  <c r="AR40" i="7"/>
  <c r="AM40" i="7"/>
  <c r="AH40" i="7"/>
  <c r="AC40" i="7"/>
  <c r="X40" i="7"/>
  <c r="S40" i="7"/>
  <c r="N40" i="7"/>
  <c r="I40" i="7"/>
  <c r="D40" i="7"/>
  <c r="ES39" i="7"/>
  <c r="EN39" i="7"/>
  <c r="EI39" i="7"/>
  <c r="ED39" i="7"/>
  <c r="DY39" i="7"/>
  <c r="DT39" i="7"/>
  <c r="DO39" i="7"/>
  <c r="DJ39" i="7"/>
  <c r="DE39" i="7"/>
  <c r="CZ39" i="7"/>
  <c r="CU39" i="7"/>
  <c r="CP39" i="7"/>
  <c r="CK39" i="7"/>
  <c r="CF39" i="7"/>
  <c r="CA39" i="7"/>
  <c r="BV39" i="7"/>
  <c r="BQ39" i="7"/>
  <c r="BL39" i="7"/>
  <c r="BG39" i="7"/>
  <c r="BB39" i="7"/>
  <c r="AW39" i="7"/>
  <c r="AR39" i="7"/>
  <c r="AM39" i="7"/>
  <c r="AH39" i="7"/>
  <c r="AC39" i="7"/>
  <c r="X39" i="7"/>
  <c r="S39" i="7"/>
  <c r="N39" i="7"/>
  <c r="I39" i="7"/>
  <c r="D39" i="7"/>
  <c r="ES38" i="7"/>
  <c r="EN38" i="7"/>
  <c r="EI38" i="7"/>
  <c r="ED38" i="7"/>
  <c r="DY38" i="7"/>
  <c r="DT38" i="7"/>
  <c r="DO38" i="7"/>
  <c r="DJ38" i="7"/>
  <c r="DE38" i="7"/>
  <c r="CZ38" i="7"/>
  <c r="CU38" i="7"/>
  <c r="CP38" i="7"/>
  <c r="CK38" i="7"/>
  <c r="CF38" i="7"/>
  <c r="CA38" i="7"/>
  <c r="BV38" i="7"/>
  <c r="BQ38" i="7"/>
  <c r="BL38" i="7"/>
  <c r="BG38" i="7"/>
  <c r="BB38" i="7"/>
  <c r="AW38" i="7"/>
  <c r="AR38" i="7"/>
  <c r="R12" i="19" s="1"/>
  <c r="AM38" i="7"/>
  <c r="AH38" i="7"/>
  <c r="AC38" i="7"/>
  <c r="X38" i="7"/>
  <c r="S38" i="7"/>
  <c r="N38" i="7"/>
  <c r="I38" i="7"/>
  <c r="D38" i="7"/>
  <c r="EU34" i="7"/>
  <c r="EQ34" i="7"/>
  <c r="EP34" i="7"/>
  <c r="EK34" i="7"/>
  <c r="EG34" i="7"/>
  <c r="EF34" i="7"/>
  <c r="EA34" i="7"/>
  <c r="DV34" i="7"/>
  <c r="DQ34" i="7"/>
  <c r="DL34" i="7"/>
  <c r="DG34" i="7"/>
  <c r="DB34" i="7"/>
  <c r="CX34" i="7"/>
  <c r="CW34" i="7"/>
  <c r="CS34" i="7"/>
  <c r="CR34" i="7"/>
  <c r="CM34" i="7"/>
  <c r="CH34" i="7"/>
  <c r="CD34" i="7"/>
  <c r="CC34" i="7"/>
  <c r="BX34" i="7"/>
  <c r="BS34" i="7"/>
  <c r="BN34" i="7"/>
  <c r="BE34" i="7"/>
  <c r="BD34" i="7"/>
  <c r="AZ34" i="7"/>
  <c r="AT34" i="7"/>
  <c r="AP34" i="7"/>
  <c r="AO34" i="7"/>
  <c r="AE34" i="7"/>
  <c r="AA34" i="7"/>
  <c r="P34" i="7"/>
  <c r="L34" i="7"/>
  <c r="K34" i="7"/>
  <c r="C34" i="7"/>
  <c r="B34" i="7"/>
  <c r="A34" i="7"/>
  <c r="BO34" i="7" s="1"/>
  <c r="EU33" i="7"/>
  <c r="EP33" i="7"/>
  <c r="EL33" i="7"/>
  <c r="EK33" i="7"/>
  <c r="EG33" i="7"/>
  <c r="EF33" i="7"/>
  <c r="EA33" i="7"/>
  <c r="DV33" i="7"/>
  <c r="DQ33" i="7"/>
  <c r="DL33" i="7"/>
  <c r="DG33" i="7"/>
  <c r="DB33" i="7"/>
  <c r="CW33" i="7"/>
  <c r="CR33" i="7"/>
  <c r="CN33" i="7"/>
  <c r="CM33" i="7"/>
  <c r="CI33" i="7"/>
  <c r="CH33" i="7"/>
  <c r="CC33" i="7"/>
  <c r="BX33" i="7"/>
  <c r="BS33" i="7"/>
  <c r="BN33" i="7"/>
  <c r="BE33" i="7"/>
  <c r="AT33" i="7"/>
  <c r="AO33" i="7"/>
  <c r="AK33" i="7"/>
  <c r="V33" i="7"/>
  <c r="P33" i="7"/>
  <c r="L33" i="7"/>
  <c r="K33" i="7"/>
  <c r="C33" i="7"/>
  <c r="B33" i="7"/>
  <c r="A33" i="7"/>
  <c r="BD33" i="7" s="1"/>
  <c r="EV32" i="7"/>
  <c r="EU32" i="7"/>
  <c r="EP32" i="7"/>
  <c r="EL32" i="7"/>
  <c r="EK32" i="7"/>
  <c r="EF32" i="7"/>
  <c r="EA32" i="7"/>
  <c r="DW32" i="7"/>
  <c r="DV32" i="7"/>
  <c r="DQ32" i="7"/>
  <c r="DM32" i="7"/>
  <c r="DL32" i="7"/>
  <c r="DG32" i="7"/>
  <c r="DB32" i="7"/>
  <c r="CW32" i="7"/>
  <c r="CS32" i="7"/>
  <c r="CR32" i="7"/>
  <c r="CM32" i="7"/>
  <c r="CH32" i="7"/>
  <c r="CD32" i="7"/>
  <c r="CC32" i="7"/>
  <c r="BY32" i="7"/>
  <c r="BX32" i="7"/>
  <c r="BS32" i="7"/>
  <c r="BN32" i="7"/>
  <c r="BI32" i="7"/>
  <c r="BE32" i="7"/>
  <c r="BD32" i="7"/>
  <c r="AY32" i="7"/>
  <c r="AT32" i="7"/>
  <c r="AP32" i="7"/>
  <c r="AO32" i="7"/>
  <c r="AJ32" i="7"/>
  <c r="AF32" i="7"/>
  <c r="AE32" i="7"/>
  <c r="Z32" i="7"/>
  <c r="U32" i="7"/>
  <c r="P32" i="7"/>
  <c r="L32" i="7"/>
  <c r="K32" i="7"/>
  <c r="F32" i="7"/>
  <c r="C32" i="7"/>
  <c r="B32" i="7"/>
  <c r="A32" i="7"/>
  <c r="EV31" i="7"/>
  <c r="EU31" i="7"/>
  <c r="EQ31" i="7"/>
  <c r="EP31" i="7"/>
  <c r="EL31" i="7"/>
  <c r="EK31" i="7"/>
  <c r="EG31" i="7"/>
  <c r="EF31" i="7"/>
  <c r="EB31" i="7"/>
  <c r="EA31" i="7"/>
  <c r="DW31" i="7"/>
  <c r="DV31" i="7"/>
  <c r="DR31" i="7"/>
  <c r="DQ31" i="7"/>
  <c r="DL31" i="7"/>
  <c r="DH31" i="7"/>
  <c r="DG31" i="7"/>
  <c r="DC31" i="7"/>
  <c r="DB31" i="7"/>
  <c r="CX31" i="7"/>
  <c r="CW31" i="7"/>
  <c r="CS31" i="7"/>
  <c r="CR31" i="7"/>
  <c r="CN31" i="7"/>
  <c r="CM31" i="7"/>
  <c r="CI31" i="7"/>
  <c r="CH31" i="7"/>
  <c r="CD31" i="7"/>
  <c r="CC31" i="7"/>
  <c r="BX31" i="7"/>
  <c r="BT31" i="7"/>
  <c r="BS31" i="7"/>
  <c r="BO31" i="7"/>
  <c r="BN31" i="7"/>
  <c r="BJ31" i="7"/>
  <c r="BI31" i="7"/>
  <c r="BE31" i="7"/>
  <c r="BD31" i="7"/>
  <c r="AZ31" i="7"/>
  <c r="AY31" i="7"/>
  <c r="AU31" i="7"/>
  <c r="AT31" i="7"/>
  <c r="AP31" i="7"/>
  <c r="AO31" i="7"/>
  <c r="AJ31" i="7"/>
  <c r="AF31" i="7"/>
  <c r="AE31" i="7"/>
  <c r="AA31" i="7"/>
  <c r="V31" i="7"/>
  <c r="U31" i="7"/>
  <c r="Q31" i="7"/>
  <c r="P31" i="7"/>
  <c r="L31" i="7"/>
  <c r="K31" i="7"/>
  <c r="G31" i="7"/>
  <c r="F31" i="7"/>
  <c r="C31" i="7"/>
  <c r="B31" i="7"/>
  <c r="A31" i="7"/>
  <c r="DM31" i="7" s="1"/>
  <c r="EU30" i="7"/>
  <c r="EQ30" i="7"/>
  <c r="EP30" i="7"/>
  <c r="EK30" i="7"/>
  <c r="EF30" i="7"/>
  <c r="EA30" i="7"/>
  <c r="DW30" i="7"/>
  <c r="DV30" i="7"/>
  <c r="DQ30" i="7"/>
  <c r="DL30" i="7"/>
  <c r="DH30" i="7"/>
  <c r="DG30" i="7"/>
  <c r="DB30" i="7"/>
  <c r="CW30" i="7"/>
  <c r="CS30" i="7"/>
  <c r="CR30" i="7"/>
  <c r="CN30" i="7"/>
  <c r="CM30" i="7"/>
  <c r="CH30" i="7"/>
  <c r="CC30" i="7"/>
  <c r="BX30" i="7"/>
  <c r="BT30" i="7"/>
  <c r="BS30" i="7"/>
  <c r="BN30" i="7"/>
  <c r="BE30" i="7"/>
  <c r="BD30" i="7"/>
  <c r="AZ30" i="7"/>
  <c r="AY30" i="7"/>
  <c r="AU30" i="7"/>
  <c r="AT30" i="7"/>
  <c r="AP30" i="7"/>
  <c r="AO30" i="7"/>
  <c r="L30" i="7"/>
  <c r="K30" i="7"/>
  <c r="F30" i="7"/>
  <c r="C30" i="7"/>
  <c r="B30" i="7"/>
  <c r="A30" i="7"/>
  <c r="EU29" i="7"/>
  <c r="EP29" i="7"/>
  <c r="EK29" i="7"/>
  <c r="EF29" i="7"/>
  <c r="EA29" i="7"/>
  <c r="DV29" i="7"/>
  <c r="DQ29" i="7"/>
  <c r="DL29" i="7"/>
  <c r="DG29" i="7"/>
  <c r="DB29" i="7"/>
  <c r="CW29" i="7"/>
  <c r="CR29" i="7"/>
  <c r="CM29" i="7"/>
  <c r="CH29" i="7"/>
  <c r="CC29" i="7"/>
  <c r="BX29" i="7"/>
  <c r="BS29" i="7"/>
  <c r="BN29" i="7"/>
  <c r="AO29" i="7"/>
  <c r="AE29" i="7"/>
  <c r="K29" i="7"/>
  <c r="C29" i="7"/>
  <c r="B29" i="7"/>
  <c r="A29" i="7"/>
  <c r="CI29" i="7" s="1"/>
  <c r="EU28" i="7"/>
  <c r="EP28" i="7"/>
  <c r="EK28" i="7"/>
  <c r="EF28" i="7"/>
  <c r="EA28" i="7"/>
  <c r="DV28" i="7"/>
  <c r="DQ28" i="7"/>
  <c r="DL28" i="7"/>
  <c r="DG28" i="7"/>
  <c r="DC28" i="7"/>
  <c r="DB28" i="7"/>
  <c r="CW28" i="7"/>
  <c r="CR28" i="7"/>
  <c r="CM28" i="7"/>
  <c r="CH28" i="7"/>
  <c r="CC28" i="7"/>
  <c r="BX28" i="7"/>
  <c r="BS28" i="7"/>
  <c r="BN28" i="7"/>
  <c r="AZ28" i="7"/>
  <c r="AY28" i="7"/>
  <c r="AO28" i="7"/>
  <c r="AE28" i="7"/>
  <c r="K28" i="7"/>
  <c r="C28" i="7"/>
  <c r="B28" i="7"/>
  <c r="A28" i="7"/>
  <c r="EV27" i="7"/>
  <c r="EU27" i="7"/>
  <c r="EP27" i="7"/>
  <c r="EK27" i="7"/>
  <c r="EF27" i="7"/>
  <c r="EA27" i="7"/>
  <c r="DV27" i="7"/>
  <c r="DQ27" i="7"/>
  <c r="DL27" i="7"/>
  <c r="DH27" i="7"/>
  <c r="DG27" i="7"/>
  <c r="DB27" i="7"/>
  <c r="CW27" i="7"/>
  <c r="CS27" i="7"/>
  <c r="CR27" i="7"/>
  <c r="CM27" i="7"/>
  <c r="CH27" i="7"/>
  <c r="CC27" i="7"/>
  <c r="BX27" i="7"/>
  <c r="BS27" i="7"/>
  <c r="BN27" i="7"/>
  <c r="AY27" i="7"/>
  <c r="AU27" i="7"/>
  <c r="AT27" i="7"/>
  <c r="AO27" i="7"/>
  <c r="AK27" i="7"/>
  <c r="AJ27" i="7"/>
  <c r="AE27" i="7"/>
  <c r="K27" i="7"/>
  <c r="F27" i="7"/>
  <c r="C27" i="7"/>
  <c r="B27" i="7"/>
  <c r="A27" i="7"/>
  <c r="EV26" i="7"/>
  <c r="EU26" i="7"/>
  <c r="EQ26" i="7"/>
  <c r="EP26" i="7"/>
  <c r="EL26" i="7"/>
  <c r="EK26" i="7"/>
  <c r="EG26" i="7"/>
  <c r="EF26" i="7"/>
  <c r="EA26" i="7"/>
  <c r="DV26" i="7"/>
  <c r="DR26" i="7"/>
  <c r="DQ26" i="7"/>
  <c r="DM26" i="7"/>
  <c r="DL26" i="7"/>
  <c r="DH26" i="7"/>
  <c r="DG26" i="7"/>
  <c r="DC26" i="7"/>
  <c r="DB26" i="7"/>
  <c r="CX26" i="7"/>
  <c r="CW26" i="7"/>
  <c r="CS26" i="7"/>
  <c r="CR26" i="7"/>
  <c r="CM26" i="7"/>
  <c r="CI26" i="7"/>
  <c r="CH26" i="7"/>
  <c r="CD26" i="7"/>
  <c r="CC26" i="7"/>
  <c r="BY26" i="7"/>
  <c r="BX26" i="7"/>
  <c r="BT26" i="7"/>
  <c r="BS26" i="7"/>
  <c r="BO26" i="7"/>
  <c r="BN26" i="7"/>
  <c r="BJ26" i="7"/>
  <c r="BI26" i="7"/>
  <c r="BE26" i="7"/>
  <c r="BD26" i="7"/>
  <c r="AY26" i="7"/>
  <c r="AU26" i="7"/>
  <c r="AT26" i="7"/>
  <c r="AO26" i="7"/>
  <c r="AK26" i="7"/>
  <c r="AJ26" i="7"/>
  <c r="AF26" i="7"/>
  <c r="AE26" i="7"/>
  <c r="AA26" i="7"/>
  <c r="V26" i="7"/>
  <c r="U26" i="7"/>
  <c r="Q26" i="7"/>
  <c r="P26" i="7"/>
  <c r="K26" i="7"/>
  <c r="G26" i="7"/>
  <c r="F26" i="7"/>
  <c r="C26" i="7"/>
  <c r="B26" i="7"/>
  <c r="A26" i="7"/>
  <c r="EV25" i="7"/>
  <c r="EU25" i="7"/>
  <c r="EQ25" i="7"/>
  <c r="EP25" i="7"/>
  <c r="EK25" i="7"/>
  <c r="EG25" i="7"/>
  <c r="EF25" i="7"/>
  <c r="EB25" i="7"/>
  <c r="EA25" i="7"/>
  <c r="DW25" i="7"/>
  <c r="DV25" i="7"/>
  <c r="DR25" i="7"/>
  <c r="DQ25" i="7"/>
  <c r="DM25" i="7"/>
  <c r="DL25" i="7"/>
  <c r="DG25" i="7"/>
  <c r="DC25" i="7"/>
  <c r="DB25" i="7"/>
  <c r="CW25" i="7"/>
  <c r="CS25" i="7"/>
  <c r="CR25" i="7"/>
  <c r="CN25" i="7"/>
  <c r="CM25" i="7"/>
  <c r="CI25" i="7"/>
  <c r="CH25" i="7"/>
  <c r="CC25" i="7"/>
  <c r="BY25" i="7"/>
  <c r="BX25" i="7"/>
  <c r="BT25" i="7"/>
  <c r="BS25" i="7"/>
  <c r="BO25" i="7"/>
  <c r="BN25" i="7"/>
  <c r="BI25" i="7"/>
  <c r="BE25" i="7"/>
  <c r="BD25" i="7"/>
  <c r="AZ25" i="7"/>
  <c r="AY25" i="7"/>
  <c r="AU25" i="7"/>
  <c r="AT25" i="7"/>
  <c r="AP25" i="7"/>
  <c r="AO25" i="7"/>
  <c r="AK25" i="7"/>
  <c r="AJ25" i="7"/>
  <c r="AF25" i="7"/>
  <c r="AE25" i="7"/>
  <c r="Z25" i="7"/>
  <c r="U25" i="7"/>
  <c r="Q25" i="7"/>
  <c r="P25" i="7"/>
  <c r="L25" i="7"/>
  <c r="K25" i="7"/>
  <c r="G25" i="7"/>
  <c r="F25" i="7"/>
  <c r="C25" i="7"/>
  <c r="B25" i="7"/>
  <c r="A25" i="7"/>
  <c r="DH25" i="7" s="1"/>
  <c r="EU24" i="7"/>
  <c r="EP24" i="7"/>
  <c r="EK24" i="7"/>
  <c r="EG24" i="7"/>
  <c r="EF24" i="7"/>
  <c r="EA24" i="7"/>
  <c r="DV24" i="7"/>
  <c r="DQ24" i="7"/>
  <c r="DL24" i="7"/>
  <c r="DG24" i="7"/>
  <c r="DB24" i="7"/>
  <c r="CW24" i="7"/>
  <c r="CR24" i="7"/>
  <c r="CN24" i="7"/>
  <c r="CM24" i="7"/>
  <c r="CH24" i="7"/>
  <c r="CC24" i="7"/>
  <c r="BY24" i="7"/>
  <c r="BX24" i="7"/>
  <c r="BS24" i="7"/>
  <c r="BN24" i="7"/>
  <c r="BD24" i="7"/>
  <c r="AY24" i="7"/>
  <c r="AO24" i="7"/>
  <c r="AK24" i="7"/>
  <c r="AJ24" i="7"/>
  <c r="AE24" i="7"/>
  <c r="AA24" i="7"/>
  <c r="Q24" i="7"/>
  <c r="P24" i="7"/>
  <c r="L24" i="7"/>
  <c r="K24" i="7"/>
  <c r="F24" i="7"/>
  <c r="C24" i="7"/>
  <c r="B24" i="7"/>
  <c r="A24" i="7"/>
  <c r="BE24" i="7" s="1"/>
  <c r="EU23" i="7"/>
  <c r="EP23" i="7"/>
  <c r="EK23" i="7"/>
  <c r="EF23" i="7"/>
  <c r="EA23" i="7"/>
  <c r="DW23" i="7"/>
  <c r="DV23" i="7"/>
  <c r="DQ23" i="7"/>
  <c r="DM23" i="7"/>
  <c r="DL23" i="7"/>
  <c r="DG23" i="7"/>
  <c r="DB23" i="7"/>
  <c r="CW23" i="7"/>
  <c r="CR23" i="7"/>
  <c r="CM23" i="7"/>
  <c r="CH23" i="7"/>
  <c r="CD23" i="7"/>
  <c r="CC23" i="7"/>
  <c r="BX23" i="7"/>
  <c r="BT23" i="7"/>
  <c r="BS23" i="7"/>
  <c r="BO23" i="7"/>
  <c r="BN23" i="7"/>
  <c r="BD23" i="7"/>
  <c r="AY23" i="7"/>
  <c r="AP23" i="7"/>
  <c r="AO23" i="7"/>
  <c r="AJ23" i="7"/>
  <c r="AE23" i="7"/>
  <c r="Z23" i="7"/>
  <c r="V23" i="7"/>
  <c r="U23" i="7"/>
  <c r="P23" i="7"/>
  <c r="L23" i="7"/>
  <c r="K23" i="7"/>
  <c r="G23" i="7"/>
  <c r="F23" i="7"/>
  <c r="C23" i="7"/>
  <c r="B23" i="7"/>
  <c r="A23" i="7"/>
  <c r="EQ23" i="7" s="1"/>
  <c r="EU22" i="7"/>
  <c r="EP22" i="7"/>
  <c r="EK22" i="7"/>
  <c r="EF22" i="7"/>
  <c r="EA22" i="7"/>
  <c r="DV22" i="7"/>
  <c r="DQ22" i="7"/>
  <c r="DL22" i="7"/>
  <c r="DG22" i="7"/>
  <c r="DB22" i="7"/>
  <c r="CW22" i="7"/>
  <c r="CR22" i="7"/>
  <c r="CM22" i="7"/>
  <c r="CH22" i="7"/>
  <c r="CC22" i="7"/>
  <c r="BX22" i="7"/>
  <c r="BS22" i="7"/>
  <c r="BN22" i="7"/>
  <c r="BI22" i="7"/>
  <c r="AJ22" i="7"/>
  <c r="C22" i="7"/>
  <c r="B22" i="7"/>
  <c r="A22" i="7"/>
  <c r="EU21" i="7"/>
  <c r="EP21" i="7"/>
  <c r="EL21" i="7"/>
  <c r="EK21" i="7"/>
  <c r="EG21" i="7"/>
  <c r="EF21" i="7"/>
  <c r="EA21" i="7"/>
  <c r="DW21" i="7"/>
  <c r="DV21" i="7"/>
  <c r="DR21" i="7"/>
  <c r="DQ21" i="7"/>
  <c r="DL21" i="7"/>
  <c r="DH21" i="7"/>
  <c r="DG21" i="7"/>
  <c r="DB21" i="7"/>
  <c r="CW21" i="7"/>
  <c r="CS21" i="7"/>
  <c r="CR21" i="7"/>
  <c r="CM21" i="7"/>
  <c r="CH21" i="7"/>
  <c r="CD21" i="7"/>
  <c r="CC21" i="7"/>
  <c r="BY21" i="7"/>
  <c r="BX21" i="7"/>
  <c r="BS21" i="7"/>
  <c r="BO21" i="7"/>
  <c r="BN21" i="7"/>
  <c r="BE21" i="7"/>
  <c r="AP21" i="7"/>
  <c r="AK21" i="7"/>
  <c r="AJ21" i="7"/>
  <c r="AF21" i="7"/>
  <c r="AE21" i="7"/>
  <c r="AA21" i="7"/>
  <c r="Z21" i="7"/>
  <c r="V21" i="7"/>
  <c r="U21" i="7"/>
  <c r="F21" i="7"/>
  <c r="C21" i="7"/>
  <c r="B21" i="7"/>
  <c r="A21" i="7"/>
  <c r="AY21" i="7" s="1"/>
  <c r="EV20" i="7"/>
  <c r="EU20" i="7"/>
  <c r="EQ20" i="7"/>
  <c r="EP20" i="7"/>
  <c r="EL20" i="7"/>
  <c r="EK20" i="7"/>
  <c r="EG20" i="7"/>
  <c r="EF20" i="7"/>
  <c r="EB20" i="7"/>
  <c r="EA20" i="7"/>
  <c r="DW20" i="7"/>
  <c r="DV20" i="7"/>
  <c r="DR20" i="7"/>
  <c r="DQ20" i="7"/>
  <c r="DL20" i="7"/>
  <c r="DH20" i="7"/>
  <c r="DG20" i="7"/>
  <c r="DC20" i="7"/>
  <c r="DB20" i="7"/>
  <c r="CX20" i="7"/>
  <c r="CW20" i="7"/>
  <c r="CS20" i="7"/>
  <c r="CR20" i="7"/>
  <c r="CN20" i="7"/>
  <c r="CM20" i="7"/>
  <c r="CI20" i="7"/>
  <c r="CH20" i="7"/>
  <c r="CD20" i="7"/>
  <c r="CC20" i="7"/>
  <c r="BX20" i="7"/>
  <c r="BT20" i="7"/>
  <c r="BS20" i="7"/>
  <c r="BO20" i="7"/>
  <c r="BN20" i="7"/>
  <c r="BJ20" i="7"/>
  <c r="BI20" i="7"/>
  <c r="BE20" i="7"/>
  <c r="BD20" i="7"/>
  <c r="AZ20" i="7"/>
  <c r="AY20" i="7"/>
  <c r="AU20" i="7"/>
  <c r="AT20" i="7"/>
  <c r="AP20" i="7"/>
  <c r="AO20" i="7"/>
  <c r="AJ20" i="7"/>
  <c r="AF20" i="7"/>
  <c r="AE20" i="7"/>
  <c r="AA20" i="7"/>
  <c r="Z20" i="7"/>
  <c r="V20" i="7"/>
  <c r="U20" i="7"/>
  <c r="Q20" i="7"/>
  <c r="P20" i="7"/>
  <c r="L20" i="7"/>
  <c r="K20" i="7"/>
  <c r="G20" i="7"/>
  <c r="F20" i="7"/>
  <c r="C20" i="7"/>
  <c r="B20" i="7"/>
  <c r="A20" i="7"/>
  <c r="DM20" i="7" s="1"/>
  <c r="EU19" i="7"/>
  <c r="EP19" i="7"/>
  <c r="EK19" i="7"/>
  <c r="EF19" i="7"/>
  <c r="EA19" i="7"/>
  <c r="DV19" i="7"/>
  <c r="DQ19" i="7"/>
  <c r="DL19" i="7"/>
  <c r="DH19" i="7"/>
  <c r="DG19" i="7"/>
  <c r="DB19" i="7"/>
  <c r="CW19" i="7"/>
  <c r="CR19" i="7"/>
  <c r="CM19" i="7"/>
  <c r="CH19" i="7"/>
  <c r="CC19" i="7"/>
  <c r="BX19" i="7"/>
  <c r="BS19" i="7"/>
  <c r="BN19" i="7"/>
  <c r="BD19" i="7"/>
  <c r="AO19" i="7"/>
  <c r="AJ19" i="7"/>
  <c r="K19" i="7"/>
  <c r="C19" i="7"/>
  <c r="B19" i="7"/>
  <c r="A19" i="7"/>
  <c r="AA19" i="7" s="1"/>
  <c r="EU18" i="7"/>
  <c r="EP18" i="7"/>
  <c r="EK18" i="7"/>
  <c r="EF18" i="7"/>
  <c r="EA18" i="7"/>
  <c r="DV18" i="7"/>
  <c r="DQ18" i="7"/>
  <c r="DL18" i="7"/>
  <c r="DG18" i="7"/>
  <c r="DB18" i="7"/>
  <c r="CW18" i="7"/>
  <c r="CR18" i="7"/>
  <c r="CM18" i="7"/>
  <c r="CH18" i="7"/>
  <c r="CC18" i="7"/>
  <c r="BX18" i="7"/>
  <c r="BS18" i="7"/>
  <c r="BN18" i="7"/>
  <c r="BI18" i="7"/>
  <c r="BD18" i="7"/>
  <c r="AY18" i="7"/>
  <c r="AT18" i="7"/>
  <c r="AP18" i="7"/>
  <c r="AO18" i="7"/>
  <c r="AJ18" i="7"/>
  <c r="AE18" i="7"/>
  <c r="Z18" i="7"/>
  <c r="U18" i="7"/>
  <c r="P18" i="7"/>
  <c r="K18" i="7"/>
  <c r="F18" i="7"/>
  <c r="C18" i="7"/>
  <c r="B18" i="7"/>
  <c r="A18" i="7"/>
  <c r="BY18" i="7" s="1"/>
  <c r="EV17" i="7"/>
  <c r="EU17" i="7"/>
  <c r="EP17" i="7"/>
  <c r="EK17" i="7"/>
  <c r="EF17" i="7"/>
  <c r="EA17" i="7"/>
  <c r="DV17" i="7"/>
  <c r="DQ17" i="7"/>
  <c r="DL17" i="7"/>
  <c r="DG17" i="7"/>
  <c r="DC17" i="7"/>
  <c r="DB17" i="7"/>
  <c r="CX17" i="7"/>
  <c r="CW17" i="7"/>
  <c r="CR17" i="7"/>
  <c r="CM17" i="7"/>
  <c r="CH17" i="7"/>
  <c r="CC17" i="7"/>
  <c r="BX17" i="7"/>
  <c r="BS17" i="7"/>
  <c r="BN17" i="7"/>
  <c r="BE17" i="7"/>
  <c r="BD17" i="7"/>
  <c r="AY17" i="7"/>
  <c r="AU17" i="7"/>
  <c r="AJ17" i="7"/>
  <c r="F17" i="7"/>
  <c r="C17" i="7"/>
  <c r="B17" i="7"/>
  <c r="A17" i="7"/>
  <c r="EB17" i="7" s="1"/>
  <c r="EU16" i="7"/>
  <c r="EP16" i="7"/>
  <c r="EL16" i="7"/>
  <c r="EK16" i="7"/>
  <c r="EF16" i="7"/>
  <c r="EB16" i="7"/>
  <c r="EA16" i="7"/>
  <c r="DV16" i="7"/>
  <c r="DQ16" i="7"/>
  <c r="DL16" i="7"/>
  <c r="DH16" i="7"/>
  <c r="DG16" i="7"/>
  <c r="DB16" i="7"/>
  <c r="CX16" i="7"/>
  <c r="CW16" i="7"/>
  <c r="CS16" i="7"/>
  <c r="CR16" i="7"/>
  <c r="CM16" i="7"/>
  <c r="CI16" i="7"/>
  <c r="CH16" i="7"/>
  <c r="CC16" i="7"/>
  <c r="BX16" i="7"/>
  <c r="BT16" i="7"/>
  <c r="BS16" i="7"/>
  <c r="BN16" i="7"/>
  <c r="BI16" i="7"/>
  <c r="BE16" i="7"/>
  <c r="BD16" i="7"/>
  <c r="AZ16" i="7"/>
  <c r="AY16" i="7"/>
  <c r="AP16" i="7"/>
  <c r="AK16" i="7"/>
  <c r="AE16" i="7"/>
  <c r="P16" i="7"/>
  <c r="L16" i="7"/>
  <c r="K16" i="7"/>
  <c r="G16" i="7"/>
  <c r="F16" i="7"/>
  <c r="C16" i="7"/>
  <c r="B16" i="7"/>
  <c r="A16" i="7"/>
  <c r="EV15" i="7"/>
  <c r="EU15" i="7"/>
  <c r="EQ15" i="7"/>
  <c r="EP15" i="7"/>
  <c r="EL15" i="7"/>
  <c r="EK15" i="7"/>
  <c r="EG15" i="7"/>
  <c r="EF15" i="7"/>
  <c r="EB15" i="7"/>
  <c r="EA15" i="7"/>
  <c r="DW15" i="7"/>
  <c r="DV15" i="7"/>
  <c r="DR15" i="7"/>
  <c r="DQ15" i="7"/>
  <c r="DL15" i="7"/>
  <c r="DH15" i="7"/>
  <c r="DG15" i="7"/>
  <c r="DC15" i="7"/>
  <c r="DB15" i="7"/>
  <c r="CX15" i="7"/>
  <c r="CW15" i="7"/>
  <c r="CS15" i="7"/>
  <c r="CR15" i="7"/>
  <c r="CN15" i="7"/>
  <c r="CM15" i="7"/>
  <c r="CI15" i="7"/>
  <c r="CH15" i="7"/>
  <c r="CD15" i="7"/>
  <c r="CC15" i="7"/>
  <c r="BX15" i="7"/>
  <c r="BT15" i="7"/>
  <c r="BS15" i="7"/>
  <c r="BO15" i="7"/>
  <c r="BN15" i="7"/>
  <c r="BJ15" i="7"/>
  <c r="BI15" i="7"/>
  <c r="BE15" i="7"/>
  <c r="BD15" i="7"/>
  <c r="AZ15" i="7"/>
  <c r="AY15" i="7"/>
  <c r="AU15" i="7"/>
  <c r="AT15" i="7"/>
  <c r="AP15" i="7"/>
  <c r="AO15" i="7"/>
  <c r="AJ15" i="7"/>
  <c r="AF15" i="7"/>
  <c r="AE15" i="7"/>
  <c r="AA15" i="7"/>
  <c r="V15" i="7"/>
  <c r="U15" i="7"/>
  <c r="Q15" i="7"/>
  <c r="P15" i="7"/>
  <c r="L15" i="7"/>
  <c r="K15" i="7"/>
  <c r="G15" i="7"/>
  <c r="F15" i="7"/>
  <c r="C15" i="7"/>
  <c r="B15" i="7"/>
  <c r="A15" i="7"/>
  <c r="DM15" i="7" s="1"/>
  <c r="EU14" i="7"/>
  <c r="EP14" i="7"/>
  <c r="EK14" i="7"/>
  <c r="EF14" i="7"/>
  <c r="EA14" i="7"/>
  <c r="DV14" i="7"/>
  <c r="DQ14" i="7"/>
  <c r="DL14" i="7"/>
  <c r="DH14" i="7"/>
  <c r="DG14" i="7"/>
  <c r="DC14" i="7"/>
  <c r="DB14" i="7"/>
  <c r="CW14" i="7"/>
  <c r="CR14" i="7"/>
  <c r="CM14" i="7"/>
  <c r="CH14" i="7"/>
  <c r="CC14" i="7"/>
  <c r="BX14" i="7"/>
  <c r="BS14" i="7"/>
  <c r="BN14" i="7"/>
  <c r="BI14" i="7"/>
  <c r="BE14" i="7"/>
  <c r="BD14" i="7"/>
  <c r="AZ14" i="7"/>
  <c r="AT14" i="7"/>
  <c r="AO14" i="7"/>
  <c r="AE14" i="7"/>
  <c r="K14" i="7"/>
  <c r="C14" i="7"/>
  <c r="B14" i="7"/>
  <c r="A14" i="7"/>
  <c r="EG14" i="7" s="1"/>
  <c r="EU13" i="7"/>
  <c r="EP13" i="7"/>
  <c r="EL13" i="7"/>
  <c r="EK13" i="7"/>
  <c r="EG13" i="7"/>
  <c r="EF13" i="7"/>
  <c r="EA13" i="7"/>
  <c r="DW13" i="7"/>
  <c r="DV13" i="7"/>
  <c r="DQ13" i="7"/>
  <c r="DL13" i="7"/>
  <c r="DG13" i="7"/>
  <c r="DC13" i="7"/>
  <c r="DB13" i="7"/>
  <c r="CW13" i="7"/>
  <c r="CS13" i="7"/>
  <c r="CR13" i="7"/>
  <c r="CN13" i="7"/>
  <c r="CM13" i="7"/>
  <c r="CH13" i="7"/>
  <c r="CD13" i="7"/>
  <c r="CC13" i="7"/>
  <c r="BX13" i="7"/>
  <c r="BS13" i="7"/>
  <c r="BN13" i="7"/>
  <c r="AY13" i="7"/>
  <c r="AU13" i="7"/>
  <c r="AT13" i="7"/>
  <c r="AP13" i="7"/>
  <c r="AO13" i="7"/>
  <c r="AK13" i="7"/>
  <c r="AJ13" i="7"/>
  <c r="AE13" i="7"/>
  <c r="Z13" i="7"/>
  <c r="V13" i="7"/>
  <c r="Q13" i="7"/>
  <c r="K13" i="7"/>
  <c r="F13" i="7"/>
  <c r="C13" i="7"/>
  <c r="B13" i="7"/>
  <c r="A13" i="7"/>
  <c r="EV12" i="7"/>
  <c r="EU12" i="7"/>
  <c r="EQ12" i="7"/>
  <c r="EP12" i="7"/>
  <c r="EL12" i="7"/>
  <c r="EK12" i="7"/>
  <c r="EF12" i="7"/>
  <c r="EB12" i="7"/>
  <c r="EA12" i="7"/>
  <c r="DV12" i="7"/>
  <c r="DR12" i="7"/>
  <c r="DQ12" i="7"/>
  <c r="DM12" i="7"/>
  <c r="DL12" i="7"/>
  <c r="DH12" i="7"/>
  <c r="DG12" i="7"/>
  <c r="DC12" i="7"/>
  <c r="DB12" i="7"/>
  <c r="CW12" i="7"/>
  <c r="CR12" i="7"/>
  <c r="CN12" i="7"/>
  <c r="CM12" i="7"/>
  <c r="CH12" i="7"/>
  <c r="CD12" i="7"/>
  <c r="CC12" i="7"/>
  <c r="BY12" i="7"/>
  <c r="BX12" i="7"/>
  <c r="BT12" i="7"/>
  <c r="BS12" i="7"/>
  <c r="BO12" i="7"/>
  <c r="BN12" i="7"/>
  <c r="BJ12" i="7"/>
  <c r="BD12" i="7"/>
  <c r="AZ12" i="7"/>
  <c r="AY12" i="7"/>
  <c r="AU12" i="7"/>
  <c r="AO12" i="7"/>
  <c r="AK12" i="7"/>
  <c r="AJ12" i="7"/>
  <c r="AF12" i="7"/>
  <c r="AA12" i="7"/>
  <c r="Z12" i="7"/>
  <c r="V12" i="7"/>
  <c r="U12" i="7"/>
  <c r="P12" i="7"/>
  <c r="K12" i="7"/>
  <c r="G12" i="7"/>
  <c r="F12" i="7"/>
  <c r="C12" i="7"/>
  <c r="B12" i="7"/>
  <c r="A12" i="7"/>
  <c r="EV11" i="7"/>
  <c r="EU11" i="7"/>
  <c r="EP11" i="7"/>
  <c r="EL11" i="7"/>
  <c r="EK11" i="7"/>
  <c r="EG11" i="7"/>
  <c r="EF11" i="7"/>
  <c r="EB11" i="7"/>
  <c r="EA11" i="7"/>
  <c r="DV11" i="7"/>
  <c r="DR11" i="7"/>
  <c r="DQ11" i="7"/>
  <c r="DM11" i="7"/>
  <c r="DL11" i="7"/>
  <c r="DG11" i="7"/>
  <c r="DB11" i="7"/>
  <c r="CX11" i="7"/>
  <c r="CW11" i="7"/>
  <c r="CS11" i="7"/>
  <c r="CR11" i="7"/>
  <c r="CN11" i="7"/>
  <c r="CM11" i="7"/>
  <c r="CI11" i="7"/>
  <c r="CH11" i="7"/>
  <c r="CC11" i="7"/>
  <c r="BY11" i="7"/>
  <c r="BX11" i="7"/>
  <c r="BS11" i="7"/>
  <c r="BN11" i="7"/>
  <c r="BJ11" i="7"/>
  <c r="BI11" i="7"/>
  <c r="BE11" i="7"/>
  <c r="BD11" i="7"/>
  <c r="AZ11" i="7"/>
  <c r="AY11" i="7"/>
  <c r="AU11" i="7"/>
  <c r="AT11" i="7"/>
  <c r="AO11" i="7"/>
  <c r="AK11" i="7"/>
  <c r="AJ11" i="7"/>
  <c r="AF11" i="7"/>
  <c r="AE11" i="7"/>
  <c r="Z11" i="7"/>
  <c r="V11" i="7"/>
  <c r="U11" i="7"/>
  <c r="Q11" i="7"/>
  <c r="P11" i="7"/>
  <c r="L11" i="7"/>
  <c r="K11" i="7"/>
  <c r="G11" i="7"/>
  <c r="F11" i="7"/>
  <c r="C11" i="7"/>
  <c r="B11" i="7"/>
  <c r="A11" i="7"/>
  <c r="BT11" i="7" s="1"/>
  <c r="EV10" i="7"/>
  <c r="EU10" i="7"/>
  <c r="EP10" i="7"/>
  <c r="EK10" i="7"/>
  <c r="EG10" i="7"/>
  <c r="EF10" i="7"/>
  <c r="EA10" i="7"/>
  <c r="DW10" i="7"/>
  <c r="DV10" i="7"/>
  <c r="DR10" i="7"/>
  <c r="DQ10" i="7"/>
  <c r="DL10" i="7"/>
  <c r="DG10" i="7"/>
  <c r="DC10" i="7"/>
  <c r="DB10" i="7"/>
  <c r="CW10" i="7"/>
  <c r="CR10" i="7"/>
  <c r="CM10" i="7"/>
  <c r="CI10" i="7"/>
  <c r="CH10" i="7"/>
  <c r="CD10" i="7"/>
  <c r="CC10" i="7"/>
  <c r="BY10" i="7"/>
  <c r="BX10" i="7"/>
  <c r="BS10" i="7"/>
  <c r="BN10" i="7"/>
  <c r="BJ10" i="7"/>
  <c r="BD10" i="7"/>
  <c r="AY10" i="7"/>
  <c r="AT10" i="7"/>
  <c r="AP10" i="7"/>
  <c r="AO10" i="7"/>
  <c r="AK10" i="7"/>
  <c r="AJ10" i="7"/>
  <c r="AF10" i="7"/>
  <c r="AE10" i="7"/>
  <c r="V10" i="7"/>
  <c r="U10" i="7"/>
  <c r="Q10" i="7"/>
  <c r="K10" i="7"/>
  <c r="F10" i="7"/>
  <c r="C10" i="7"/>
  <c r="B10" i="7"/>
  <c r="A10" i="7"/>
  <c r="EQ10" i="7" s="1"/>
  <c r="EV9" i="7"/>
  <c r="EU9" i="7"/>
  <c r="EQ9" i="7"/>
  <c r="EP9" i="7"/>
  <c r="EK9" i="7"/>
  <c r="EG9" i="7"/>
  <c r="EF9" i="7"/>
  <c r="EB9" i="7"/>
  <c r="EA9" i="7"/>
  <c r="DV9" i="7"/>
  <c r="DR9" i="7"/>
  <c r="DQ9" i="7"/>
  <c r="DM9" i="7"/>
  <c r="DL9" i="7"/>
  <c r="DH9" i="7"/>
  <c r="DG9" i="7"/>
  <c r="DC9" i="7"/>
  <c r="DB9" i="7"/>
  <c r="CW9" i="7"/>
  <c r="CS9" i="7"/>
  <c r="CR9" i="7"/>
  <c r="CN9" i="7"/>
  <c r="CM9" i="7"/>
  <c r="CI9" i="7"/>
  <c r="CH9" i="7"/>
  <c r="CD9" i="7"/>
  <c r="CC9" i="7"/>
  <c r="BY9" i="7"/>
  <c r="BX9" i="7"/>
  <c r="BT9" i="7"/>
  <c r="BS9" i="7"/>
  <c r="BO9" i="7"/>
  <c r="BN9" i="7"/>
  <c r="BI9" i="7"/>
  <c r="BE9" i="7"/>
  <c r="BD9" i="7"/>
  <c r="AZ9" i="7"/>
  <c r="AY9" i="7"/>
  <c r="AU9" i="7"/>
  <c r="AT9" i="7"/>
  <c r="AO9" i="7"/>
  <c r="AK9" i="7"/>
  <c r="AJ9" i="7"/>
  <c r="AF9" i="7"/>
  <c r="AE9" i="7"/>
  <c r="AA9" i="7"/>
  <c r="Z9" i="7"/>
  <c r="U9" i="7"/>
  <c r="Q9" i="7"/>
  <c r="P9" i="7"/>
  <c r="L9" i="7"/>
  <c r="G9" i="7"/>
  <c r="F9" i="7"/>
  <c r="C9" i="7"/>
  <c r="B9" i="7"/>
  <c r="A9" i="7"/>
  <c r="EU8" i="7"/>
  <c r="EP8" i="7"/>
  <c r="EK8" i="7"/>
  <c r="EF8" i="7"/>
  <c r="EA8" i="7"/>
  <c r="DV8" i="7"/>
  <c r="DQ8" i="7"/>
  <c r="DM8" i="7"/>
  <c r="DL8" i="7"/>
  <c r="DG8" i="7"/>
  <c r="DB8" i="7"/>
  <c r="CW8" i="7"/>
  <c r="CR8" i="7"/>
  <c r="CM8" i="7"/>
  <c r="CK35" i="7" s="1"/>
  <c r="CH8" i="7"/>
  <c r="CC8" i="7"/>
  <c r="BX8" i="7"/>
  <c r="BS8" i="7"/>
  <c r="BN8" i="7"/>
  <c r="BJ8" i="7"/>
  <c r="BE8" i="7"/>
  <c r="BD8" i="7"/>
  <c r="AO8" i="7"/>
  <c r="AE8" i="7"/>
  <c r="K8" i="7"/>
  <c r="C8" i="7"/>
  <c r="B8" i="7"/>
  <c r="A8" i="7"/>
  <c r="EV7" i="7"/>
  <c r="EU7" i="7"/>
  <c r="EP7" i="7"/>
  <c r="EK7" i="7"/>
  <c r="EF7" i="7"/>
  <c r="EA7" i="7"/>
  <c r="DV7" i="7"/>
  <c r="DR7" i="7"/>
  <c r="DQ7" i="7"/>
  <c r="DL7" i="7"/>
  <c r="DH7" i="7"/>
  <c r="DG7" i="7"/>
  <c r="DB7" i="7"/>
  <c r="CX7" i="7"/>
  <c r="CW7" i="7"/>
  <c r="CU35" i="7" s="1"/>
  <c r="CR7" i="7"/>
  <c r="CM7" i="7"/>
  <c r="CI7" i="7"/>
  <c r="CH7" i="7"/>
  <c r="CD7" i="7"/>
  <c r="CC7" i="7"/>
  <c r="BX7" i="7"/>
  <c r="BT7" i="7"/>
  <c r="BS7" i="7"/>
  <c r="BQ35" i="7" s="1"/>
  <c r="BN7" i="7"/>
  <c r="BI7" i="7"/>
  <c r="BD7" i="7"/>
  <c r="AZ7" i="7"/>
  <c r="AP7" i="7"/>
  <c r="AO7" i="7"/>
  <c r="AJ7" i="7"/>
  <c r="AF7" i="7"/>
  <c r="AE7" i="7"/>
  <c r="V7" i="7"/>
  <c r="L7" i="7"/>
  <c r="K7" i="7"/>
  <c r="G7" i="7"/>
  <c r="C7" i="7"/>
  <c r="B7" i="7"/>
  <c r="A7" i="7"/>
  <c r="EV6" i="7"/>
  <c r="EU6" i="7"/>
  <c r="EQ6" i="7"/>
  <c r="EP6" i="7"/>
  <c r="EL6" i="7"/>
  <c r="EK6" i="7"/>
  <c r="EG6" i="7"/>
  <c r="EF6" i="7"/>
  <c r="EA6" i="7"/>
  <c r="DW6" i="7"/>
  <c r="DV6" i="7"/>
  <c r="DQ6" i="7"/>
  <c r="DL6" i="7"/>
  <c r="DH6" i="7"/>
  <c r="DG6" i="7"/>
  <c r="DE35" i="7" s="1"/>
  <c r="DC6" i="7"/>
  <c r="DB6" i="7"/>
  <c r="CX6" i="7"/>
  <c r="CW6" i="7"/>
  <c r="CS6" i="7"/>
  <c r="CR6" i="7"/>
  <c r="CN6" i="7"/>
  <c r="CM6" i="7"/>
  <c r="CH6" i="7"/>
  <c r="CC6" i="7"/>
  <c r="BY6" i="7"/>
  <c r="BX6" i="7"/>
  <c r="BS6" i="7"/>
  <c r="BO6" i="7"/>
  <c r="BN6" i="7"/>
  <c r="BJ6" i="7"/>
  <c r="BI6" i="7"/>
  <c r="BE6" i="7"/>
  <c r="AZ6" i="7"/>
  <c r="AY6" i="7"/>
  <c r="AU6" i="7"/>
  <c r="AO6" i="7"/>
  <c r="AK6" i="7"/>
  <c r="AJ6" i="7"/>
  <c r="AF6" i="7"/>
  <c r="AE6" i="7"/>
  <c r="Z6" i="7"/>
  <c r="V6" i="7"/>
  <c r="U6" i="7"/>
  <c r="Q6" i="7"/>
  <c r="L6" i="7"/>
  <c r="K6" i="7"/>
  <c r="G6" i="7"/>
  <c r="F6" i="7"/>
  <c r="C6" i="7"/>
  <c r="B6" i="7"/>
  <c r="A6" i="7"/>
  <c r="DM6" i="7" s="1"/>
  <c r="EV5" i="7"/>
  <c r="EU5" i="7"/>
  <c r="EQ5" i="7"/>
  <c r="EP5" i="7"/>
  <c r="EK5" i="7"/>
  <c r="EG5" i="7"/>
  <c r="EF5" i="7"/>
  <c r="EA5" i="7"/>
  <c r="DY35" i="7" s="1"/>
  <c r="DW5" i="7"/>
  <c r="DV5" i="7"/>
  <c r="DR5" i="7"/>
  <c r="DQ5" i="7"/>
  <c r="DM5" i="7"/>
  <c r="DL5" i="7"/>
  <c r="DG5" i="7"/>
  <c r="DB5" i="7"/>
  <c r="CW5" i="7"/>
  <c r="CS5" i="7"/>
  <c r="CR5" i="7"/>
  <c r="CM5" i="7"/>
  <c r="CI5" i="7"/>
  <c r="CH5" i="7"/>
  <c r="CF35" i="7" s="1"/>
  <c r="CD5" i="7"/>
  <c r="CC5" i="7"/>
  <c r="BY5" i="7"/>
  <c r="BX5" i="7"/>
  <c r="BS5" i="7"/>
  <c r="BO5" i="7"/>
  <c r="BN5" i="7"/>
  <c r="AY5" i="7"/>
  <c r="AU5" i="7"/>
  <c r="AT5" i="7"/>
  <c r="AP5" i="7"/>
  <c r="AK5" i="7"/>
  <c r="AJ5" i="7"/>
  <c r="AF5" i="7"/>
  <c r="AE5" i="7"/>
  <c r="V5" i="7"/>
  <c r="U5" i="7"/>
  <c r="Q5" i="7"/>
  <c r="G5" i="7"/>
  <c r="F5" i="7"/>
  <c r="C5" i="7"/>
  <c r="B5" i="7"/>
  <c r="A5" i="7"/>
  <c r="EV4" i="7"/>
  <c r="EU4" i="7"/>
  <c r="EQ4" i="7"/>
  <c r="EP4" i="7"/>
  <c r="EL4" i="7"/>
  <c r="EK4" i="7"/>
  <c r="EG4" i="7"/>
  <c r="EF4" i="7"/>
  <c r="ED35" i="7" s="1"/>
  <c r="EB4" i="7"/>
  <c r="EA4" i="7"/>
  <c r="DW4" i="7"/>
  <c r="DV4" i="7"/>
  <c r="DT35" i="7" s="1"/>
  <c r="DR4" i="7"/>
  <c r="DQ4" i="7"/>
  <c r="DL4" i="7"/>
  <c r="DH4" i="7"/>
  <c r="DG4" i="7"/>
  <c r="DC4" i="7"/>
  <c r="DB4" i="7"/>
  <c r="CX4" i="7"/>
  <c r="CW4" i="7"/>
  <c r="CS4" i="7"/>
  <c r="CR4" i="7"/>
  <c r="CP35" i="7" s="1"/>
  <c r="CN4" i="7"/>
  <c r="CM4" i="7"/>
  <c r="CI4" i="7"/>
  <c r="CH4" i="7"/>
  <c r="CD4" i="7"/>
  <c r="CC4" i="7"/>
  <c r="BX4" i="7"/>
  <c r="BV35" i="7" s="1"/>
  <c r="BT4" i="7"/>
  <c r="BS4" i="7"/>
  <c r="BO4" i="7"/>
  <c r="BN4" i="7"/>
  <c r="BJ4" i="7"/>
  <c r="BI4" i="7"/>
  <c r="BE4" i="7"/>
  <c r="BD4" i="7"/>
  <c r="AZ4" i="7"/>
  <c r="AY4" i="7"/>
  <c r="AU4" i="7"/>
  <c r="AT4" i="7"/>
  <c r="AP4" i="7"/>
  <c r="AO4" i="7"/>
  <c r="AJ4" i="7"/>
  <c r="AF4" i="7"/>
  <c r="AE4" i="7"/>
  <c r="AA4" i="7"/>
  <c r="Z4" i="7"/>
  <c r="V4" i="7"/>
  <c r="U4" i="7"/>
  <c r="Q4" i="7"/>
  <c r="P4" i="7"/>
  <c r="L4" i="7"/>
  <c r="K4" i="7"/>
  <c r="G4" i="7"/>
  <c r="F4" i="7"/>
  <c r="C4" i="7"/>
  <c r="B4" i="7"/>
  <c r="A4" i="7"/>
  <c r="DM4" i="7" s="1"/>
  <c r="ES2" i="7"/>
  <c r="EN2" i="7"/>
  <c r="EI2" i="7"/>
  <c r="ED2" i="7"/>
  <c r="DY2" i="7"/>
  <c r="DT2" i="7"/>
  <c r="DO2" i="7"/>
  <c r="DJ2" i="7"/>
  <c r="DE2" i="7"/>
  <c r="CZ2" i="7"/>
  <c r="CU2" i="7"/>
  <c r="CP2" i="7"/>
  <c r="CK2" i="7"/>
  <c r="CF2" i="7"/>
  <c r="CA2" i="7"/>
  <c r="BV2" i="7"/>
  <c r="BQ2" i="7"/>
  <c r="BL2" i="7"/>
  <c r="BG2" i="7"/>
  <c r="BB2" i="7"/>
  <c r="AW2" i="7"/>
  <c r="AR2" i="7"/>
  <c r="AM2" i="7"/>
  <c r="AH2" i="7"/>
  <c r="AC2" i="7"/>
  <c r="X2" i="7"/>
  <c r="S2" i="7"/>
  <c r="N2" i="7"/>
  <c r="I2" i="7"/>
  <c r="D2" i="7"/>
  <c r="A1" i="7"/>
  <c r="ES40" i="6"/>
  <c r="EN40" i="6"/>
  <c r="EI40" i="6"/>
  <c r="ED40" i="6"/>
  <c r="DY40" i="6"/>
  <c r="DT40" i="6"/>
  <c r="DO40" i="6"/>
  <c r="DJ40" i="6"/>
  <c r="DE40" i="6"/>
  <c r="CZ40" i="6"/>
  <c r="CU40" i="6"/>
  <c r="CP40" i="6"/>
  <c r="CK40" i="6"/>
  <c r="CF40" i="6"/>
  <c r="CA40" i="6"/>
  <c r="BV40" i="6"/>
  <c r="BQ40" i="6"/>
  <c r="BL40" i="6"/>
  <c r="BG40" i="6"/>
  <c r="BB40" i="6"/>
  <c r="AW40" i="6"/>
  <c r="AR40" i="6"/>
  <c r="AM40" i="6"/>
  <c r="AH40" i="6"/>
  <c r="AC40" i="6"/>
  <c r="X40" i="6"/>
  <c r="S40" i="6"/>
  <c r="N40" i="6"/>
  <c r="I40" i="6"/>
  <c r="D40" i="6"/>
  <c r="ES39" i="6"/>
  <c r="EN39" i="6"/>
  <c r="EI39" i="6"/>
  <c r="ED39" i="6"/>
  <c r="DY39" i="6"/>
  <c r="DT39" i="6"/>
  <c r="DO39" i="6"/>
  <c r="DJ39" i="6"/>
  <c r="DE39" i="6"/>
  <c r="CZ39" i="6"/>
  <c r="CU39" i="6"/>
  <c r="CP39" i="6"/>
  <c r="CK39" i="6"/>
  <c r="CF39" i="6"/>
  <c r="CA39" i="6"/>
  <c r="S19" i="19" s="1"/>
  <c r="BV39" i="6"/>
  <c r="BQ39" i="6"/>
  <c r="BL39" i="6"/>
  <c r="BG39" i="6"/>
  <c r="BB39" i="6"/>
  <c r="AW39" i="6"/>
  <c r="AR39" i="6"/>
  <c r="AM39" i="6"/>
  <c r="AH39" i="6"/>
  <c r="AC39" i="6"/>
  <c r="X39" i="6"/>
  <c r="S8" i="19" s="1"/>
  <c r="S39" i="6"/>
  <c r="N39" i="6"/>
  <c r="I39" i="6"/>
  <c r="D39" i="6"/>
  <c r="ES38" i="6"/>
  <c r="EN38" i="6"/>
  <c r="EI38" i="6"/>
  <c r="ED38" i="6"/>
  <c r="DY38" i="6"/>
  <c r="DT38" i="6"/>
  <c r="DO38" i="6"/>
  <c r="DJ38" i="6"/>
  <c r="DE38" i="6"/>
  <c r="CZ38" i="6"/>
  <c r="CU38" i="6"/>
  <c r="CP38" i="6"/>
  <c r="CK38" i="6"/>
  <c r="CF38" i="6"/>
  <c r="CA38" i="6"/>
  <c r="BV38" i="6"/>
  <c r="BQ38" i="6"/>
  <c r="BL38" i="6"/>
  <c r="BG38" i="6"/>
  <c r="BB38" i="6"/>
  <c r="AW38" i="6"/>
  <c r="AR38" i="6"/>
  <c r="AM38" i="6"/>
  <c r="AH38" i="6"/>
  <c r="AC38" i="6"/>
  <c r="X38" i="6"/>
  <c r="S38" i="6"/>
  <c r="N38" i="6"/>
  <c r="I38" i="6"/>
  <c r="D38" i="6"/>
  <c r="EV34" i="6"/>
  <c r="EU34" i="6"/>
  <c r="EQ34" i="6"/>
  <c r="EP34" i="6"/>
  <c r="EK34" i="6"/>
  <c r="EF34" i="6"/>
  <c r="EA34" i="6"/>
  <c r="DV34" i="6"/>
  <c r="DQ34" i="6"/>
  <c r="DL34" i="6"/>
  <c r="DG34" i="6"/>
  <c r="DB34" i="6"/>
  <c r="CW34" i="6"/>
  <c r="CS34" i="6"/>
  <c r="CR34" i="6"/>
  <c r="CM34" i="6"/>
  <c r="CH34" i="6"/>
  <c r="CC34" i="6"/>
  <c r="BX34" i="6"/>
  <c r="BS34" i="6"/>
  <c r="BN34" i="6"/>
  <c r="BI34" i="6"/>
  <c r="BD34" i="6"/>
  <c r="AY34" i="6"/>
  <c r="AU34" i="6"/>
  <c r="AT34" i="6"/>
  <c r="AO34" i="6"/>
  <c r="AK34" i="6"/>
  <c r="AJ34" i="6"/>
  <c r="AE34" i="6"/>
  <c r="Z34" i="6"/>
  <c r="U34" i="6"/>
  <c r="P34" i="6"/>
  <c r="K34" i="6"/>
  <c r="F34" i="6"/>
  <c r="C34" i="6"/>
  <c r="B34" i="6"/>
  <c r="A34" i="6"/>
  <c r="DM34" i="6" s="1"/>
  <c r="EV33" i="6"/>
  <c r="EU33" i="6"/>
  <c r="EQ33" i="6"/>
  <c r="EP33" i="6"/>
  <c r="EL33" i="6"/>
  <c r="EK33" i="6"/>
  <c r="EG33" i="6"/>
  <c r="EF33" i="6"/>
  <c r="EA33" i="6"/>
  <c r="DW33" i="6"/>
  <c r="DV33" i="6"/>
  <c r="DR33" i="6"/>
  <c r="DQ33" i="6"/>
  <c r="DM33" i="6"/>
  <c r="DL33" i="6"/>
  <c r="DH33" i="6"/>
  <c r="DG33" i="6"/>
  <c r="DC33" i="6"/>
  <c r="DB33" i="6"/>
  <c r="CX33" i="6"/>
  <c r="CW33" i="6"/>
  <c r="CS33" i="6"/>
  <c r="CR33" i="6"/>
  <c r="CM33" i="6"/>
  <c r="CI33" i="6"/>
  <c r="CH33" i="6"/>
  <c r="CC33" i="6"/>
  <c r="BY33" i="6"/>
  <c r="BX33" i="6"/>
  <c r="BT33" i="6"/>
  <c r="BS33" i="6"/>
  <c r="BO33" i="6"/>
  <c r="BN33" i="6"/>
  <c r="BJ33" i="6"/>
  <c r="BI33" i="6"/>
  <c r="BE33" i="6"/>
  <c r="BD33" i="6"/>
  <c r="AY33" i="6"/>
  <c r="AU33" i="6"/>
  <c r="AT33" i="6"/>
  <c r="AP33" i="6"/>
  <c r="AO33" i="6"/>
  <c r="AK33" i="6"/>
  <c r="AJ33" i="6"/>
  <c r="AF33" i="6"/>
  <c r="AE33" i="6"/>
  <c r="AA33" i="6"/>
  <c r="Z33" i="6"/>
  <c r="V33" i="6"/>
  <c r="U33" i="6"/>
  <c r="Q33" i="6"/>
  <c r="P33" i="6"/>
  <c r="K33" i="6"/>
  <c r="G33" i="6"/>
  <c r="F33" i="6"/>
  <c r="C33" i="6"/>
  <c r="B33" i="6"/>
  <c r="A33" i="6"/>
  <c r="EV32" i="6"/>
  <c r="EU32" i="6"/>
  <c r="EQ32" i="6"/>
  <c r="EP32" i="6"/>
  <c r="EL32" i="6"/>
  <c r="EK32" i="6"/>
  <c r="EG32" i="6"/>
  <c r="EF32" i="6"/>
  <c r="EB32" i="6"/>
  <c r="EA32" i="6"/>
  <c r="DW32" i="6"/>
  <c r="DV32" i="6"/>
  <c r="DR32" i="6"/>
  <c r="DQ32" i="6"/>
  <c r="DL32" i="6"/>
  <c r="DH32" i="6"/>
  <c r="DG32" i="6"/>
  <c r="DC32" i="6"/>
  <c r="DB32" i="6"/>
  <c r="CX32" i="6"/>
  <c r="CW32" i="6"/>
  <c r="CS32" i="6"/>
  <c r="CR32" i="6"/>
  <c r="CN32" i="6"/>
  <c r="CM32" i="6"/>
  <c r="CI32" i="6"/>
  <c r="CH32" i="6"/>
  <c r="CD32" i="6"/>
  <c r="CC32" i="6"/>
  <c r="BX32" i="6"/>
  <c r="BT32" i="6"/>
  <c r="BS32" i="6"/>
  <c r="BO32" i="6"/>
  <c r="BN32" i="6"/>
  <c r="BJ32" i="6"/>
  <c r="BI32" i="6"/>
  <c r="BE32" i="6"/>
  <c r="BD32" i="6"/>
  <c r="AZ32" i="6"/>
  <c r="AY32" i="6"/>
  <c r="AU32" i="6"/>
  <c r="AT32" i="6"/>
  <c r="AP32" i="6"/>
  <c r="AO32" i="6"/>
  <c r="AJ32" i="6"/>
  <c r="AF32" i="6"/>
  <c r="AE32" i="6"/>
  <c r="AA32" i="6"/>
  <c r="Z32" i="6"/>
  <c r="V32" i="6"/>
  <c r="U32" i="6"/>
  <c r="Q32" i="6"/>
  <c r="P32" i="6"/>
  <c r="L32" i="6"/>
  <c r="K32" i="6"/>
  <c r="G32" i="6"/>
  <c r="F32" i="6"/>
  <c r="C32" i="6"/>
  <c r="B32" i="6"/>
  <c r="A32" i="6"/>
  <c r="DM32" i="6" s="1"/>
  <c r="EV31" i="6"/>
  <c r="EU31" i="6"/>
  <c r="EQ31" i="6"/>
  <c r="EP31" i="6"/>
  <c r="EK31" i="6"/>
  <c r="EG31" i="6"/>
  <c r="EF31" i="6"/>
  <c r="EB31" i="6"/>
  <c r="EA31" i="6"/>
  <c r="DV31" i="6"/>
  <c r="DR31" i="6"/>
  <c r="DQ31" i="6"/>
  <c r="DM31" i="6"/>
  <c r="DL31" i="6"/>
  <c r="DG31" i="6"/>
  <c r="DC31" i="6"/>
  <c r="DB31" i="6"/>
  <c r="CW31" i="6"/>
  <c r="CR31" i="6"/>
  <c r="CN31" i="6"/>
  <c r="CM31" i="6"/>
  <c r="CH31" i="6"/>
  <c r="CD31" i="6"/>
  <c r="CC31" i="6"/>
  <c r="BY31" i="6"/>
  <c r="BX31" i="6"/>
  <c r="BS31" i="6"/>
  <c r="BN31" i="6"/>
  <c r="BJ31" i="6"/>
  <c r="BD31" i="6"/>
  <c r="AZ31" i="6"/>
  <c r="AY31" i="6"/>
  <c r="AP31" i="6"/>
  <c r="AO31" i="6"/>
  <c r="AK31" i="6"/>
  <c r="AJ31" i="6"/>
  <c r="AF31" i="6"/>
  <c r="AE31" i="6"/>
  <c r="AA31" i="6"/>
  <c r="Z31" i="6"/>
  <c r="V31" i="6"/>
  <c r="K31" i="6"/>
  <c r="F31" i="6"/>
  <c r="C31" i="6"/>
  <c r="B31" i="6"/>
  <c r="A31" i="6"/>
  <c r="EU30" i="6"/>
  <c r="EQ30" i="6"/>
  <c r="EP30" i="6"/>
  <c r="EL30" i="6"/>
  <c r="EK30" i="6"/>
  <c r="EG30" i="6"/>
  <c r="EF30" i="6"/>
  <c r="EB30" i="6"/>
  <c r="EA30" i="6"/>
  <c r="DW30" i="6"/>
  <c r="DV30" i="6"/>
  <c r="DR30" i="6"/>
  <c r="DQ30" i="6"/>
  <c r="DM30" i="6"/>
  <c r="DL30" i="6"/>
  <c r="DG30" i="6"/>
  <c r="DC30" i="6"/>
  <c r="DB30" i="6"/>
  <c r="CX30" i="6"/>
  <c r="CW30" i="6"/>
  <c r="CS30" i="6"/>
  <c r="CR30" i="6"/>
  <c r="CN30" i="6"/>
  <c r="CM30" i="6"/>
  <c r="CH30" i="6"/>
  <c r="CD30" i="6"/>
  <c r="CC30" i="6"/>
  <c r="BY30" i="6"/>
  <c r="BX30" i="6"/>
  <c r="BS30" i="6"/>
  <c r="BO30" i="6"/>
  <c r="BN30" i="6"/>
  <c r="BJ30" i="6"/>
  <c r="BI30" i="6"/>
  <c r="BE30" i="6"/>
  <c r="BD30" i="6"/>
  <c r="AZ30" i="6"/>
  <c r="AY30" i="6"/>
  <c r="AU30" i="6"/>
  <c r="AO30" i="6"/>
  <c r="AK30" i="6"/>
  <c r="AJ30" i="6"/>
  <c r="AE30" i="6"/>
  <c r="AA30" i="6"/>
  <c r="Z30" i="6"/>
  <c r="V30" i="6"/>
  <c r="U30" i="6"/>
  <c r="Q30" i="6"/>
  <c r="P30" i="6"/>
  <c r="L30" i="6"/>
  <c r="K30" i="6"/>
  <c r="G30" i="6"/>
  <c r="C30" i="6"/>
  <c r="B30" i="6"/>
  <c r="A30" i="6"/>
  <c r="EU29" i="6"/>
  <c r="EP29" i="6"/>
  <c r="EK29" i="6"/>
  <c r="EG29" i="6"/>
  <c r="EF29" i="6"/>
  <c r="EA29" i="6"/>
  <c r="DV29" i="6"/>
  <c r="DQ29" i="6"/>
  <c r="DL29" i="6"/>
  <c r="DG29" i="6"/>
  <c r="DB29" i="6"/>
  <c r="CW29" i="6"/>
  <c r="CR29" i="6"/>
  <c r="CM29" i="6"/>
  <c r="CI29" i="6"/>
  <c r="CH29" i="6"/>
  <c r="CC29" i="6"/>
  <c r="BY29" i="6"/>
  <c r="BX29" i="6"/>
  <c r="BT29" i="6"/>
  <c r="BS29" i="6"/>
  <c r="BN29" i="6"/>
  <c r="AO29" i="6"/>
  <c r="AF29" i="6"/>
  <c r="AE29" i="6"/>
  <c r="V29" i="6"/>
  <c r="U29" i="6"/>
  <c r="Q29" i="6"/>
  <c r="P29" i="6"/>
  <c r="L29" i="6"/>
  <c r="K29" i="6"/>
  <c r="C29" i="6"/>
  <c r="B29" i="6"/>
  <c r="A29" i="6"/>
  <c r="CX29" i="6" s="1"/>
  <c r="EU28" i="6"/>
  <c r="EP28" i="6"/>
  <c r="EK28" i="6"/>
  <c r="EG28" i="6"/>
  <c r="EF28" i="6"/>
  <c r="EB28" i="6"/>
  <c r="EA28" i="6"/>
  <c r="DW28" i="6"/>
  <c r="DV28" i="6"/>
  <c r="DR28" i="6"/>
  <c r="DQ28" i="6"/>
  <c r="DL28" i="6"/>
  <c r="DG28" i="6"/>
  <c r="DB28" i="6"/>
  <c r="CW28" i="6"/>
  <c r="CR28" i="6"/>
  <c r="CM28" i="6"/>
  <c r="CI28" i="6"/>
  <c r="CH28" i="6"/>
  <c r="CD28" i="6"/>
  <c r="CC28" i="6"/>
  <c r="BY28" i="6"/>
  <c r="BX28" i="6"/>
  <c r="BS28" i="6"/>
  <c r="BN28" i="6"/>
  <c r="AZ28" i="6"/>
  <c r="AT28" i="6"/>
  <c r="AO28" i="6"/>
  <c r="AJ28" i="6"/>
  <c r="AF28" i="6"/>
  <c r="AE28" i="6"/>
  <c r="Z28" i="6"/>
  <c r="V28" i="6"/>
  <c r="K28" i="6"/>
  <c r="G28" i="6"/>
  <c r="F28" i="6"/>
  <c r="C28" i="6"/>
  <c r="B28" i="6"/>
  <c r="A28" i="6"/>
  <c r="EV28" i="6" s="1"/>
  <c r="EV27" i="6"/>
  <c r="EU27" i="6"/>
  <c r="EQ27" i="6"/>
  <c r="EP27" i="6"/>
  <c r="EL27" i="6"/>
  <c r="EK27" i="6"/>
  <c r="EG27" i="6"/>
  <c r="EF27" i="6"/>
  <c r="EB27" i="6"/>
  <c r="EA27" i="6"/>
  <c r="DW27" i="6"/>
  <c r="DV27" i="6"/>
  <c r="DR27" i="6"/>
  <c r="DQ27" i="6"/>
  <c r="DL27" i="6"/>
  <c r="DH27" i="6"/>
  <c r="DG27" i="6"/>
  <c r="DC27" i="6"/>
  <c r="DB27" i="6"/>
  <c r="CX27" i="6"/>
  <c r="CW27" i="6"/>
  <c r="CS27" i="6"/>
  <c r="CR27" i="6"/>
  <c r="CN27" i="6"/>
  <c r="CM27" i="6"/>
  <c r="CI27" i="6"/>
  <c r="CH27" i="6"/>
  <c r="CD27" i="6"/>
  <c r="CC27" i="6"/>
  <c r="BX27" i="6"/>
  <c r="BT27" i="6"/>
  <c r="BS27" i="6"/>
  <c r="BO27" i="6"/>
  <c r="BN27" i="6"/>
  <c r="BJ27" i="6"/>
  <c r="BI27" i="6"/>
  <c r="BE27" i="6"/>
  <c r="BD27" i="6"/>
  <c r="AZ27" i="6"/>
  <c r="AY27" i="6"/>
  <c r="AU27" i="6"/>
  <c r="AT27" i="6"/>
  <c r="AP27" i="6"/>
  <c r="AO27" i="6"/>
  <c r="AJ27" i="6"/>
  <c r="AF27" i="6"/>
  <c r="AE27" i="6"/>
  <c r="AA27" i="6"/>
  <c r="V27" i="6"/>
  <c r="U27" i="6"/>
  <c r="Q27" i="6"/>
  <c r="P27" i="6"/>
  <c r="L27" i="6"/>
  <c r="K27" i="6"/>
  <c r="G27" i="6"/>
  <c r="F27" i="6"/>
  <c r="C27" i="6"/>
  <c r="B27" i="6"/>
  <c r="A27" i="6"/>
  <c r="DM27" i="6" s="1"/>
  <c r="EV26" i="6"/>
  <c r="EU26" i="6"/>
  <c r="EP26" i="6"/>
  <c r="EK26" i="6"/>
  <c r="EF26" i="6"/>
  <c r="EA26" i="6"/>
  <c r="DV26" i="6"/>
  <c r="DQ26" i="6"/>
  <c r="DL26" i="6"/>
  <c r="DG26" i="6"/>
  <c r="DC26" i="6"/>
  <c r="DB26" i="6"/>
  <c r="CW26" i="6"/>
  <c r="CR26" i="6"/>
  <c r="CM26" i="6"/>
  <c r="CH26" i="6"/>
  <c r="CC26" i="6"/>
  <c r="BX26" i="6"/>
  <c r="BS26" i="6"/>
  <c r="BN26" i="6"/>
  <c r="BD26" i="6"/>
  <c r="AY26" i="6"/>
  <c r="AU26" i="6"/>
  <c r="AP26" i="6"/>
  <c r="AO26" i="6"/>
  <c r="AJ26" i="6"/>
  <c r="F26" i="6"/>
  <c r="C26" i="6"/>
  <c r="B26" i="6"/>
  <c r="A26" i="6"/>
  <c r="DW26" i="6" s="1"/>
  <c r="EU25" i="6"/>
  <c r="EP25" i="6"/>
  <c r="EK25" i="6"/>
  <c r="EF25" i="6"/>
  <c r="EA25" i="6"/>
  <c r="DV25" i="6"/>
  <c r="DQ25" i="6"/>
  <c r="DL25" i="6"/>
  <c r="DG25" i="6"/>
  <c r="DB25" i="6"/>
  <c r="CW25" i="6"/>
  <c r="CR25" i="6"/>
  <c r="CM25" i="6"/>
  <c r="CI25" i="6"/>
  <c r="CH25" i="6"/>
  <c r="CC25" i="6"/>
  <c r="BX25" i="6"/>
  <c r="BS25" i="6"/>
  <c r="BN25" i="6"/>
  <c r="BI25" i="6"/>
  <c r="BD25" i="6"/>
  <c r="AY25" i="6"/>
  <c r="AT25" i="6"/>
  <c r="AO25" i="6"/>
  <c r="AK25" i="6"/>
  <c r="AJ25" i="6"/>
  <c r="AE25" i="6"/>
  <c r="Z25" i="6"/>
  <c r="U25" i="6"/>
  <c r="P25" i="6"/>
  <c r="K25" i="6"/>
  <c r="F25" i="6"/>
  <c r="C25" i="6"/>
  <c r="B25" i="6"/>
  <c r="A25" i="6"/>
  <c r="EU24" i="6"/>
  <c r="EP24" i="6"/>
  <c r="EK24" i="6"/>
  <c r="EF24" i="6"/>
  <c r="EA24" i="6"/>
  <c r="DV24" i="6"/>
  <c r="DQ24" i="6"/>
  <c r="DL24" i="6"/>
  <c r="DG24" i="6"/>
  <c r="DB24" i="6"/>
  <c r="CW24" i="6"/>
  <c r="CR24" i="6"/>
  <c r="CM24" i="6"/>
  <c r="CH24" i="6"/>
  <c r="CC24" i="6"/>
  <c r="BX24" i="6"/>
  <c r="BS24" i="6"/>
  <c r="BN24" i="6"/>
  <c r="BI24" i="6"/>
  <c r="BD24" i="6"/>
  <c r="AY24" i="6"/>
  <c r="AT24" i="6"/>
  <c r="AO24" i="6"/>
  <c r="AJ24" i="6"/>
  <c r="AE24" i="6"/>
  <c r="Z24" i="6"/>
  <c r="U24" i="6"/>
  <c r="P24" i="6"/>
  <c r="K24" i="6"/>
  <c r="F24" i="6"/>
  <c r="C24" i="6"/>
  <c r="B24" i="6"/>
  <c r="A24" i="6"/>
  <c r="EV23" i="6"/>
  <c r="EU23" i="6"/>
  <c r="EP23" i="6"/>
  <c r="EL23" i="6"/>
  <c r="EK23" i="6"/>
  <c r="EG23" i="6"/>
  <c r="EF23" i="6"/>
  <c r="EA23" i="6"/>
  <c r="DW23" i="6"/>
  <c r="DV23" i="6"/>
  <c r="DR23" i="6"/>
  <c r="DQ23" i="6"/>
  <c r="DL23" i="6"/>
  <c r="DG23" i="6"/>
  <c r="DB23" i="6"/>
  <c r="CX23" i="6"/>
  <c r="CW23" i="6"/>
  <c r="CR23" i="6"/>
  <c r="CN23" i="6"/>
  <c r="CM23" i="6"/>
  <c r="CI23" i="6"/>
  <c r="CH23" i="6"/>
  <c r="CD23" i="6"/>
  <c r="CC23" i="6"/>
  <c r="BX23" i="6"/>
  <c r="BT23" i="6"/>
  <c r="BS23" i="6"/>
  <c r="BN23" i="6"/>
  <c r="BJ23" i="6"/>
  <c r="BI23" i="6"/>
  <c r="BE23" i="6"/>
  <c r="AZ23" i="6"/>
  <c r="AU23" i="6"/>
  <c r="AP23" i="6"/>
  <c r="AO23" i="6"/>
  <c r="AK23" i="6"/>
  <c r="AJ23" i="6"/>
  <c r="Z23" i="6"/>
  <c r="V23" i="6"/>
  <c r="U23" i="6"/>
  <c r="Q23" i="6"/>
  <c r="G23" i="6"/>
  <c r="F23" i="6"/>
  <c r="C23" i="6"/>
  <c r="B23" i="6"/>
  <c r="A23" i="6"/>
  <c r="EV22" i="6"/>
  <c r="EU22" i="6"/>
  <c r="EP22" i="6"/>
  <c r="EK22" i="6"/>
  <c r="EF22" i="6"/>
  <c r="EA22" i="6"/>
  <c r="DV22" i="6"/>
  <c r="DQ22" i="6"/>
  <c r="DL22" i="6"/>
  <c r="DG22" i="6"/>
  <c r="DC22" i="6"/>
  <c r="DB22" i="6"/>
  <c r="CW22" i="6"/>
  <c r="CS22" i="6"/>
  <c r="CR22" i="6"/>
  <c r="CM22" i="6"/>
  <c r="CH22" i="6"/>
  <c r="CC22" i="6"/>
  <c r="BX22" i="6"/>
  <c r="BS22" i="6"/>
  <c r="BN22" i="6"/>
  <c r="AY22" i="6"/>
  <c r="AU22" i="6"/>
  <c r="AT22" i="6"/>
  <c r="AP22" i="6"/>
  <c r="AO22" i="6"/>
  <c r="AJ22" i="6"/>
  <c r="AE22" i="6"/>
  <c r="K22" i="6"/>
  <c r="C22" i="6"/>
  <c r="B22" i="6"/>
  <c r="A22" i="6"/>
  <c r="U22" i="6" s="1"/>
  <c r="EV21" i="6"/>
  <c r="EU21" i="6"/>
  <c r="EQ21" i="6"/>
  <c r="EP21" i="6"/>
  <c r="EK21" i="6"/>
  <c r="EF21" i="6"/>
  <c r="EB21" i="6"/>
  <c r="EA21" i="6"/>
  <c r="DV21" i="6"/>
  <c r="DQ21" i="6"/>
  <c r="DM21" i="6"/>
  <c r="DL21" i="6"/>
  <c r="DH21" i="6"/>
  <c r="DG21" i="6"/>
  <c r="DC21" i="6"/>
  <c r="DB21" i="6"/>
  <c r="CW21" i="6"/>
  <c r="CR21" i="6"/>
  <c r="CN21" i="6"/>
  <c r="CM21" i="6"/>
  <c r="CH21" i="6"/>
  <c r="CC21" i="6"/>
  <c r="BY21" i="6"/>
  <c r="BX21" i="6"/>
  <c r="BS21" i="6"/>
  <c r="BN21" i="6"/>
  <c r="BI21" i="6"/>
  <c r="BE21" i="6"/>
  <c r="AZ21" i="6"/>
  <c r="AU21" i="6"/>
  <c r="AT21" i="6"/>
  <c r="AP21" i="6"/>
  <c r="AE21" i="6"/>
  <c r="AA21" i="6"/>
  <c r="Z21" i="6"/>
  <c r="P21" i="6"/>
  <c r="L21" i="6"/>
  <c r="F21" i="6"/>
  <c r="C21" i="6"/>
  <c r="B21" i="6"/>
  <c r="A21" i="6"/>
  <c r="EU20" i="6"/>
  <c r="EQ20" i="6"/>
  <c r="EP20" i="6"/>
  <c r="EK20" i="6"/>
  <c r="EG20" i="6"/>
  <c r="EF20" i="6"/>
  <c r="EB20" i="6"/>
  <c r="EA20" i="6"/>
  <c r="DV20" i="6"/>
  <c r="DQ20" i="6"/>
  <c r="DM20" i="6"/>
  <c r="DL20" i="6"/>
  <c r="DH20" i="6"/>
  <c r="DG20" i="6"/>
  <c r="DB20" i="6"/>
  <c r="CW20" i="6"/>
  <c r="CS20" i="6"/>
  <c r="CR20" i="6"/>
  <c r="CM20" i="6"/>
  <c r="CH20" i="6"/>
  <c r="CD20" i="6"/>
  <c r="CC20" i="6"/>
  <c r="BX20" i="6"/>
  <c r="BT20" i="6"/>
  <c r="BS20" i="6"/>
  <c r="BN20" i="6"/>
  <c r="BE20" i="6"/>
  <c r="BD20" i="6"/>
  <c r="AZ20" i="6"/>
  <c r="AK20" i="6"/>
  <c r="AJ20" i="6"/>
  <c r="AA20" i="6"/>
  <c r="Z20" i="6"/>
  <c r="P20" i="6"/>
  <c r="L20" i="6"/>
  <c r="K20" i="6"/>
  <c r="F20" i="6"/>
  <c r="C20" i="6"/>
  <c r="B20" i="6"/>
  <c r="A20" i="6"/>
  <c r="CX20" i="6" s="1"/>
  <c r="EV19" i="6"/>
  <c r="EU19" i="6"/>
  <c r="EP19" i="6"/>
  <c r="EL19" i="6"/>
  <c r="EK19" i="6"/>
  <c r="EF19" i="6"/>
  <c r="EA19" i="6"/>
  <c r="DW19" i="6"/>
  <c r="DV19" i="6"/>
  <c r="DR19" i="6"/>
  <c r="DQ19" i="6"/>
  <c r="DM19" i="6"/>
  <c r="DL19" i="6"/>
  <c r="DH19" i="6"/>
  <c r="DG19" i="6"/>
  <c r="DC19" i="6"/>
  <c r="DB19" i="6"/>
  <c r="CX19" i="6"/>
  <c r="CW19" i="6"/>
  <c r="CR19" i="6"/>
  <c r="CN19" i="6"/>
  <c r="CM19" i="6"/>
  <c r="CH19" i="6"/>
  <c r="CD19" i="6"/>
  <c r="CC19" i="6"/>
  <c r="BY19" i="6"/>
  <c r="BX19" i="6"/>
  <c r="BT19" i="6"/>
  <c r="BS19" i="6"/>
  <c r="BO19" i="6"/>
  <c r="BN19" i="6"/>
  <c r="BI19" i="6"/>
  <c r="BD19" i="6"/>
  <c r="AZ19" i="6"/>
  <c r="AY19" i="6"/>
  <c r="AO19" i="6"/>
  <c r="AK19" i="6"/>
  <c r="AJ19" i="6"/>
  <c r="AF19" i="6"/>
  <c r="AE19" i="6"/>
  <c r="AA19" i="6"/>
  <c r="Z19" i="6"/>
  <c r="V19" i="6"/>
  <c r="U19" i="6"/>
  <c r="L19" i="6"/>
  <c r="K19" i="6"/>
  <c r="G19" i="6"/>
  <c r="C19" i="6"/>
  <c r="B19" i="6"/>
  <c r="A19" i="6"/>
  <c r="EV18" i="6"/>
  <c r="EU18" i="6"/>
  <c r="EQ18" i="6"/>
  <c r="EP18" i="6"/>
  <c r="EK18" i="6"/>
  <c r="EG18" i="6"/>
  <c r="EF18" i="6"/>
  <c r="EB18" i="6"/>
  <c r="EA18" i="6"/>
  <c r="DW18" i="6"/>
  <c r="DV18" i="6"/>
  <c r="DQ18" i="6"/>
  <c r="DM18" i="6"/>
  <c r="DL18" i="6"/>
  <c r="DG18" i="6"/>
  <c r="DC18" i="6"/>
  <c r="DB18" i="6"/>
  <c r="CW18" i="6"/>
  <c r="CR18" i="6"/>
  <c r="CN18" i="6"/>
  <c r="CM18" i="6"/>
  <c r="CH18" i="6"/>
  <c r="CC18" i="6"/>
  <c r="BY18" i="6"/>
  <c r="BX18" i="6"/>
  <c r="BS18" i="6"/>
  <c r="BO18" i="6"/>
  <c r="BN18" i="6"/>
  <c r="BI18" i="6"/>
  <c r="BE18" i="6"/>
  <c r="BD18" i="6"/>
  <c r="AY18" i="6"/>
  <c r="AT18" i="6"/>
  <c r="AO18" i="6"/>
  <c r="AK18" i="6"/>
  <c r="AJ18" i="6"/>
  <c r="AF18" i="6"/>
  <c r="AE18" i="6"/>
  <c r="Z18" i="6"/>
  <c r="V18" i="6"/>
  <c r="U18" i="6"/>
  <c r="P18" i="6"/>
  <c r="L18" i="6"/>
  <c r="K18" i="6"/>
  <c r="F18" i="6"/>
  <c r="C18" i="6"/>
  <c r="B18" i="6"/>
  <c r="A18" i="6"/>
  <c r="EU17" i="6"/>
  <c r="EP17" i="6"/>
  <c r="EL17" i="6"/>
  <c r="EK17" i="6"/>
  <c r="EG17" i="6"/>
  <c r="EF17" i="6"/>
  <c r="EA17" i="6"/>
  <c r="DW17" i="6"/>
  <c r="DV17" i="6"/>
  <c r="DQ17" i="6"/>
  <c r="DL17" i="6"/>
  <c r="DH17" i="6"/>
  <c r="DG17" i="6"/>
  <c r="DB17" i="6"/>
  <c r="CW17" i="6"/>
  <c r="CS17" i="6"/>
  <c r="CR17" i="6"/>
  <c r="CM17" i="6"/>
  <c r="CI17" i="6"/>
  <c r="CH17" i="6"/>
  <c r="CC17" i="6"/>
  <c r="BY17" i="6"/>
  <c r="BX17" i="6"/>
  <c r="BS17" i="6"/>
  <c r="BN17" i="6"/>
  <c r="BE17" i="6"/>
  <c r="BD17" i="6"/>
  <c r="AY17" i="6"/>
  <c r="AP17" i="6"/>
  <c r="AK17" i="6"/>
  <c r="AJ17" i="6"/>
  <c r="AA17" i="6"/>
  <c r="Z17" i="6"/>
  <c r="V17" i="6"/>
  <c r="G17" i="6"/>
  <c r="F17" i="6"/>
  <c r="C17" i="6"/>
  <c r="B17" i="6"/>
  <c r="A17" i="6"/>
  <c r="BO17" i="6" s="1"/>
  <c r="EV16" i="6"/>
  <c r="EU16" i="6"/>
  <c r="EQ16" i="6"/>
  <c r="EP16" i="6"/>
  <c r="EL16" i="6"/>
  <c r="EK16" i="6"/>
  <c r="EG16" i="6"/>
  <c r="EF16" i="6"/>
  <c r="EB16" i="6"/>
  <c r="EA16" i="6"/>
  <c r="DW16" i="6"/>
  <c r="DV16" i="6"/>
  <c r="DR16" i="6"/>
  <c r="DQ16" i="6"/>
  <c r="DL16" i="6"/>
  <c r="DH16" i="6"/>
  <c r="DG16" i="6"/>
  <c r="DC16" i="6"/>
  <c r="DB16" i="6"/>
  <c r="CX16" i="6"/>
  <c r="CW16" i="6"/>
  <c r="CS16" i="6"/>
  <c r="CR16" i="6"/>
  <c r="CN16" i="6"/>
  <c r="CM16" i="6"/>
  <c r="CI16" i="6"/>
  <c r="CH16" i="6"/>
  <c r="CD16" i="6"/>
  <c r="CC16" i="6"/>
  <c r="BX16" i="6"/>
  <c r="BT16" i="6"/>
  <c r="BS16" i="6"/>
  <c r="BO16" i="6"/>
  <c r="BN16" i="6"/>
  <c r="BJ16" i="6"/>
  <c r="BI16" i="6"/>
  <c r="BE16" i="6"/>
  <c r="BD16" i="6"/>
  <c r="AZ16" i="6"/>
  <c r="AY16" i="6"/>
  <c r="AU16" i="6"/>
  <c r="AT16" i="6"/>
  <c r="AP16" i="6"/>
  <c r="AO16" i="6"/>
  <c r="AJ16" i="6"/>
  <c r="AF16" i="6"/>
  <c r="AE16" i="6"/>
  <c r="AA16" i="6"/>
  <c r="Z16" i="6"/>
  <c r="V16" i="6"/>
  <c r="U16" i="6"/>
  <c r="Q16" i="6"/>
  <c r="P16" i="6"/>
  <c r="L16" i="6"/>
  <c r="K16" i="6"/>
  <c r="G16" i="6"/>
  <c r="F16" i="6"/>
  <c r="C16" i="6"/>
  <c r="B16" i="6"/>
  <c r="A16" i="6"/>
  <c r="DM16" i="6" s="1"/>
  <c r="EV15" i="6"/>
  <c r="EU15" i="6"/>
  <c r="EP15" i="6"/>
  <c r="EK15" i="6"/>
  <c r="EF15" i="6"/>
  <c r="EA15" i="6"/>
  <c r="DV15" i="6"/>
  <c r="DQ15" i="6"/>
  <c r="DL15" i="6"/>
  <c r="DG15" i="6"/>
  <c r="DC15" i="6"/>
  <c r="DB15" i="6"/>
  <c r="CX15" i="6"/>
  <c r="CW15" i="6"/>
  <c r="CR15" i="6"/>
  <c r="CM15" i="6"/>
  <c r="CK35" i="6" s="1"/>
  <c r="CH15" i="6"/>
  <c r="CC15" i="6"/>
  <c r="BX15" i="6"/>
  <c r="BS15" i="6"/>
  <c r="BN15" i="6"/>
  <c r="BI15" i="6"/>
  <c r="BE15" i="6"/>
  <c r="BD15" i="6"/>
  <c r="AZ15" i="6"/>
  <c r="AT15" i="6"/>
  <c r="C15" i="6"/>
  <c r="B15" i="6"/>
  <c r="A15" i="6"/>
  <c r="K15" i="6" s="1"/>
  <c r="EU14" i="6"/>
  <c r="EQ14" i="6"/>
  <c r="EP14" i="6"/>
  <c r="EK14" i="6"/>
  <c r="EI35" i="6" s="1"/>
  <c r="EF14" i="6"/>
  <c r="EA14" i="6"/>
  <c r="DV14" i="6"/>
  <c r="DQ14" i="6"/>
  <c r="DL14" i="6"/>
  <c r="DG14" i="6"/>
  <c r="DB14" i="6"/>
  <c r="CW14" i="6"/>
  <c r="CS14" i="6"/>
  <c r="CR14" i="6"/>
  <c r="CN14" i="6"/>
  <c r="CM14" i="6"/>
  <c r="CH14" i="6"/>
  <c r="CD14" i="6"/>
  <c r="CC14" i="6"/>
  <c r="BX14" i="6"/>
  <c r="BS14" i="6"/>
  <c r="BN14" i="6"/>
  <c r="BD14" i="6"/>
  <c r="AY14" i="6"/>
  <c r="AU14" i="6"/>
  <c r="AP14" i="6"/>
  <c r="AJ14" i="6"/>
  <c r="AE14" i="6"/>
  <c r="Z14" i="6"/>
  <c r="Q14" i="6"/>
  <c r="K14" i="6"/>
  <c r="F14" i="6"/>
  <c r="C14" i="6"/>
  <c r="B14" i="6"/>
  <c r="A14" i="6"/>
  <c r="BJ14" i="6" s="1"/>
  <c r="EV13" i="6"/>
  <c r="EU13" i="6"/>
  <c r="EP13" i="6"/>
  <c r="EL13" i="6"/>
  <c r="EK13" i="6"/>
  <c r="EG13" i="6"/>
  <c r="EF13" i="6"/>
  <c r="EA13" i="6"/>
  <c r="DW13" i="6"/>
  <c r="DV13" i="6"/>
  <c r="DQ13" i="6"/>
  <c r="DM13" i="6"/>
  <c r="DL13" i="6"/>
  <c r="DH13" i="6"/>
  <c r="DG13" i="6"/>
  <c r="DC13" i="6"/>
  <c r="DB13" i="6"/>
  <c r="CW13" i="6"/>
  <c r="CR13" i="6"/>
  <c r="CN13" i="6"/>
  <c r="CM13" i="6"/>
  <c r="CH13" i="6"/>
  <c r="CC13" i="6"/>
  <c r="BY13" i="6"/>
  <c r="BX13" i="6"/>
  <c r="BT13" i="6"/>
  <c r="BS13" i="6"/>
  <c r="BO13" i="6"/>
  <c r="BN13" i="6"/>
  <c r="BJ13" i="6"/>
  <c r="BE13" i="6"/>
  <c r="BD13" i="6"/>
  <c r="AO13" i="6"/>
  <c r="AK13" i="6"/>
  <c r="AJ13" i="6"/>
  <c r="AF13" i="6"/>
  <c r="AA13" i="6"/>
  <c r="Z13" i="6"/>
  <c r="V13" i="6"/>
  <c r="U13" i="6"/>
  <c r="Q13" i="6"/>
  <c r="L13" i="6"/>
  <c r="K13" i="6"/>
  <c r="G13" i="6"/>
  <c r="F13" i="6"/>
  <c r="C13" i="6"/>
  <c r="B13" i="6"/>
  <c r="A13" i="6"/>
  <c r="EV12" i="6"/>
  <c r="EU12" i="6"/>
  <c r="EP12" i="6"/>
  <c r="EK12" i="6"/>
  <c r="EG12" i="6"/>
  <c r="EF12" i="6"/>
  <c r="EB12" i="6"/>
  <c r="EA12" i="6"/>
  <c r="DW12" i="6"/>
  <c r="DV12" i="6"/>
  <c r="DR12" i="6"/>
  <c r="DQ12" i="6"/>
  <c r="DL12" i="6"/>
  <c r="DG12" i="6"/>
  <c r="DB12" i="6"/>
  <c r="CX12" i="6"/>
  <c r="CW12" i="6"/>
  <c r="CR12" i="6"/>
  <c r="CN12" i="6"/>
  <c r="CM12" i="6"/>
  <c r="CH12" i="6"/>
  <c r="CD12" i="6"/>
  <c r="CC12" i="6"/>
  <c r="BY12" i="6"/>
  <c r="BX12" i="6"/>
  <c r="BS12" i="6"/>
  <c r="BN12" i="6"/>
  <c r="BE12" i="6"/>
  <c r="BD12" i="6"/>
  <c r="AZ12" i="6"/>
  <c r="AP12" i="6"/>
  <c r="AK12" i="6"/>
  <c r="AJ12" i="6"/>
  <c r="AF12" i="6"/>
  <c r="V12" i="6"/>
  <c r="U12" i="6"/>
  <c r="Q12" i="6"/>
  <c r="P12" i="6"/>
  <c r="L12" i="6"/>
  <c r="F12" i="6"/>
  <c r="C12" i="6"/>
  <c r="B12" i="6"/>
  <c r="A12" i="6"/>
  <c r="AU12" i="6" s="1"/>
  <c r="EV11" i="6"/>
  <c r="EU11" i="6"/>
  <c r="EQ11" i="6"/>
  <c r="EP11" i="6"/>
  <c r="EL11" i="6"/>
  <c r="EK11" i="6"/>
  <c r="EG11" i="6"/>
  <c r="EF11" i="6"/>
  <c r="EB11" i="6"/>
  <c r="EA11" i="6"/>
  <c r="DW11" i="6"/>
  <c r="DV11" i="6"/>
  <c r="DR11" i="6"/>
  <c r="DQ11" i="6"/>
  <c r="DL11" i="6"/>
  <c r="DH11" i="6"/>
  <c r="DG11" i="6"/>
  <c r="DC11" i="6"/>
  <c r="DB11" i="6"/>
  <c r="CX11" i="6"/>
  <c r="CW11" i="6"/>
  <c r="CS11" i="6"/>
  <c r="CR11" i="6"/>
  <c r="CN11" i="6"/>
  <c r="CM11" i="6"/>
  <c r="CI11" i="6"/>
  <c r="CH11" i="6"/>
  <c r="CD11" i="6"/>
  <c r="CC11" i="6"/>
  <c r="BX11" i="6"/>
  <c r="BT11" i="6"/>
  <c r="BS11" i="6"/>
  <c r="BO11" i="6"/>
  <c r="BN11" i="6"/>
  <c r="BJ11" i="6"/>
  <c r="BI11" i="6"/>
  <c r="BE11" i="6"/>
  <c r="BD11" i="6"/>
  <c r="AZ11" i="6"/>
  <c r="AY11" i="6"/>
  <c r="AU11" i="6"/>
  <c r="AT11" i="6"/>
  <c r="AP11" i="6"/>
  <c r="AO11" i="6"/>
  <c r="AJ11" i="6"/>
  <c r="AF11" i="6"/>
  <c r="AE11" i="6"/>
  <c r="AA11" i="6"/>
  <c r="Z11" i="6"/>
  <c r="V11" i="6"/>
  <c r="U11" i="6"/>
  <c r="Q11" i="6"/>
  <c r="P11" i="6"/>
  <c r="L11" i="6"/>
  <c r="K11" i="6"/>
  <c r="G11" i="6"/>
  <c r="F11" i="6"/>
  <c r="C11" i="6"/>
  <c r="B11" i="6"/>
  <c r="A11" i="6"/>
  <c r="DM11" i="6" s="1"/>
  <c r="EV10" i="6"/>
  <c r="EU10" i="6"/>
  <c r="EP10" i="6"/>
  <c r="EK10" i="6"/>
  <c r="EF10" i="6"/>
  <c r="EA10" i="6"/>
  <c r="DW10" i="6"/>
  <c r="DV10" i="6"/>
  <c r="DR10" i="6"/>
  <c r="DQ10" i="6"/>
  <c r="DM10" i="6"/>
  <c r="DL10" i="6"/>
  <c r="DH10" i="6"/>
  <c r="DG10" i="6"/>
  <c r="DB10" i="6"/>
  <c r="CW10" i="6"/>
  <c r="CS10" i="6"/>
  <c r="CR10" i="6"/>
  <c r="CM10" i="6"/>
  <c r="CH10" i="6"/>
  <c r="CD10" i="6"/>
  <c r="CC10" i="6"/>
  <c r="BY10" i="6"/>
  <c r="BX10" i="6"/>
  <c r="BT10" i="6"/>
  <c r="BS10" i="6"/>
  <c r="BO10" i="6"/>
  <c r="BN10" i="6"/>
  <c r="BD10" i="6"/>
  <c r="AZ10" i="6"/>
  <c r="AY10" i="6"/>
  <c r="AK10" i="6"/>
  <c r="AJ10" i="6"/>
  <c r="AF10" i="6"/>
  <c r="AE10" i="6"/>
  <c r="AA10" i="6"/>
  <c r="Z10" i="6"/>
  <c r="U10" i="6"/>
  <c r="P10" i="6"/>
  <c r="L10" i="6"/>
  <c r="F10" i="6"/>
  <c r="C10" i="6"/>
  <c r="B10" i="6"/>
  <c r="A10" i="6"/>
  <c r="EG10" i="6" s="1"/>
  <c r="EU9" i="6"/>
  <c r="EQ9" i="6"/>
  <c r="EP9" i="6"/>
  <c r="EL9" i="6"/>
  <c r="EK9" i="6"/>
  <c r="EG9" i="6"/>
  <c r="EF9" i="6"/>
  <c r="ED35" i="6" s="1"/>
  <c r="EA9" i="6"/>
  <c r="DY35" i="6" s="1"/>
  <c r="DV9" i="6"/>
  <c r="DQ9" i="6"/>
  <c r="DL9" i="6"/>
  <c r="DG9" i="6"/>
  <c r="DB9" i="6"/>
  <c r="CW9" i="6"/>
  <c r="CR9" i="6"/>
  <c r="CP35" i="6" s="1"/>
  <c r="CN9" i="6"/>
  <c r="CM9" i="6"/>
  <c r="CI9" i="6"/>
  <c r="CH9" i="6"/>
  <c r="CD9" i="6"/>
  <c r="CC9" i="6"/>
  <c r="BX9" i="6"/>
  <c r="BS9" i="6"/>
  <c r="BN9" i="6"/>
  <c r="BJ9" i="6"/>
  <c r="AO9" i="6"/>
  <c r="AK9" i="6"/>
  <c r="AJ9" i="6"/>
  <c r="Z9" i="6"/>
  <c r="V9" i="6"/>
  <c r="L9" i="6"/>
  <c r="K9" i="6"/>
  <c r="C9" i="6"/>
  <c r="B9" i="6"/>
  <c r="A9" i="6"/>
  <c r="DC9" i="6" s="1"/>
  <c r="EV8" i="6"/>
  <c r="EU8" i="6"/>
  <c r="EP8" i="6"/>
  <c r="EL8" i="6"/>
  <c r="EK8" i="6"/>
  <c r="EF8" i="6"/>
  <c r="EA8" i="6"/>
  <c r="DW8" i="6"/>
  <c r="DV8" i="6"/>
  <c r="DR8" i="6"/>
  <c r="DQ8" i="6"/>
  <c r="DL8" i="6"/>
  <c r="DG8" i="6"/>
  <c r="DC8" i="6"/>
  <c r="DB8" i="6"/>
  <c r="CW8" i="6"/>
  <c r="CR8" i="6"/>
  <c r="CN8" i="6"/>
  <c r="CM8" i="6"/>
  <c r="CH8" i="6"/>
  <c r="CD8" i="6"/>
  <c r="CC8" i="6"/>
  <c r="BY8" i="6"/>
  <c r="BX8" i="6"/>
  <c r="BS8" i="6"/>
  <c r="BO8" i="6"/>
  <c r="BN8" i="6"/>
  <c r="BD8" i="6"/>
  <c r="AZ8" i="6"/>
  <c r="AY8" i="6"/>
  <c r="AP8" i="6"/>
  <c r="AJ8" i="6"/>
  <c r="AF8" i="6"/>
  <c r="Z8" i="6"/>
  <c r="P8" i="6"/>
  <c r="K8" i="6"/>
  <c r="G8" i="6"/>
  <c r="F8" i="6"/>
  <c r="C8" i="6"/>
  <c r="B8" i="6"/>
  <c r="A8" i="6"/>
  <c r="AU8" i="6" s="1"/>
  <c r="EV7" i="6"/>
  <c r="EU7" i="6"/>
  <c r="EP7" i="6"/>
  <c r="EK7" i="6"/>
  <c r="EG7" i="6"/>
  <c r="EF7" i="6"/>
  <c r="EB7" i="6"/>
  <c r="EA7" i="6"/>
  <c r="DV7" i="6"/>
  <c r="DR7" i="6"/>
  <c r="DQ7" i="6"/>
  <c r="DM7" i="6"/>
  <c r="DL7" i="6"/>
  <c r="DH7" i="6"/>
  <c r="DG7" i="6"/>
  <c r="DB7" i="6"/>
  <c r="CX7" i="6"/>
  <c r="CW7" i="6"/>
  <c r="CR7" i="6"/>
  <c r="CN7" i="6"/>
  <c r="CM7" i="6"/>
  <c r="CI7" i="6"/>
  <c r="CH7" i="6"/>
  <c r="CD7" i="6"/>
  <c r="CC7" i="6"/>
  <c r="CA35" i="6" s="1"/>
  <c r="BY7" i="6"/>
  <c r="BX7" i="6"/>
  <c r="BT7" i="6"/>
  <c r="BS7" i="6"/>
  <c r="BN7" i="6"/>
  <c r="BJ7" i="6"/>
  <c r="BI7" i="6"/>
  <c r="BE7" i="6"/>
  <c r="AT7" i="6"/>
  <c r="AP7" i="6"/>
  <c r="AK7" i="6"/>
  <c r="AJ7" i="6"/>
  <c r="AF7" i="6"/>
  <c r="AE7" i="6"/>
  <c r="Z7" i="6"/>
  <c r="V7" i="6"/>
  <c r="U7" i="6"/>
  <c r="Q7" i="6"/>
  <c r="L7" i="6"/>
  <c r="K7" i="6"/>
  <c r="F7" i="6"/>
  <c r="C7" i="6"/>
  <c r="B7" i="6"/>
  <c r="A7" i="6"/>
  <c r="EU6" i="6"/>
  <c r="EQ6" i="6"/>
  <c r="EP6" i="6"/>
  <c r="EL6" i="6"/>
  <c r="EK6" i="6"/>
  <c r="EG6" i="6"/>
  <c r="EF6" i="6"/>
  <c r="EA6" i="6"/>
  <c r="DW6" i="6"/>
  <c r="DV6" i="6"/>
  <c r="DQ6" i="6"/>
  <c r="DM6" i="6"/>
  <c r="DL6" i="6"/>
  <c r="DH6" i="6"/>
  <c r="DG6" i="6"/>
  <c r="DB6" i="6"/>
  <c r="CX6" i="6"/>
  <c r="CW6" i="6"/>
  <c r="CS6" i="6"/>
  <c r="CR6" i="6"/>
  <c r="CM6" i="6"/>
  <c r="CI6" i="6"/>
  <c r="CH6" i="6"/>
  <c r="CD6" i="6"/>
  <c r="CC6" i="6"/>
  <c r="BY6" i="6"/>
  <c r="BX6" i="6"/>
  <c r="BT6" i="6"/>
  <c r="BS6" i="6"/>
  <c r="BN6" i="6"/>
  <c r="BI6" i="6"/>
  <c r="BE6" i="6"/>
  <c r="BD6" i="6"/>
  <c r="AY6" i="6"/>
  <c r="AT6" i="6"/>
  <c r="AP6" i="6"/>
  <c r="AO6" i="6"/>
  <c r="AJ6" i="6"/>
  <c r="AF6" i="6"/>
  <c r="AE6" i="6"/>
  <c r="AA6" i="6"/>
  <c r="U6" i="6"/>
  <c r="Q6" i="6"/>
  <c r="G6" i="6"/>
  <c r="F6" i="6"/>
  <c r="C6" i="6"/>
  <c r="B6" i="6"/>
  <c r="A6" i="6"/>
  <c r="EU5" i="6"/>
  <c r="EP5" i="6"/>
  <c r="EK5" i="6"/>
  <c r="EF5" i="6"/>
  <c r="EA5" i="6"/>
  <c r="DV5" i="6"/>
  <c r="DQ5" i="6"/>
  <c r="DL5" i="6"/>
  <c r="DG5" i="6"/>
  <c r="DB5" i="6"/>
  <c r="CW5" i="6"/>
  <c r="CR5" i="6"/>
  <c r="CM5" i="6"/>
  <c r="CH5" i="6"/>
  <c r="CC5" i="6"/>
  <c r="BX5" i="6"/>
  <c r="BV35" i="6" s="1"/>
  <c r="BS5" i="6"/>
  <c r="BN5" i="6"/>
  <c r="C5" i="6"/>
  <c r="B5" i="6"/>
  <c r="A5" i="6"/>
  <c r="AK5" i="6" s="1"/>
  <c r="EV4" i="6"/>
  <c r="EU4" i="6"/>
  <c r="EQ4" i="6"/>
  <c r="EP4" i="6"/>
  <c r="EK4" i="6"/>
  <c r="EF4" i="6"/>
  <c r="EA4" i="6"/>
  <c r="DV4" i="6"/>
  <c r="DQ4" i="6"/>
  <c r="DL4" i="6"/>
  <c r="DH4" i="6"/>
  <c r="DG4" i="6"/>
  <c r="DE35" i="6" s="1"/>
  <c r="DC4" i="6"/>
  <c r="DB4" i="6"/>
  <c r="CZ35" i="6" s="1"/>
  <c r="CX4" i="6"/>
  <c r="CW4" i="6"/>
  <c r="CR4" i="6"/>
  <c r="CM4" i="6"/>
  <c r="CH4" i="6"/>
  <c r="CC4" i="6"/>
  <c r="BX4" i="6"/>
  <c r="BT4" i="6"/>
  <c r="BS4" i="6"/>
  <c r="BQ35" i="6" s="1"/>
  <c r="BO4" i="6"/>
  <c r="BN4" i="6"/>
  <c r="BL35" i="6" s="1"/>
  <c r="BJ4" i="6"/>
  <c r="BI4" i="6"/>
  <c r="BE4" i="6"/>
  <c r="BD4" i="6"/>
  <c r="AY4" i="6"/>
  <c r="AT4" i="6"/>
  <c r="AP4" i="6"/>
  <c r="AO4" i="6"/>
  <c r="AJ4" i="6"/>
  <c r="AE4" i="6"/>
  <c r="Z4" i="6"/>
  <c r="V4" i="6"/>
  <c r="U4" i="6"/>
  <c r="Q4" i="6"/>
  <c r="P4" i="6"/>
  <c r="L4" i="6"/>
  <c r="K4" i="6"/>
  <c r="F4" i="6"/>
  <c r="C4" i="6"/>
  <c r="B4" i="6"/>
  <c r="A4" i="6"/>
  <c r="EG4" i="6" s="1"/>
  <c r="ES2" i="6"/>
  <c r="EN2" i="6"/>
  <c r="EI2" i="6"/>
  <c r="ED2" i="6"/>
  <c r="DY2" i="6"/>
  <c r="DT2" i="6"/>
  <c r="DO2" i="6"/>
  <c r="DJ2" i="6"/>
  <c r="DE2" i="6"/>
  <c r="CZ2" i="6"/>
  <c r="CU2" i="6"/>
  <c r="CP2" i="6"/>
  <c r="CK2" i="6"/>
  <c r="CF2" i="6"/>
  <c r="CA2" i="6"/>
  <c r="BV2" i="6"/>
  <c r="BQ2" i="6"/>
  <c r="BL2" i="6"/>
  <c r="BG2" i="6"/>
  <c r="BB2" i="6"/>
  <c r="AW2" i="6"/>
  <c r="AR2" i="6"/>
  <c r="AM2" i="6"/>
  <c r="AH2" i="6"/>
  <c r="AC2" i="6"/>
  <c r="X2" i="6"/>
  <c r="S2" i="6"/>
  <c r="N2" i="6"/>
  <c r="I2" i="6"/>
  <c r="D2" i="6"/>
  <c r="A1" i="6"/>
  <c r="ES40" i="5"/>
  <c r="EN40" i="5"/>
  <c r="EI40" i="5"/>
  <c r="ED40" i="5"/>
  <c r="DY40" i="5"/>
  <c r="DT40" i="5"/>
  <c r="DO40" i="5"/>
  <c r="DJ40" i="5"/>
  <c r="DE40" i="5"/>
  <c r="CZ40" i="5"/>
  <c r="T24" i="19" s="1"/>
  <c r="CU40" i="5"/>
  <c r="CP40" i="5"/>
  <c r="CK40" i="5"/>
  <c r="CF40" i="5"/>
  <c r="CA40" i="5"/>
  <c r="BV40" i="5"/>
  <c r="T18" i="19" s="1"/>
  <c r="BQ40" i="5"/>
  <c r="BL40" i="5"/>
  <c r="BG40" i="5"/>
  <c r="BB40" i="5"/>
  <c r="AW40" i="5"/>
  <c r="AR40" i="5"/>
  <c r="AM40" i="5"/>
  <c r="AH40" i="5"/>
  <c r="AC40" i="5"/>
  <c r="X40" i="5"/>
  <c r="T8" i="19" s="1"/>
  <c r="S40" i="5"/>
  <c r="N40" i="5"/>
  <c r="T6" i="19" s="1"/>
  <c r="I40" i="5"/>
  <c r="D40" i="5"/>
  <c r="ES39" i="5"/>
  <c r="EN39" i="5"/>
  <c r="S32" i="19" s="1"/>
  <c r="EI39" i="5"/>
  <c r="ED39" i="5"/>
  <c r="DY39" i="5"/>
  <c r="DT39" i="5"/>
  <c r="DO39" i="5"/>
  <c r="DJ39" i="5"/>
  <c r="S26" i="19" s="1"/>
  <c r="DE39" i="5"/>
  <c r="CZ39" i="5"/>
  <c r="CU39" i="5"/>
  <c r="CP39" i="5"/>
  <c r="S22" i="19" s="1"/>
  <c r="CK39" i="5"/>
  <c r="CF39" i="5"/>
  <c r="S20" i="19" s="1"/>
  <c r="CA39" i="5"/>
  <c r="BV39" i="5"/>
  <c r="BQ39" i="5"/>
  <c r="BL39" i="5"/>
  <c r="S16" i="19" s="1"/>
  <c r="BG39" i="5"/>
  <c r="BB39" i="5"/>
  <c r="AW39" i="5"/>
  <c r="AR39" i="5"/>
  <c r="AM39" i="5"/>
  <c r="AH39" i="5"/>
  <c r="AC39" i="5"/>
  <c r="X39" i="5"/>
  <c r="S39" i="5"/>
  <c r="N39" i="5"/>
  <c r="S6" i="19" s="1"/>
  <c r="I39" i="5"/>
  <c r="D39" i="5"/>
  <c r="S4" i="19" s="1"/>
  <c r="ES38" i="5"/>
  <c r="EN38" i="5"/>
  <c r="EI38" i="5"/>
  <c r="ED38" i="5"/>
  <c r="R30" i="19" s="1"/>
  <c r="DY38" i="5"/>
  <c r="DT38" i="5"/>
  <c r="DO38" i="5"/>
  <c r="DJ38" i="5"/>
  <c r="DE38" i="5"/>
  <c r="CZ38" i="5"/>
  <c r="CU38" i="5"/>
  <c r="CP38" i="5"/>
  <c r="CK38" i="5"/>
  <c r="CF38" i="5"/>
  <c r="R20" i="19" s="1"/>
  <c r="CA38" i="5"/>
  <c r="BV38" i="5"/>
  <c r="R18" i="19" s="1"/>
  <c r="BQ38" i="5"/>
  <c r="BL38" i="5"/>
  <c r="BG38" i="5"/>
  <c r="BB38" i="5"/>
  <c r="R14" i="19" s="1"/>
  <c r="AW38" i="5"/>
  <c r="AR38" i="5"/>
  <c r="AM38" i="5"/>
  <c r="AH38" i="5"/>
  <c r="AC38" i="5"/>
  <c r="X38" i="5"/>
  <c r="S38" i="5"/>
  <c r="N38" i="5"/>
  <c r="I38" i="5"/>
  <c r="D38" i="5"/>
  <c r="R4" i="19" s="1"/>
  <c r="EI35" i="5"/>
  <c r="EU34" i="5"/>
  <c r="EP34" i="5"/>
  <c r="EK34" i="5"/>
  <c r="EF34" i="5"/>
  <c r="EA34" i="5"/>
  <c r="DV34" i="5"/>
  <c r="DQ34" i="5"/>
  <c r="DL34" i="5"/>
  <c r="DG34" i="5"/>
  <c r="DB34" i="5"/>
  <c r="CW34" i="5"/>
  <c r="CR34" i="5"/>
  <c r="CM34" i="5"/>
  <c r="CH34" i="5"/>
  <c r="CC34" i="5"/>
  <c r="BX34" i="5"/>
  <c r="BS34" i="5"/>
  <c r="BN34" i="5"/>
  <c r="BD34" i="5"/>
  <c r="AY34" i="5"/>
  <c r="AJ34" i="5"/>
  <c r="F34" i="5"/>
  <c r="C34" i="5"/>
  <c r="B34" i="5"/>
  <c r="A34" i="5"/>
  <c r="EU33" i="5"/>
  <c r="EQ33" i="5"/>
  <c r="EP33" i="5"/>
  <c r="EK33" i="5"/>
  <c r="EF33" i="5"/>
  <c r="EA33" i="5"/>
  <c r="DV33" i="5"/>
  <c r="DQ33" i="5"/>
  <c r="DL33" i="5"/>
  <c r="DG33" i="5"/>
  <c r="DB33" i="5"/>
  <c r="CW33" i="5"/>
  <c r="CS33" i="5"/>
  <c r="CR33" i="5"/>
  <c r="CM33" i="5"/>
  <c r="CH33" i="5"/>
  <c r="CC33" i="5"/>
  <c r="BX33" i="5"/>
  <c r="BS33" i="5"/>
  <c r="BN33" i="5"/>
  <c r="AY33" i="5"/>
  <c r="AT33" i="5"/>
  <c r="C33" i="5"/>
  <c r="B33" i="5"/>
  <c r="A33" i="5"/>
  <c r="DW33" i="5" s="1"/>
  <c r="EV32" i="5"/>
  <c r="EU32" i="5"/>
  <c r="EP32" i="5"/>
  <c r="EK32" i="5"/>
  <c r="EF32" i="5"/>
  <c r="EA32" i="5"/>
  <c r="DV32" i="5"/>
  <c r="DQ32" i="5"/>
  <c r="DL32" i="5"/>
  <c r="DG32" i="5"/>
  <c r="DC32" i="5"/>
  <c r="DB32" i="5"/>
  <c r="CW32" i="5"/>
  <c r="CS32" i="5"/>
  <c r="CR32" i="5"/>
  <c r="CM32" i="5"/>
  <c r="CH32" i="5"/>
  <c r="CC32" i="5"/>
  <c r="BX32" i="5"/>
  <c r="BS32" i="5"/>
  <c r="BN32" i="5"/>
  <c r="AZ32" i="5"/>
  <c r="AY32" i="5"/>
  <c r="AT32" i="5"/>
  <c r="AP32" i="5"/>
  <c r="C32" i="5"/>
  <c r="B32" i="5"/>
  <c r="A32" i="5"/>
  <c r="EL32" i="5" s="1"/>
  <c r="EV31" i="5"/>
  <c r="EU31" i="5"/>
  <c r="EQ31" i="5"/>
  <c r="EP31" i="5"/>
  <c r="EL31" i="5"/>
  <c r="EK31" i="5"/>
  <c r="EF31" i="5"/>
  <c r="EB31" i="5"/>
  <c r="EA31" i="5"/>
  <c r="DW31" i="5"/>
  <c r="DV31" i="5"/>
  <c r="DR31" i="5"/>
  <c r="DQ31" i="5"/>
  <c r="DL31" i="5"/>
  <c r="DH31" i="5"/>
  <c r="DG31" i="5"/>
  <c r="DC31" i="5"/>
  <c r="DB31" i="5"/>
  <c r="CX31" i="5"/>
  <c r="CW31" i="5"/>
  <c r="CR31" i="5"/>
  <c r="CM31" i="5"/>
  <c r="CI31" i="5"/>
  <c r="CH31" i="5"/>
  <c r="CD31" i="5"/>
  <c r="CC31" i="5"/>
  <c r="BY31" i="5"/>
  <c r="BX31" i="5"/>
  <c r="BT31" i="5"/>
  <c r="BS31" i="5"/>
  <c r="BO31" i="5"/>
  <c r="BN31" i="5"/>
  <c r="BJ31" i="5"/>
  <c r="BI31" i="5"/>
  <c r="BD31" i="5"/>
  <c r="AZ31" i="5"/>
  <c r="AY31" i="5"/>
  <c r="AP31" i="5"/>
  <c r="AO31" i="5"/>
  <c r="AK31" i="5"/>
  <c r="AJ31" i="5"/>
  <c r="AF31" i="5"/>
  <c r="AA31" i="5"/>
  <c r="Z31" i="5"/>
  <c r="V31" i="5"/>
  <c r="U31" i="5"/>
  <c r="P31" i="5"/>
  <c r="L31" i="5"/>
  <c r="K31" i="5"/>
  <c r="G31" i="5"/>
  <c r="C31" i="5"/>
  <c r="B31" i="5"/>
  <c r="A31" i="5"/>
  <c r="EU30" i="5"/>
  <c r="EQ30" i="5"/>
  <c r="EP30" i="5"/>
  <c r="EK30" i="5"/>
  <c r="EF30" i="5"/>
  <c r="EB30" i="5"/>
  <c r="EA30" i="5"/>
  <c r="DW30" i="5"/>
  <c r="DV30" i="5"/>
  <c r="DQ30" i="5"/>
  <c r="DM30" i="5"/>
  <c r="DL30" i="5"/>
  <c r="DG30" i="5"/>
  <c r="DB30" i="5"/>
  <c r="CX30" i="5"/>
  <c r="CW30" i="5"/>
  <c r="CR30" i="5"/>
  <c r="CM30" i="5"/>
  <c r="CI30" i="5"/>
  <c r="CH30" i="5"/>
  <c r="CC30" i="5"/>
  <c r="BY30" i="5"/>
  <c r="BX30" i="5"/>
  <c r="BT30" i="5"/>
  <c r="BS30" i="5"/>
  <c r="BN30" i="5"/>
  <c r="BJ30" i="5"/>
  <c r="AY30" i="5"/>
  <c r="AU30" i="5"/>
  <c r="AT30" i="5"/>
  <c r="AO30" i="5"/>
  <c r="AJ30" i="5"/>
  <c r="AF30" i="5"/>
  <c r="AE30" i="5"/>
  <c r="AA30" i="5"/>
  <c r="Z30" i="5"/>
  <c r="Q30" i="5"/>
  <c r="L30" i="5"/>
  <c r="G30" i="5"/>
  <c r="C30" i="5"/>
  <c r="B30" i="5"/>
  <c r="A30" i="5"/>
  <c r="EV30" i="5" s="1"/>
  <c r="EV29" i="5"/>
  <c r="EU29" i="5"/>
  <c r="EQ29" i="5"/>
  <c r="EP29" i="5"/>
  <c r="EL29" i="5"/>
  <c r="EK29" i="5"/>
  <c r="EG29" i="5"/>
  <c r="EF29" i="5"/>
  <c r="EA29" i="5"/>
  <c r="DW29" i="5"/>
  <c r="DV29" i="5"/>
  <c r="DR29" i="5"/>
  <c r="DQ29" i="5"/>
  <c r="DM29" i="5"/>
  <c r="DL29" i="5"/>
  <c r="DH29" i="5"/>
  <c r="DG29" i="5"/>
  <c r="DC29" i="5"/>
  <c r="DB29" i="5"/>
  <c r="CX29" i="5"/>
  <c r="CW29" i="5"/>
  <c r="CS29" i="5"/>
  <c r="CR29" i="5"/>
  <c r="CM29" i="5"/>
  <c r="CI29" i="5"/>
  <c r="CH29" i="5"/>
  <c r="CC29" i="5"/>
  <c r="BY29" i="5"/>
  <c r="BX29" i="5"/>
  <c r="BT29" i="5"/>
  <c r="BS29" i="5"/>
  <c r="BO29" i="5"/>
  <c r="BN29" i="5"/>
  <c r="BJ29" i="5"/>
  <c r="BI29" i="5"/>
  <c r="BE29" i="5"/>
  <c r="BD29" i="5"/>
  <c r="AY29" i="5"/>
  <c r="AU29" i="5"/>
  <c r="AP29" i="5"/>
  <c r="AJ29" i="5"/>
  <c r="AF29" i="5"/>
  <c r="AE29" i="5"/>
  <c r="AA29" i="5"/>
  <c r="Z29" i="5"/>
  <c r="V29" i="5"/>
  <c r="U29" i="5"/>
  <c r="Q29" i="5"/>
  <c r="P29" i="5"/>
  <c r="K29" i="5"/>
  <c r="G29" i="5"/>
  <c r="F29" i="5"/>
  <c r="C29" i="5"/>
  <c r="B29" i="5"/>
  <c r="A29" i="5"/>
  <c r="EV28" i="5"/>
  <c r="EU28" i="5"/>
  <c r="EQ28" i="5"/>
  <c r="EP28" i="5"/>
  <c r="EL28" i="5"/>
  <c r="EK28" i="5"/>
  <c r="EG28" i="5"/>
  <c r="EF28" i="5"/>
  <c r="EB28" i="5"/>
  <c r="EA28" i="5"/>
  <c r="DW28" i="5"/>
  <c r="DV28" i="5"/>
  <c r="DR28" i="5"/>
  <c r="DQ28" i="5"/>
  <c r="DL28" i="5"/>
  <c r="DH28" i="5"/>
  <c r="DG28" i="5"/>
  <c r="DC28" i="5"/>
  <c r="DB28" i="5"/>
  <c r="CX28" i="5"/>
  <c r="CW28" i="5"/>
  <c r="CS28" i="5"/>
  <c r="CR28" i="5"/>
  <c r="CN28" i="5"/>
  <c r="CM28" i="5"/>
  <c r="CI28" i="5"/>
  <c r="CH28" i="5"/>
  <c r="CD28" i="5"/>
  <c r="CC28" i="5"/>
  <c r="BX28" i="5"/>
  <c r="BT28" i="5"/>
  <c r="BS28" i="5"/>
  <c r="BO28" i="5"/>
  <c r="BN28" i="5"/>
  <c r="BJ28" i="5"/>
  <c r="BI28" i="5"/>
  <c r="BE28" i="5"/>
  <c r="BD28" i="5"/>
  <c r="AZ28" i="5"/>
  <c r="AY28" i="5"/>
  <c r="AU28" i="5"/>
  <c r="AT28" i="5"/>
  <c r="AP28" i="5"/>
  <c r="AO28" i="5"/>
  <c r="AJ28" i="5"/>
  <c r="AF28" i="5"/>
  <c r="AE28" i="5"/>
  <c r="AA28" i="5"/>
  <c r="Z28" i="5"/>
  <c r="V28" i="5"/>
  <c r="U28" i="5"/>
  <c r="Q28" i="5"/>
  <c r="P28" i="5"/>
  <c r="L28" i="5"/>
  <c r="K28" i="5"/>
  <c r="G28" i="5"/>
  <c r="F28" i="5"/>
  <c r="C28" i="5"/>
  <c r="B28" i="5"/>
  <c r="A28" i="5"/>
  <c r="DM28" i="5" s="1"/>
  <c r="EV27" i="5"/>
  <c r="EU27" i="5"/>
  <c r="EQ27" i="5"/>
  <c r="EP27" i="5"/>
  <c r="EK27" i="5"/>
  <c r="EG27" i="5"/>
  <c r="EF27" i="5"/>
  <c r="EB27" i="5"/>
  <c r="EA27" i="5"/>
  <c r="DV27" i="5"/>
  <c r="DR27" i="5"/>
  <c r="DQ27" i="5"/>
  <c r="DM27" i="5"/>
  <c r="DL27" i="5"/>
  <c r="DH27" i="5"/>
  <c r="DG27" i="5"/>
  <c r="DC27" i="5"/>
  <c r="DB27" i="5"/>
  <c r="CX27" i="5"/>
  <c r="CW27" i="5"/>
  <c r="CR27" i="5"/>
  <c r="CN27" i="5"/>
  <c r="CM27" i="5"/>
  <c r="CH27" i="5"/>
  <c r="CC27" i="5"/>
  <c r="BY27" i="5"/>
  <c r="BX27" i="5"/>
  <c r="BT27" i="5"/>
  <c r="BS27" i="5"/>
  <c r="BO27" i="5"/>
  <c r="BN27" i="5"/>
  <c r="BJ27" i="5"/>
  <c r="BI27" i="5"/>
  <c r="BD27" i="5"/>
  <c r="AY27" i="5"/>
  <c r="AT27" i="5"/>
  <c r="AP27" i="5"/>
  <c r="AJ27" i="5"/>
  <c r="AF27" i="5"/>
  <c r="AE27" i="5"/>
  <c r="AA27" i="5"/>
  <c r="Z27" i="5"/>
  <c r="V27" i="5"/>
  <c r="U27" i="5"/>
  <c r="Q27" i="5"/>
  <c r="L27" i="5"/>
  <c r="F27" i="5"/>
  <c r="C27" i="5"/>
  <c r="B27" i="5"/>
  <c r="A27" i="5"/>
  <c r="EU26" i="5"/>
  <c r="EP26" i="5"/>
  <c r="EL26" i="5"/>
  <c r="EK26" i="5"/>
  <c r="EG26" i="5"/>
  <c r="EF26" i="5"/>
  <c r="EB26" i="5"/>
  <c r="EA26" i="5"/>
  <c r="DV26" i="5"/>
  <c r="DR26" i="5"/>
  <c r="DQ26" i="5"/>
  <c r="DL26" i="5"/>
  <c r="DG26" i="5"/>
  <c r="DC26" i="5"/>
  <c r="DB26" i="5"/>
  <c r="CW26" i="5"/>
  <c r="CR26" i="5"/>
  <c r="CN26" i="5"/>
  <c r="CM26" i="5"/>
  <c r="CI26" i="5"/>
  <c r="CH26" i="5"/>
  <c r="CD26" i="5"/>
  <c r="CC26" i="5"/>
  <c r="BX26" i="5"/>
  <c r="BS26" i="5"/>
  <c r="BN26" i="5"/>
  <c r="BD26" i="5"/>
  <c r="AZ26" i="5"/>
  <c r="AY26" i="5"/>
  <c r="AK26" i="5"/>
  <c r="AJ26" i="5"/>
  <c r="AE26" i="5"/>
  <c r="V26" i="5"/>
  <c r="U26" i="5"/>
  <c r="Q26" i="5"/>
  <c r="K26" i="5"/>
  <c r="G26" i="5"/>
  <c r="C26" i="5"/>
  <c r="B26" i="5"/>
  <c r="A26" i="5"/>
  <c r="AP26" i="5" s="1"/>
  <c r="EU25" i="5"/>
  <c r="EP25" i="5"/>
  <c r="EK25" i="5"/>
  <c r="EF25" i="5"/>
  <c r="EB25" i="5"/>
  <c r="EA25" i="5"/>
  <c r="DV25" i="5"/>
  <c r="DQ25" i="5"/>
  <c r="DM25" i="5"/>
  <c r="DL25" i="5"/>
  <c r="DH25" i="5"/>
  <c r="DG25" i="5"/>
  <c r="DB25" i="5"/>
  <c r="CW25" i="5"/>
  <c r="CR25" i="5"/>
  <c r="CM25" i="5"/>
  <c r="CH25" i="5"/>
  <c r="CC25" i="5"/>
  <c r="BY25" i="5"/>
  <c r="BX25" i="5"/>
  <c r="BT25" i="5"/>
  <c r="BS25" i="5"/>
  <c r="BN25" i="5"/>
  <c r="AY25" i="5"/>
  <c r="AJ25" i="5"/>
  <c r="AF25" i="5"/>
  <c r="AA25" i="5"/>
  <c r="Z25" i="5"/>
  <c r="U25" i="5"/>
  <c r="Q25" i="5"/>
  <c r="P25" i="5"/>
  <c r="L25" i="5"/>
  <c r="C25" i="5"/>
  <c r="B25" i="5"/>
  <c r="A25" i="5"/>
  <c r="AU25" i="5" s="1"/>
  <c r="EU24" i="5"/>
  <c r="EP24" i="5"/>
  <c r="EL24" i="5"/>
  <c r="EK24" i="5"/>
  <c r="EF24" i="5"/>
  <c r="EB24" i="5"/>
  <c r="EA24" i="5"/>
  <c r="DW24" i="5"/>
  <c r="DV24" i="5"/>
  <c r="DR24" i="5"/>
  <c r="DQ24" i="5"/>
  <c r="DL24" i="5"/>
  <c r="DG24" i="5"/>
  <c r="DB24" i="5"/>
  <c r="CW24" i="5"/>
  <c r="CR24" i="5"/>
  <c r="CN24" i="5"/>
  <c r="CM24" i="5"/>
  <c r="CI24" i="5"/>
  <c r="CH24" i="5"/>
  <c r="CD24" i="5"/>
  <c r="CC24" i="5"/>
  <c r="BY24" i="5"/>
  <c r="BX24" i="5"/>
  <c r="BS24" i="5"/>
  <c r="BN24" i="5"/>
  <c r="BD24" i="5"/>
  <c r="AY24" i="5"/>
  <c r="AK24" i="5"/>
  <c r="AJ24" i="5"/>
  <c r="AF24" i="5"/>
  <c r="AE24" i="5"/>
  <c r="U24" i="5"/>
  <c r="Q24" i="5"/>
  <c r="P24" i="5"/>
  <c r="F24" i="5"/>
  <c r="C24" i="5"/>
  <c r="B24" i="5"/>
  <c r="A24" i="5"/>
  <c r="BJ24" i="5" s="1"/>
  <c r="EV23" i="5"/>
  <c r="EU23" i="5"/>
  <c r="EQ23" i="5"/>
  <c r="EP23" i="5"/>
  <c r="EL23" i="5"/>
  <c r="EK23" i="5"/>
  <c r="EG23" i="5"/>
  <c r="EF23" i="5"/>
  <c r="EB23" i="5"/>
  <c r="EA23" i="5"/>
  <c r="DW23" i="5"/>
  <c r="DV23" i="5"/>
  <c r="DR23" i="5"/>
  <c r="DQ23" i="5"/>
  <c r="DL23" i="5"/>
  <c r="DH23" i="5"/>
  <c r="DG23" i="5"/>
  <c r="DC23" i="5"/>
  <c r="DB23" i="5"/>
  <c r="CX23" i="5"/>
  <c r="CW23" i="5"/>
  <c r="CS23" i="5"/>
  <c r="CR23" i="5"/>
  <c r="CN23" i="5"/>
  <c r="CM23" i="5"/>
  <c r="CI23" i="5"/>
  <c r="CH23" i="5"/>
  <c r="CD23" i="5"/>
  <c r="CC23" i="5"/>
  <c r="BX23" i="5"/>
  <c r="BT23" i="5"/>
  <c r="BS23" i="5"/>
  <c r="BO23" i="5"/>
  <c r="BN23" i="5"/>
  <c r="BJ23" i="5"/>
  <c r="BI23" i="5"/>
  <c r="BE23" i="5"/>
  <c r="BD23" i="5"/>
  <c r="AZ23" i="5"/>
  <c r="AY23" i="5"/>
  <c r="AU23" i="5"/>
  <c r="AT23" i="5"/>
  <c r="AP23" i="5"/>
  <c r="AO23" i="5"/>
  <c r="AJ23" i="5"/>
  <c r="AF23" i="5"/>
  <c r="AE23" i="5"/>
  <c r="AA23" i="5"/>
  <c r="Z23" i="5"/>
  <c r="V23" i="5"/>
  <c r="U23" i="5"/>
  <c r="Q23" i="5"/>
  <c r="P23" i="5"/>
  <c r="L23" i="5"/>
  <c r="K23" i="5"/>
  <c r="G23" i="5"/>
  <c r="F23" i="5"/>
  <c r="C23" i="5"/>
  <c r="B23" i="5"/>
  <c r="A23" i="5"/>
  <c r="DM23" i="5" s="1"/>
  <c r="EV22" i="5"/>
  <c r="EU22" i="5"/>
  <c r="EQ22" i="5"/>
  <c r="EP22" i="5"/>
  <c r="EK22" i="5"/>
  <c r="EG22" i="5"/>
  <c r="EF22" i="5"/>
  <c r="EB22" i="5"/>
  <c r="EA22" i="5"/>
  <c r="DV22" i="5"/>
  <c r="DR22" i="5"/>
  <c r="DQ22" i="5"/>
  <c r="DM22" i="5"/>
  <c r="DL22" i="5"/>
  <c r="DH22" i="5"/>
  <c r="DG22" i="5"/>
  <c r="DC22" i="5"/>
  <c r="DB22" i="5"/>
  <c r="CW22" i="5"/>
  <c r="CS22" i="5"/>
  <c r="CR22" i="5"/>
  <c r="CN22" i="5"/>
  <c r="CM22" i="5"/>
  <c r="CI22" i="5"/>
  <c r="CH22" i="5"/>
  <c r="CC22" i="5"/>
  <c r="BY22" i="5"/>
  <c r="BX22" i="5"/>
  <c r="BT22" i="5"/>
  <c r="BS22" i="5"/>
  <c r="BO22" i="5"/>
  <c r="BN22" i="5"/>
  <c r="BI22" i="5"/>
  <c r="BE22" i="5"/>
  <c r="BD22" i="5"/>
  <c r="AZ22" i="5"/>
  <c r="AY22" i="5"/>
  <c r="AU22" i="5"/>
  <c r="AT22" i="5"/>
  <c r="AO22" i="5"/>
  <c r="AK22" i="5"/>
  <c r="AJ22" i="5"/>
  <c r="AF22" i="5"/>
  <c r="AE22" i="5"/>
  <c r="AA22" i="5"/>
  <c r="Z22" i="5"/>
  <c r="U22" i="5"/>
  <c r="Q22" i="5"/>
  <c r="P22" i="5"/>
  <c r="L22" i="5"/>
  <c r="K22" i="5"/>
  <c r="G22" i="5"/>
  <c r="F22" i="5"/>
  <c r="C22" i="5"/>
  <c r="B22" i="5"/>
  <c r="A22" i="5"/>
  <c r="EU21" i="5"/>
  <c r="EP21" i="5"/>
  <c r="EK21" i="5"/>
  <c r="EF21" i="5"/>
  <c r="EB21" i="5"/>
  <c r="EA21" i="5"/>
  <c r="DW21" i="5"/>
  <c r="DV21" i="5"/>
  <c r="DQ21" i="5"/>
  <c r="DL21" i="5"/>
  <c r="DG21" i="5"/>
  <c r="DB21" i="5"/>
  <c r="CW21" i="5"/>
  <c r="CR21" i="5"/>
  <c r="CM21" i="5"/>
  <c r="CI21" i="5"/>
  <c r="CH21" i="5"/>
  <c r="CD21" i="5"/>
  <c r="CC21" i="5"/>
  <c r="BX21" i="5"/>
  <c r="BS21" i="5"/>
  <c r="BN21" i="5"/>
  <c r="BI21" i="5"/>
  <c r="BD21" i="5"/>
  <c r="AY21" i="5"/>
  <c r="AT21" i="5"/>
  <c r="AP21" i="5"/>
  <c r="AO21" i="5"/>
  <c r="AK21" i="5"/>
  <c r="AJ21" i="5"/>
  <c r="AE21" i="5"/>
  <c r="Z21" i="5"/>
  <c r="U21" i="5"/>
  <c r="P21" i="5"/>
  <c r="K21" i="5"/>
  <c r="F21" i="5"/>
  <c r="C21" i="5"/>
  <c r="B21" i="5"/>
  <c r="A21" i="5"/>
  <c r="DC21" i="5" s="1"/>
  <c r="EV20" i="5"/>
  <c r="EU20" i="5"/>
  <c r="EQ20" i="5"/>
  <c r="EP20" i="5"/>
  <c r="EK20" i="5"/>
  <c r="EF20" i="5"/>
  <c r="EB20" i="5"/>
  <c r="EA20" i="5"/>
  <c r="DV20" i="5"/>
  <c r="DQ20" i="5"/>
  <c r="DM20" i="5"/>
  <c r="DL20" i="5"/>
  <c r="DH20" i="5"/>
  <c r="DG20" i="5"/>
  <c r="DC20" i="5"/>
  <c r="DB20" i="5"/>
  <c r="CW20" i="5"/>
  <c r="CR20" i="5"/>
  <c r="CN20" i="5"/>
  <c r="CM20" i="5"/>
  <c r="CH20" i="5"/>
  <c r="CD20" i="5"/>
  <c r="CC20" i="5"/>
  <c r="BY20" i="5"/>
  <c r="BX20" i="5"/>
  <c r="BS20" i="5"/>
  <c r="BO20" i="5"/>
  <c r="BN20" i="5"/>
  <c r="BJ20" i="5"/>
  <c r="BI20" i="5"/>
  <c r="BD20" i="5"/>
  <c r="AZ20" i="5"/>
  <c r="AY20" i="5"/>
  <c r="AU20" i="5"/>
  <c r="AT20" i="5"/>
  <c r="AO20" i="5"/>
  <c r="AK20" i="5"/>
  <c r="AJ20" i="5"/>
  <c r="AF20" i="5"/>
  <c r="AE20" i="5"/>
  <c r="Z20" i="5"/>
  <c r="V20" i="5"/>
  <c r="U20" i="5"/>
  <c r="P20" i="5"/>
  <c r="K20" i="5"/>
  <c r="G20" i="5"/>
  <c r="F20" i="5"/>
  <c r="C20" i="5"/>
  <c r="B20" i="5"/>
  <c r="A20" i="5"/>
  <c r="DR20" i="5" s="1"/>
  <c r="EV19" i="5"/>
  <c r="EU19" i="5"/>
  <c r="EP19" i="5"/>
  <c r="EL19" i="5"/>
  <c r="EK19" i="5"/>
  <c r="EG19" i="5"/>
  <c r="EF19" i="5"/>
  <c r="EB19" i="5"/>
  <c r="EA19" i="5"/>
  <c r="DV19" i="5"/>
  <c r="DR19" i="5"/>
  <c r="DQ19" i="5"/>
  <c r="DL19" i="5"/>
  <c r="DH19" i="5"/>
  <c r="DG19" i="5"/>
  <c r="DB19" i="5"/>
  <c r="CX19" i="5"/>
  <c r="CW19" i="5"/>
  <c r="CS19" i="5"/>
  <c r="CR19" i="5"/>
  <c r="CM19" i="5"/>
  <c r="CH19" i="5"/>
  <c r="CD19" i="5"/>
  <c r="CC19" i="5"/>
  <c r="BY19" i="5"/>
  <c r="BX19" i="5"/>
  <c r="BS19" i="5"/>
  <c r="BN19" i="5"/>
  <c r="BJ19" i="5"/>
  <c r="BI19" i="5"/>
  <c r="BE19" i="5"/>
  <c r="BD19" i="5"/>
  <c r="AZ19" i="5"/>
  <c r="AY19" i="5"/>
  <c r="AU19" i="5"/>
  <c r="AT19" i="5"/>
  <c r="AO19" i="5"/>
  <c r="AK19" i="5"/>
  <c r="AJ19" i="5"/>
  <c r="AE19" i="5"/>
  <c r="Z19" i="5"/>
  <c r="V19" i="5"/>
  <c r="U19" i="5"/>
  <c r="Q19" i="5"/>
  <c r="P19" i="5"/>
  <c r="L19" i="5"/>
  <c r="K19" i="5"/>
  <c r="G19" i="5"/>
  <c r="F19" i="5"/>
  <c r="C19" i="5"/>
  <c r="B19" i="5"/>
  <c r="A19" i="5"/>
  <c r="EU18" i="5"/>
  <c r="EP18" i="5"/>
  <c r="EK18" i="5"/>
  <c r="EG18" i="5"/>
  <c r="EF18" i="5"/>
  <c r="EA18" i="5"/>
  <c r="DW18" i="5"/>
  <c r="DV18" i="5"/>
  <c r="DQ18" i="5"/>
  <c r="DL18" i="5"/>
  <c r="DG18" i="5"/>
  <c r="DB18" i="5"/>
  <c r="CW18" i="5"/>
  <c r="CR18" i="5"/>
  <c r="CM18" i="5"/>
  <c r="CI18" i="5"/>
  <c r="CH18" i="5"/>
  <c r="CD18" i="5"/>
  <c r="CC18" i="5"/>
  <c r="BY18" i="5"/>
  <c r="BX18" i="5"/>
  <c r="BS18" i="5"/>
  <c r="BN18" i="5"/>
  <c r="BI18" i="5"/>
  <c r="BD18" i="5"/>
  <c r="AY18" i="5"/>
  <c r="AT18" i="5"/>
  <c r="AP18" i="5"/>
  <c r="AO18" i="5"/>
  <c r="AK18" i="5"/>
  <c r="AJ18" i="5"/>
  <c r="AE18" i="5"/>
  <c r="AA18" i="5"/>
  <c r="Z18" i="5"/>
  <c r="U18" i="5"/>
  <c r="P18" i="5"/>
  <c r="K18" i="5"/>
  <c r="F18" i="5"/>
  <c r="C18" i="5"/>
  <c r="B18" i="5"/>
  <c r="A18" i="5"/>
  <c r="EV18" i="5" s="1"/>
  <c r="EU17" i="5"/>
  <c r="EP17" i="5"/>
  <c r="EK17" i="5"/>
  <c r="EF17" i="5"/>
  <c r="EA17" i="5"/>
  <c r="DV17" i="5"/>
  <c r="DQ17" i="5"/>
  <c r="DL17" i="5"/>
  <c r="DG17" i="5"/>
  <c r="DB17" i="5"/>
  <c r="CW17" i="5"/>
  <c r="CR17" i="5"/>
  <c r="CM17" i="5"/>
  <c r="CH17" i="5"/>
  <c r="CC17" i="5"/>
  <c r="BX17" i="5"/>
  <c r="BS17" i="5"/>
  <c r="BN17" i="5"/>
  <c r="BI17" i="5"/>
  <c r="BD17" i="5"/>
  <c r="AY17" i="5"/>
  <c r="AT17" i="5"/>
  <c r="AO17" i="5"/>
  <c r="AJ17" i="5"/>
  <c r="AE17" i="5"/>
  <c r="Z17" i="5"/>
  <c r="U17" i="5"/>
  <c r="P17" i="5"/>
  <c r="K17" i="5"/>
  <c r="F17" i="5"/>
  <c r="C17" i="5"/>
  <c r="B17" i="5"/>
  <c r="A17" i="5"/>
  <c r="EV16" i="5"/>
  <c r="EU16" i="5"/>
  <c r="EP16" i="5"/>
  <c r="EK16" i="5"/>
  <c r="EF16" i="5"/>
  <c r="EA16" i="5"/>
  <c r="DV16" i="5"/>
  <c r="DR16" i="5"/>
  <c r="DQ16" i="5"/>
  <c r="DL16" i="5"/>
  <c r="DH16" i="5"/>
  <c r="DG16" i="5"/>
  <c r="DC16" i="5"/>
  <c r="DB16" i="5"/>
  <c r="CW16" i="5"/>
  <c r="CR16" i="5"/>
  <c r="CM16" i="5"/>
  <c r="CH16" i="5"/>
  <c r="CC16" i="5"/>
  <c r="BX16" i="5"/>
  <c r="BT16" i="5"/>
  <c r="BS16" i="5"/>
  <c r="BO16" i="5"/>
  <c r="BN16" i="5"/>
  <c r="BJ16" i="5"/>
  <c r="BI16" i="5"/>
  <c r="BE16" i="5"/>
  <c r="BD16" i="5"/>
  <c r="AY16" i="5"/>
  <c r="AT16" i="5"/>
  <c r="AO16" i="5"/>
  <c r="AJ16" i="5"/>
  <c r="AE16" i="5"/>
  <c r="AA16" i="5"/>
  <c r="Z16" i="5"/>
  <c r="V16" i="5"/>
  <c r="U16" i="5"/>
  <c r="Q16" i="5"/>
  <c r="P16" i="5"/>
  <c r="L16" i="5"/>
  <c r="K16" i="5"/>
  <c r="F16" i="5"/>
  <c r="C16" i="5"/>
  <c r="B16" i="5"/>
  <c r="A16" i="5"/>
  <c r="EG16" i="5" s="1"/>
  <c r="EU15" i="5"/>
  <c r="EP15" i="5"/>
  <c r="EK15" i="5"/>
  <c r="EF15" i="5"/>
  <c r="EB15" i="5"/>
  <c r="EA15" i="5"/>
  <c r="DW15" i="5"/>
  <c r="DV15" i="5"/>
  <c r="DR15" i="5"/>
  <c r="DQ15" i="5"/>
  <c r="DL15" i="5"/>
  <c r="DG15" i="5"/>
  <c r="DB15" i="5"/>
  <c r="CW15" i="5"/>
  <c r="CR15" i="5"/>
  <c r="CM15" i="5"/>
  <c r="CI15" i="5"/>
  <c r="CH15" i="5"/>
  <c r="CD15" i="5"/>
  <c r="CC15" i="5"/>
  <c r="BX15" i="5"/>
  <c r="BT15" i="5"/>
  <c r="BS15" i="5"/>
  <c r="BN15" i="5"/>
  <c r="BI15" i="5"/>
  <c r="BD15" i="5"/>
  <c r="AY15" i="5"/>
  <c r="AT15" i="5"/>
  <c r="AP15" i="5"/>
  <c r="AO15" i="5"/>
  <c r="AK15" i="5"/>
  <c r="AJ15" i="5"/>
  <c r="AE15" i="5"/>
  <c r="AA15" i="5"/>
  <c r="Z15" i="5"/>
  <c r="U15" i="5"/>
  <c r="P15" i="5"/>
  <c r="K15" i="5"/>
  <c r="G15" i="5"/>
  <c r="F15" i="5"/>
  <c r="C15" i="5"/>
  <c r="B15" i="5"/>
  <c r="A15" i="5"/>
  <c r="AU15" i="5" s="1"/>
  <c r="EU14" i="5"/>
  <c r="EP14" i="5"/>
  <c r="EK14" i="5"/>
  <c r="EF14" i="5"/>
  <c r="EB14" i="5"/>
  <c r="EA14" i="5"/>
  <c r="DV14" i="5"/>
  <c r="DQ14" i="5"/>
  <c r="DL14" i="5"/>
  <c r="DG14" i="5"/>
  <c r="DB14" i="5"/>
  <c r="CW14" i="5"/>
  <c r="CR14" i="5"/>
  <c r="CM14" i="5"/>
  <c r="CI14" i="5"/>
  <c r="CH14" i="5"/>
  <c r="CC14" i="5"/>
  <c r="BX14" i="5"/>
  <c r="BS14" i="5"/>
  <c r="BN14" i="5"/>
  <c r="BI14" i="5"/>
  <c r="BD14" i="5"/>
  <c r="AY14" i="5"/>
  <c r="AT14" i="5"/>
  <c r="AO14" i="5"/>
  <c r="AK14" i="5"/>
  <c r="AJ14" i="5"/>
  <c r="AE14" i="5"/>
  <c r="Z14" i="5"/>
  <c r="U14" i="5"/>
  <c r="P14" i="5"/>
  <c r="K14" i="5"/>
  <c r="F14" i="5"/>
  <c r="C14" i="5"/>
  <c r="B14" i="5"/>
  <c r="A14" i="5"/>
  <c r="EV13" i="5"/>
  <c r="EU13" i="5"/>
  <c r="EQ13" i="5"/>
  <c r="EP13" i="5"/>
  <c r="EL13" i="5"/>
  <c r="EK13" i="5"/>
  <c r="EF13" i="5"/>
  <c r="EA13" i="5"/>
  <c r="DW13" i="5"/>
  <c r="DV13" i="5"/>
  <c r="DQ13" i="5"/>
  <c r="DM13" i="5"/>
  <c r="DL13" i="5"/>
  <c r="DH13" i="5"/>
  <c r="DG13" i="5"/>
  <c r="DC13" i="5"/>
  <c r="DB13" i="5"/>
  <c r="CX13" i="5"/>
  <c r="CW13" i="5"/>
  <c r="CR13" i="5"/>
  <c r="CM13" i="5"/>
  <c r="CI13" i="5"/>
  <c r="CH13" i="5"/>
  <c r="CC13" i="5"/>
  <c r="BY13" i="5"/>
  <c r="BX13" i="5"/>
  <c r="BT13" i="5"/>
  <c r="BS13" i="5"/>
  <c r="BO13" i="5"/>
  <c r="BN13" i="5"/>
  <c r="BJ13" i="5"/>
  <c r="BI13" i="5"/>
  <c r="BE13" i="5"/>
  <c r="BD13" i="5"/>
  <c r="AY13" i="5"/>
  <c r="AU13" i="5"/>
  <c r="AT13" i="5"/>
  <c r="AP13" i="5"/>
  <c r="AO13" i="5"/>
  <c r="AJ13" i="5"/>
  <c r="AF13" i="5"/>
  <c r="AE13" i="5"/>
  <c r="AA13" i="5"/>
  <c r="Z13" i="5"/>
  <c r="V13" i="5"/>
  <c r="U13" i="5"/>
  <c r="Q13" i="5"/>
  <c r="P13" i="5"/>
  <c r="K13" i="5"/>
  <c r="F13" i="5"/>
  <c r="C13" i="5"/>
  <c r="B13" i="5"/>
  <c r="A13" i="5"/>
  <c r="DR13" i="5" s="1"/>
  <c r="EV12" i="5"/>
  <c r="EU12" i="5"/>
  <c r="EQ12" i="5"/>
  <c r="EP12" i="5"/>
  <c r="EL12" i="5"/>
  <c r="EK12" i="5"/>
  <c r="EG12" i="5"/>
  <c r="EF12" i="5"/>
  <c r="EB12" i="5"/>
  <c r="EA12" i="5"/>
  <c r="DW12" i="5"/>
  <c r="DV12" i="5"/>
  <c r="DR12" i="5"/>
  <c r="DQ12" i="5"/>
  <c r="DL12" i="5"/>
  <c r="DH12" i="5"/>
  <c r="DG12" i="5"/>
  <c r="DC12" i="5"/>
  <c r="DB12" i="5"/>
  <c r="CX12" i="5"/>
  <c r="CW12" i="5"/>
  <c r="CS12" i="5"/>
  <c r="CR12" i="5"/>
  <c r="CN12" i="5"/>
  <c r="CM12" i="5"/>
  <c r="CI12" i="5"/>
  <c r="CH12" i="5"/>
  <c r="CD12" i="5"/>
  <c r="CC12" i="5"/>
  <c r="BX12" i="5"/>
  <c r="BT12" i="5"/>
  <c r="BS12" i="5"/>
  <c r="BO12" i="5"/>
  <c r="BN12" i="5"/>
  <c r="BJ12" i="5"/>
  <c r="BI12" i="5"/>
  <c r="BE12" i="5"/>
  <c r="BD12" i="5"/>
  <c r="AZ12" i="5"/>
  <c r="AY12" i="5"/>
  <c r="AU12" i="5"/>
  <c r="AT12" i="5"/>
  <c r="AP12" i="5"/>
  <c r="AO12" i="5"/>
  <c r="AJ12" i="5"/>
  <c r="AF12" i="5"/>
  <c r="AE12" i="5"/>
  <c r="AA12" i="5"/>
  <c r="Z12" i="5"/>
  <c r="V12" i="5"/>
  <c r="U12" i="5"/>
  <c r="Q12" i="5"/>
  <c r="P12" i="5"/>
  <c r="L12" i="5"/>
  <c r="K12" i="5"/>
  <c r="G12" i="5"/>
  <c r="F12" i="5"/>
  <c r="C12" i="5"/>
  <c r="B12" i="5"/>
  <c r="A12" i="5"/>
  <c r="DM12" i="5" s="1"/>
  <c r="EV11" i="5"/>
  <c r="EU11" i="5"/>
  <c r="EQ11" i="5"/>
  <c r="EP11" i="5"/>
  <c r="EK11" i="5"/>
  <c r="EG11" i="5"/>
  <c r="EF11" i="5"/>
  <c r="EA11" i="5"/>
  <c r="DV11" i="5"/>
  <c r="DR11" i="5"/>
  <c r="DQ11" i="5"/>
  <c r="DM11" i="5"/>
  <c r="DL11" i="5"/>
  <c r="DG11" i="5"/>
  <c r="DC11" i="5"/>
  <c r="DB11" i="5"/>
  <c r="CW11" i="5"/>
  <c r="CS11" i="5"/>
  <c r="CR11" i="5"/>
  <c r="CN11" i="5"/>
  <c r="CM11" i="5"/>
  <c r="CH11" i="5"/>
  <c r="CC11" i="5"/>
  <c r="BY11" i="5"/>
  <c r="BX11" i="5"/>
  <c r="BS11" i="5"/>
  <c r="BO11" i="5"/>
  <c r="BN11" i="5"/>
  <c r="BJ11" i="5"/>
  <c r="BI11" i="5"/>
  <c r="BD11" i="5"/>
  <c r="AZ11" i="5"/>
  <c r="AY11" i="5"/>
  <c r="AT11" i="5"/>
  <c r="AP11" i="5"/>
  <c r="AO11" i="5"/>
  <c r="AK11" i="5"/>
  <c r="AJ11" i="5"/>
  <c r="AE11" i="5"/>
  <c r="Z11" i="5"/>
  <c r="V11" i="5"/>
  <c r="U11" i="5"/>
  <c r="P11" i="5"/>
  <c r="L11" i="5"/>
  <c r="K11" i="5"/>
  <c r="F11" i="5"/>
  <c r="C11" i="5"/>
  <c r="B11" i="5"/>
  <c r="A11" i="5"/>
  <c r="EB11" i="5" s="1"/>
  <c r="EU10" i="5"/>
  <c r="EQ10" i="5"/>
  <c r="EP10" i="5"/>
  <c r="EK10" i="5"/>
  <c r="EG10" i="5"/>
  <c r="EF10" i="5"/>
  <c r="EB10" i="5"/>
  <c r="EA10" i="5"/>
  <c r="DV10" i="5"/>
  <c r="DR10" i="5"/>
  <c r="DQ10" i="5"/>
  <c r="DM10" i="5"/>
  <c r="DL10" i="5"/>
  <c r="DG10" i="5"/>
  <c r="DC10" i="5"/>
  <c r="DB10" i="5"/>
  <c r="CX10" i="5"/>
  <c r="CW10" i="5"/>
  <c r="CR10" i="5"/>
  <c r="CM10" i="5"/>
  <c r="CH10" i="5"/>
  <c r="CD10" i="5"/>
  <c r="CC10" i="5"/>
  <c r="BY10" i="5"/>
  <c r="BX10" i="5"/>
  <c r="BS10" i="5"/>
  <c r="BO10" i="5"/>
  <c r="BN10" i="5"/>
  <c r="BJ10" i="5"/>
  <c r="BI10" i="5"/>
  <c r="BD10" i="5"/>
  <c r="AZ10" i="5"/>
  <c r="AY10" i="5"/>
  <c r="AU10" i="5"/>
  <c r="AT10" i="5"/>
  <c r="AO10" i="5"/>
  <c r="AK10" i="5"/>
  <c r="AJ10" i="5"/>
  <c r="AE10" i="5"/>
  <c r="AA10" i="5"/>
  <c r="Z10" i="5"/>
  <c r="V10" i="5"/>
  <c r="U10" i="5"/>
  <c r="Q10" i="5"/>
  <c r="P10" i="5"/>
  <c r="K10" i="5"/>
  <c r="G10" i="5"/>
  <c r="F10" i="5"/>
  <c r="C10" i="5"/>
  <c r="B10" i="5"/>
  <c r="A10" i="5"/>
  <c r="EU9" i="5"/>
  <c r="EP9" i="5"/>
  <c r="EK9" i="5"/>
  <c r="EG9" i="5"/>
  <c r="EF9" i="5"/>
  <c r="EA9" i="5"/>
  <c r="DW9" i="5"/>
  <c r="DV9" i="5"/>
  <c r="DQ9" i="5"/>
  <c r="DL9" i="5"/>
  <c r="DG9" i="5"/>
  <c r="DB9" i="5"/>
  <c r="CW9" i="5"/>
  <c r="CR9" i="5"/>
  <c r="CM9" i="5"/>
  <c r="CH9" i="5"/>
  <c r="CC9" i="5"/>
  <c r="BY9" i="5"/>
  <c r="BX9" i="5"/>
  <c r="BS9" i="5"/>
  <c r="BN9" i="5"/>
  <c r="BI9" i="5"/>
  <c r="BD9" i="5"/>
  <c r="AY9" i="5"/>
  <c r="AT9" i="5"/>
  <c r="AO9" i="5"/>
  <c r="AK9" i="5"/>
  <c r="AJ9" i="5"/>
  <c r="AE9" i="5"/>
  <c r="AA9" i="5"/>
  <c r="Z9" i="5"/>
  <c r="U9" i="5"/>
  <c r="P9" i="5"/>
  <c r="K9" i="5"/>
  <c r="F9" i="5"/>
  <c r="C9" i="5"/>
  <c r="B9" i="5"/>
  <c r="A9" i="5"/>
  <c r="DC9" i="5" s="1"/>
  <c r="EV8" i="5"/>
  <c r="EU8" i="5"/>
  <c r="EP8" i="5"/>
  <c r="EL8" i="5"/>
  <c r="EK8" i="5"/>
  <c r="EF8" i="5"/>
  <c r="EB8" i="5"/>
  <c r="EA8" i="5"/>
  <c r="DV8" i="5"/>
  <c r="DR8" i="5"/>
  <c r="DQ8" i="5"/>
  <c r="DL8" i="5"/>
  <c r="DH8" i="5"/>
  <c r="DG8" i="5"/>
  <c r="DB8" i="5"/>
  <c r="CW8" i="5"/>
  <c r="CS8" i="5"/>
  <c r="CR8" i="5"/>
  <c r="CP35" i="5" s="1"/>
  <c r="CM8" i="5"/>
  <c r="CI8" i="5"/>
  <c r="CH8" i="5"/>
  <c r="CD8" i="5"/>
  <c r="CC8" i="5"/>
  <c r="BX8" i="5"/>
  <c r="BT8" i="5"/>
  <c r="BS8" i="5"/>
  <c r="BN8" i="5"/>
  <c r="BI8" i="5"/>
  <c r="BE8" i="5"/>
  <c r="BD8" i="5"/>
  <c r="AZ8" i="5"/>
  <c r="AY8" i="5"/>
  <c r="AU8" i="5"/>
  <c r="AT8" i="5"/>
  <c r="AO8" i="5"/>
  <c r="AK8" i="5"/>
  <c r="AJ8" i="5"/>
  <c r="AE8" i="5"/>
  <c r="Z8" i="5"/>
  <c r="V8" i="5"/>
  <c r="U8" i="5"/>
  <c r="P8" i="5"/>
  <c r="L8" i="5"/>
  <c r="K8" i="5"/>
  <c r="G8" i="5"/>
  <c r="F8" i="5"/>
  <c r="C8" i="5"/>
  <c r="B8" i="5"/>
  <c r="A8" i="5"/>
  <c r="EG8" i="5" s="1"/>
  <c r="EV7" i="5"/>
  <c r="EU7" i="5"/>
  <c r="EQ7" i="5"/>
  <c r="EP7" i="5"/>
  <c r="EL7" i="5"/>
  <c r="EK7" i="5"/>
  <c r="EG7" i="5"/>
  <c r="EF7" i="5"/>
  <c r="EB7" i="5"/>
  <c r="EA7" i="5"/>
  <c r="DW7" i="5"/>
  <c r="DV7" i="5"/>
  <c r="DR7" i="5"/>
  <c r="DQ7" i="5"/>
  <c r="DL7" i="5"/>
  <c r="DH7" i="5"/>
  <c r="DG7" i="5"/>
  <c r="DC7" i="5"/>
  <c r="DB7" i="5"/>
  <c r="CX7" i="5"/>
  <c r="CW7" i="5"/>
  <c r="CS7" i="5"/>
  <c r="CR7" i="5"/>
  <c r="CN7" i="5"/>
  <c r="CM7" i="5"/>
  <c r="CI7" i="5"/>
  <c r="CH7" i="5"/>
  <c r="CD7" i="5"/>
  <c r="CC7" i="5"/>
  <c r="BX7" i="5"/>
  <c r="BT7" i="5"/>
  <c r="BS7" i="5"/>
  <c r="BO7" i="5"/>
  <c r="BN7" i="5"/>
  <c r="BJ7" i="5"/>
  <c r="BI7" i="5"/>
  <c r="BE7" i="5"/>
  <c r="BD7" i="5"/>
  <c r="AZ7" i="5"/>
  <c r="AY7" i="5"/>
  <c r="AU7" i="5"/>
  <c r="AT7" i="5"/>
  <c r="AP7" i="5"/>
  <c r="AO7" i="5"/>
  <c r="AJ7" i="5"/>
  <c r="AF7" i="5"/>
  <c r="AE7" i="5"/>
  <c r="AA7" i="5"/>
  <c r="Z7" i="5"/>
  <c r="V7" i="5"/>
  <c r="U7" i="5"/>
  <c r="Q7" i="5"/>
  <c r="P7" i="5"/>
  <c r="L7" i="5"/>
  <c r="K7" i="5"/>
  <c r="G7" i="5"/>
  <c r="F7" i="5"/>
  <c r="C7" i="5"/>
  <c r="B7" i="5"/>
  <c r="A7" i="5"/>
  <c r="DM7" i="5" s="1"/>
  <c r="EV6" i="5"/>
  <c r="EU6" i="5"/>
  <c r="ES35" i="5" s="1"/>
  <c r="EQ6" i="5"/>
  <c r="EP6" i="5"/>
  <c r="EK6" i="5"/>
  <c r="EF6" i="5"/>
  <c r="EB6" i="5"/>
  <c r="EA6" i="5"/>
  <c r="DW6" i="5"/>
  <c r="DV6" i="5"/>
  <c r="DQ6" i="5"/>
  <c r="DM6" i="5"/>
  <c r="DL6" i="5"/>
  <c r="DH6" i="5"/>
  <c r="DG6" i="5"/>
  <c r="DC6" i="5"/>
  <c r="DB6" i="5"/>
  <c r="CW6" i="5"/>
  <c r="CU35" i="5" s="1"/>
  <c r="CS6" i="5"/>
  <c r="CR6" i="5"/>
  <c r="CM6" i="5"/>
  <c r="CI6" i="5"/>
  <c r="CH6" i="5"/>
  <c r="CC6" i="5"/>
  <c r="BY6" i="5"/>
  <c r="BX6" i="5"/>
  <c r="BT6" i="5"/>
  <c r="BS6" i="5"/>
  <c r="BO6" i="5"/>
  <c r="BN6" i="5"/>
  <c r="BI6" i="5"/>
  <c r="BE6" i="5"/>
  <c r="BD6" i="5"/>
  <c r="AY6" i="5"/>
  <c r="AU6" i="5"/>
  <c r="AT6" i="5"/>
  <c r="AP6" i="5"/>
  <c r="AO6" i="5"/>
  <c r="AJ6" i="5"/>
  <c r="AF6" i="5"/>
  <c r="AE6" i="5"/>
  <c r="AA6" i="5"/>
  <c r="Z6" i="5"/>
  <c r="U6" i="5"/>
  <c r="Q6" i="5"/>
  <c r="P6" i="5"/>
  <c r="L6" i="5"/>
  <c r="K6" i="5"/>
  <c r="F6" i="5"/>
  <c r="C6" i="5"/>
  <c r="B6" i="5"/>
  <c r="A6" i="5"/>
  <c r="DR6" i="5" s="1"/>
  <c r="EU5" i="5"/>
  <c r="EQ5" i="5"/>
  <c r="EP5" i="5"/>
  <c r="EL5" i="5"/>
  <c r="EK5" i="5"/>
  <c r="EG5" i="5"/>
  <c r="EF5" i="5"/>
  <c r="EB5" i="5"/>
  <c r="EA5" i="5"/>
  <c r="DW5" i="5"/>
  <c r="DV5" i="5"/>
  <c r="DR5" i="5"/>
  <c r="DQ5" i="5"/>
  <c r="DM5" i="5"/>
  <c r="DL5" i="5"/>
  <c r="DG5" i="5"/>
  <c r="DC5" i="5"/>
  <c r="DB5" i="5"/>
  <c r="CX5" i="5"/>
  <c r="CW5" i="5"/>
  <c r="CS5" i="5"/>
  <c r="CR5" i="5"/>
  <c r="CN5" i="5"/>
  <c r="CM5" i="5"/>
  <c r="CI5" i="5"/>
  <c r="CH5" i="5"/>
  <c r="CC5" i="5"/>
  <c r="BY5" i="5"/>
  <c r="BX5" i="5"/>
  <c r="BS5" i="5"/>
  <c r="BQ35" i="5" s="1"/>
  <c r="BO5" i="5"/>
  <c r="BN5" i="5"/>
  <c r="BJ5" i="5"/>
  <c r="BI5" i="5"/>
  <c r="BE5" i="5"/>
  <c r="BD5" i="5"/>
  <c r="AZ5" i="5"/>
  <c r="AY5" i="5"/>
  <c r="AU5" i="5"/>
  <c r="AT5" i="5"/>
  <c r="AP5" i="5"/>
  <c r="AO5" i="5"/>
  <c r="AK5" i="5"/>
  <c r="AJ5" i="5"/>
  <c r="AE5" i="5"/>
  <c r="AA5" i="5"/>
  <c r="Z5" i="5"/>
  <c r="V5" i="5"/>
  <c r="U5" i="5"/>
  <c r="Q5" i="5"/>
  <c r="P5" i="5"/>
  <c r="L5" i="5"/>
  <c r="K5" i="5"/>
  <c r="G5" i="5"/>
  <c r="F5" i="5"/>
  <c r="C5" i="5"/>
  <c r="B5" i="5"/>
  <c r="A5" i="5"/>
  <c r="EU4" i="5"/>
  <c r="EP4" i="5"/>
  <c r="EK4" i="5"/>
  <c r="EF4" i="5"/>
  <c r="ED35" i="5" s="1"/>
  <c r="EA4" i="5"/>
  <c r="DY35" i="5" s="1"/>
  <c r="DV4" i="5"/>
  <c r="DQ4" i="5"/>
  <c r="DL4" i="5"/>
  <c r="DG4" i="5"/>
  <c r="DB4" i="5"/>
  <c r="CZ35" i="5" s="1"/>
  <c r="CW4" i="5"/>
  <c r="CR4" i="5"/>
  <c r="CM4" i="5"/>
  <c r="CK35" i="5" s="1"/>
  <c r="CH4" i="5"/>
  <c r="CC4" i="5"/>
  <c r="CA35" i="5" s="1"/>
  <c r="BX4" i="5"/>
  <c r="BV35" i="5" s="1"/>
  <c r="BS4" i="5"/>
  <c r="BN4" i="5"/>
  <c r="BI4" i="5"/>
  <c r="BD4" i="5"/>
  <c r="AY4" i="5"/>
  <c r="AW35" i="5" s="1"/>
  <c r="AT4" i="5"/>
  <c r="AP4" i="5"/>
  <c r="AO4" i="5"/>
  <c r="AJ4" i="5"/>
  <c r="AE4" i="5"/>
  <c r="Z4" i="5"/>
  <c r="U4" i="5"/>
  <c r="P4" i="5"/>
  <c r="K4" i="5"/>
  <c r="F4" i="5"/>
  <c r="C4" i="5"/>
  <c r="B4" i="5"/>
  <c r="A4" i="5"/>
  <c r="ES2" i="5"/>
  <c r="EN2" i="5"/>
  <c r="EI2" i="5"/>
  <c r="ED2" i="5"/>
  <c r="DY2" i="5"/>
  <c r="DT2" i="5"/>
  <c r="DO2" i="5"/>
  <c r="DJ2" i="5"/>
  <c r="DE2" i="5"/>
  <c r="CZ2" i="5"/>
  <c r="CU2" i="5"/>
  <c r="CP2" i="5"/>
  <c r="CK2" i="5"/>
  <c r="CF2" i="5"/>
  <c r="CA2" i="5"/>
  <c r="BV2" i="5"/>
  <c r="BQ2" i="5"/>
  <c r="BL2" i="5"/>
  <c r="BG2" i="5"/>
  <c r="BB2" i="5"/>
  <c r="AW2" i="5"/>
  <c r="AR2" i="5"/>
  <c r="AM2" i="5"/>
  <c r="AH2" i="5"/>
  <c r="AC2" i="5"/>
  <c r="X2" i="5"/>
  <c r="S2" i="5"/>
  <c r="N2" i="5"/>
  <c r="I2" i="5"/>
  <c r="D2" i="5"/>
  <c r="A1" i="5"/>
  <c r="C439" i="18"/>
  <c r="G112" i="18"/>
  <c r="D29" i="18"/>
  <c r="D32" i="17"/>
  <c r="D21" i="18"/>
  <c r="D330" i="18"/>
  <c r="E227" i="18"/>
  <c r="F138" i="18"/>
  <c r="F476" i="18"/>
  <c r="E181" i="18"/>
  <c r="G460" i="18"/>
  <c r="F108" i="18"/>
  <c r="G273" i="18"/>
  <c r="G391" i="18"/>
  <c r="E21" i="18"/>
  <c r="G70" i="18"/>
  <c r="D8" i="17"/>
  <c r="F213" i="18"/>
  <c r="F182" i="18"/>
  <c r="D16" i="18"/>
  <c r="C252" i="18"/>
  <c r="G193" i="18"/>
  <c r="E229" i="18"/>
  <c r="C36" i="18"/>
  <c r="C347" i="18"/>
  <c r="D419" i="18"/>
  <c r="G440" i="18"/>
  <c r="D160" i="18"/>
  <c r="E104" i="18"/>
  <c r="D314" i="18"/>
  <c r="F155" i="18"/>
  <c r="E260" i="18"/>
  <c r="F424" i="18"/>
  <c r="F454" i="18"/>
  <c r="E271" i="18"/>
  <c r="D149" i="18"/>
  <c r="C139" i="18"/>
  <c r="D15" i="17"/>
  <c r="C32" i="18"/>
  <c r="C233" i="18"/>
  <c r="G115" i="18"/>
  <c r="D269" i="18"/>
  <c r="D262" i="18"/>
  <c r="D34" i="18"/>
  <c r="F442" i="18"/>
  <c r="D227" i="18"/>
  <c r="F416" i="18"/>
  <c r="E34" i="18"/>
  <c r="H481" i="18"/>
  <c r="D96" i="18"/>
  <c r="D92" i="18"/>
  <c r="D188" i="18"/>
  <c r="H39" i="17"/>
  <c r="D344" i="18"/>
  <c r="C110" i="18"/>
  <c r="D340" i="18"/>
  <c r="F98" i="18"/>
  <c r="C467" i="18"/>
  <c r="F99" i="18"/>
  <c r="F14" i="18"/>
  <c r="C469" i="18"/>
  <c r="D231" i="18"/>
  <c r="D65" i="18"/>
  <c r="G116" i="18"/>
  <c r="C28" i="18"/>
  <c r="D59" i="18"/>
  <c r="D17" i="17"/>
  <c r="G185" i="18"/>
  <c r="F312" i="18"/>
  <c r="E297" i="18"/>
  <c r="E337" i="18"/>
  <c r="D308" i="18"/>
  <c r="F348" i="18"/>
  <c r="F469" i="18"/>
  <c r="D148" i="18"/>
  <c r="C73" i="18"/>
  <c r="F231" i="18"/>
  <c r="F255" i="18"/>
  <c r="D375" i="18"/>
  <c r="D181" i="18"/>
  <c r="G171" i="18"/>
  <c r="C131" i="18"/>
  <c r="C189" i="18"/>
  <c r="C173" i="18"/>
  <c r="G255" i="18"/>
  <c r="G100" i="18"/>
  <c r="C297" i="18"/>
  <c r="G153" i="18"/>
  <c r="E455" i="18"/>
  <c r="G352" i="18"/>
  <c r="D465" i="18"/>
  <c r="G101" i="18"/>
  <c r="D143" i="18"/>
  <c r="E191" i="18"/>
  <c r="E215" i="18"/>
  <c r="E34" i="17"/>
  <c r="G53" i="18"/>
  <c r="D61" i="18"/>
  <c r="C452" i="18"/>
  <c r="C61" i="18"/>
  <c r="G139" i="18"/>
  <c r="E211" i="18"/>
  <c r="C51" i="18"/>
  <c r="G234" i="18"/>
  <c r="E90" i="18"/>
  <c r="E428" i="18"/>
  <c r="C100" i="18"/>
  <c r="E353" i="18"/>
  <c r="F197" i="18"/>
  <c r="C115" i="18"/>
  <c r="E425" i="18"/>
  <c r="D13" i="17"/>
  <c r="C39" i="18"/>
  <c r="C385" i="18"/>
  <c r="G461" i="18"/>
  <c r="F68" i="18"/>
  <c r="D438" i="18"/>
  <c r="C384" i="18"/>
  <c r="F293" i="18"/>
  <c r="E21" i="17"/>
  <c r="C152" i="18"/>
  <c r="D19" i="18"/>
  <c r="C15" i="18"/>
  <c r="G276" i="18"/>
  <c r="E11" i="17"/>
  <c r="F309" i="18"/>
  <c r="C17" i="18"/>
  <c r="E259" i="18"/>
  <c r="F412" i="18"/>
  <c r="C455" i="18"/>
  <c r="D433" i="18"/>
  <c r="G332" i="18"/>
  <c r="F394" i="18"/>
  <c r="D226" i="18"/>
  <c r="C357" i="18"/>
  <c r="C181" i="18"/>
  <c r="C187" i="18"/>
  <c r="G104" i="18"/>
  <c r="D187" i="18"/>
  <c r="C230" i="18"/>
  <c r="D99" i="18"/>
  <c r="D382" i="18"/>
  <c r="F76" i="18"/>
  <c r="E23" i="18"/>
  <c r="C16" i="17"/>
  <c r="E13" i="17"/>
  <c r="G264" i="18"/>
  <c r="F338" i="18"/>
  <c r="G304" i="18"/>
  <c r="G157" i="18"/>
  <c r="D379" i="18"/>
  <c r="C419" i="18"/>
  <c r="F196" i="18"/>
  <c r="E374" i="18"/>
  <c r="E171" i="18"/>
  <c r="D97" i="18"/>
  <c r="D293" i="18"/>
  <c r="C141" i="18"/>
  <c r="E292" i="18"/>
  <c r="C52" i="18"/>
  <c r="D228" i="18"/>
  <c r="F139" i="18"/>
  <c r="F251" i="18"/>
  <c r="F456" i="18"/>
  <c r="D133" i="18"/>
  <c r="G131" i="18"/>
  <c r="E435" i="18"/>
  <c r="F36" i="18"/>
  <c r="E27" i="17"/>
  <c r="G422" i="18"/>
  <c r="D36" i="17"/>
  <c r="E341" i="18"/>
  <c r="G187" i="18"/>
  <c r="C473" i="18"/>
  <c r="E397" i="18"/>
  <c r="E115" i="18"/>
  <c r="G196" i="18"/>
  <c r="G260" i="18"/>
  <c r="F462" i="18"/>
  <c r="G480" i="18"/>
  <c r="F102" i="18"/>
  <c r="E177" i="18"/>
  <c r="E117" i="18"/>
  <c r="D474" i="18"/>
  <c r="D211" i="18"/>
  <c r="G349" i="18"/>
  <c r="G473" i="18"/>
  <c r="G8" i="17"/>
  <c r="F92" i="18"/>
  <c r="D191" i="18"/>
  <c r="C74" i="18"/>
  <c r="C21" i="18"/>
  <c r="C428" i="18"/>
  <c r="D430" i="18"/>
  <c r="D296" i="18"/>
  <c r="C311" i="18"/>
  <c r="E412" i="18"/>
  <c r="E24" i="17"/>
  <c r="D114" i="18"/>
  <c r="D27" i="17"/>
  <c r="D253" i="18"/>
  <c r="E24" i="18"/>
  <c r="D332" i="18"/>
  <c r="C371" i="18"/>
  <c r="C229" i="18"/>
  <c r="D250" i="18"/>
  <c r="D151" i="18"/>
  <c r="D258" i="18"/>
  <c r="G174" i="18"/>
  <c r="G348" i="18"/>
  <c r="H402" i="18"/>
  <c r="C256" i="18"/>
  <c r="E452" i="18"/>
  <c r="H361" i="18"/>
  <c r="G309" i="18"/>
  <c r="G293" i="18"/>
  <c r="C113" i="18"/>
  <c r="D28" i="17"/>
  <c r="D389" i="18"/>
  <c r="H38" i="17"/>
  <c r="D342" i="18"/>
  <c r="C120" i="18"/>
  <c r="D11" i="18"/>
  <c r="C218" i="18"/>
  <c r="E300" i="18"/>
  <c r="D418" i="18"/>
  <c r="E251" i="18"/>
  <c r="C27" i="17"/>
  <c r="D72" i="18"/>
  <c r="D220" i="18"/>
  <c r="G108" i="18"/>
  <c r="C64" i="18"/>
  <c r="C31" i="17"/>
  <c r="C62" i="18"/>
  <c r="C92" i="18"/>
  <c r="C437" i="18"/>
  <c r="E69" i="18"/>
  <c r="G72" i="18"/>
  <c r="C318" i="18"/>
  <c r="D252" i="18"/>
  <c r="F77" i="18"/>
  <c r="C190" i="18"/>
  <c r="C345" i="18"/>
  <c r="E189" i="18"/>
  <c r="E384" i="18"/>
  <c r="C77" i="18"/>
  <c r="C58" i="18"/>
  <c r="D356" i="18"/>
  <c r="E26" i="18"/>
  <c r="C348" i="18"/>
  <c r="G195" i="18"/>
  <c r="F15" i="17"/>
  <c r="D190" i="18"/>
  <c r="F157" i="18"/>
  <c r="C215" i="18"/>
  <c r="D475" i="18"/>
  <c r="D452" i="18"/>
  <c r="F425" i="18"/>
  <c r="G210" i="18"/>
  <c r="D219" i="18"/>
  <c r="E293" i="18"/>
  <c r="F426" i="18"/>
  <c r="F149" i="18"/>
  <c r="G192" i="18"/>
  <c r="G15" i="18"/>
  <c r="D468" i="18"/>
  <c r="G219" i="18"/>
  <c r="C33" i="17"/>
  <c r="H441" i="18"/>
  <c r="D411" i="18"/>
  <c r="C379" i="18"/>
  <c r="D460" i="18"/>
  <c r="C299" i="18"/>
  <c r="F451" i="18"/>
  <c r="F13" i="17"/>
  <c r="G63" i="18"/>
  <c r="G148" i="18"/>
  <c r="C474" i="18"/>
  <c r="F29" i="18"/>
  <c r="C292" i="18"/>
  <c r="D370" i="18"/>
  <c r="G372" i="18"/>
  <c r="D120" i="18"/>
  <c r="D346" i="18"/>
  <c r="F282" i="18"/>
  <c r="D222" i="18"/>
  <c r="E146" i="18"/>
  <c r="C295" i="18"/>
  <c r="E308" i="18"/>
  <c r="E376" i="18"/>
  <c r="D431" i="18"/>
  <c r="C335" i="18"/>
  <c r="C339" i="18"/>
  <c r="G25" i="17"/>
  <c r="D357" i="18"/>
  <c r="G310" i="18"/>
  <c r="D185" i="18"/>
  <c r="E60" i="18"/>
  <c r="H241" i="18"/>
  <c r="C330" i="18"/>
  <c r="E91" i="18"/>
  <c r="D178" i="18"/>
  <c r="G215" i="18"/>
  <c r="D119" i="18"/>
  <c r="D333" i="18"/>
  <c r="G259" i="18"/>
  <c r="F475" i="18"/>
  <c r="E379" i="18"/>
  <c r="D98" i="18"/>
  <c r="D18" i="17"/>
  <c r="E155" i="18"/>
  <c r="G102" i="18"/>
  <c r="G251" i="18"/>
  <c r="C398" i="18"/>
  <c r="G22" i="17"/>
  <c r="F142" i="18"/>
  <c r="F428" i="18"/>
  <c r="D467" i="18"/>
  <c r="E398" i="18"/>
  <c r="C182" i="18"/>
  <c r="E267" i="18"/>
  <c r="C104" i="18"/>
  <c r="G419" i="18"/>
  <c r="D134" i="18"/>
  <c r="G468" i="18"/>
  <c r="D71" i="18"/>
  <c r="C155" i="18"/>
  <c r="D481" i="18"/>
  <c r="C95" i="18"/>
  <c r="C236" i="18"/>
  <c r="G476" i="18"/>
  <c r="D174" i="18"/>
  <c r="D266" i="18"/>
  <c r="C28" i="17"/>
  <c r="C304" i="18"/>
  <c r="C112" i="18"/>
  <c r="G26" i="17"/>
  <c r="D456" i="18"/>
  <c r="G290" i="18"/>
  <c r="G75" i="18"/>
  <c r="F453" i="18"/>
  <c r="G455" i="18"/>
  <c r="G154" i="18"/>
  <c r="D28" i="18"/>
  <c r="D381" i="18"/>
  <c r="E157" i="18"/>
  <c r="F386" i="18"/>
  <c r="D104" i="18"/>
  <c r="E266" i="18"/>
  <c r="E268" i="18"/>
  <c r="F474" i="18"/>
  <c r="F116" i="18"/>
  <c r="C374" i="18"/>
  <c r="C375" i="18"/>
  <c r="C381" i="18"/>
  <c r="C32" i="17"/>
  <c r="D137" i="18"/>
  <c r="G175" i="18"/>
  <c r="E151" i="18"/>
  <c r="D337" i="18"/>
  <c r="F36" i="17"/>
  <c r="G451" i="18"/>
  <c r="G58" i="18"/>
  <c r="E213" i="18"/>
  <c r="G463" i="18"/>
  <c r="E469" i="18"/>
  <c r="F30" i="17"/>
  <c r="F53" i="18"/>
  <c r="E468" i="18"/>
  <c r="E29" i="18"/>
  <c r="E347" i="18"/>
  <c r="D154" i="18"/>
  <c r="F189" i="18"/>
  <c r="D224" i="18"/>
  <c r="G29" i="17"/>
  <c r="E218" i="18"/>
  <c r="C34" i="17"/>
  <c r="G13" i="18"/>
  <c r="H121" i="18"/>
  <c r="D23" i="18"/>
  <c r="D424" i="18"/>
  <c r="G424" i="18"/>
  <c r="E338" i="18"/>
  <c r="G301" i="18"/>
  <c r="F434" i="18"/>
  <c r="D414" i="18"/>
  <c r="C98" i="18"/>
  <c r="E332" i="18"/>
  <c r="G291" i="18"/>
  <c r="F195" i="18"/>
  <c r="F477" i="18"/>
  <c r="C174" i="18"/>
  <c r="D32" i="18"/>
  <c r="F114" i="18"/>
  <c r="G182" i="18"/>
  <c r="D295" i="18"/>
  <c r="C76" i="18"/>
  <c r="D216" i="18"/>
  <c r="F11" i="18"/>
  <c r="E20" i="17"/>
  <c r="G27" i="17"/>
  <c r="C172" i="18"/>
  <c r="E8" i="17"/>
  <c r="D145" i="18"/>
  <c r="C271" i="18"/>
  <c r="G235" i="18"/>
  <c r="E414" i="18"/>
  <c r="C470" i="18"/>
  <c r="G383" i="18"/>
  <c r="G450" i="18"/>
  <c r="G79" i="18"/>
  <c r="F378" i="18"/>
  <c r="D193" i="18"/>
  <c r="F42" i="18"/>
  <c r="E264" i="18"/>
  <c r="C463" i="18"/>
  <c r="F438" i="18"/>
  <c r="E185" i="18"/>
  <c r="G382" i="18"/>
  <c r="G14" i="17"/>
  <c r="F233" i="18"/>
  <c r="F414" i="18"/>
  <c r="D199" i="18"/>
  <c r="G158" i="18"/>
  <c r="D218" i="18"/>
  <c r="C356" i="18"/>
  <c r="F290" i="18"/>
  <c r="E235" i="18"/>
  <c r="C315" i="18"/>
  <c r="D132" i="18"/>
  <c r="G250" i="18"/>
  <c r="D170" i="18"/>
  <c r="D257" i="18"/>
  <c r="G103" i="18"/>
  <c r="G295" i="18"/>
  <c r="E210" i="18"/>
  <c r="F257" i="18"/>
  <c r="G412" i="18"/>
  <c r="C422" i="18"/>
  <c r="D152" i="18"/>
  <c r="G74" i="18"/>
  <c r="C133" i="18"/>
  <c r="D38" i="18"/>
  <c r="D23" i="17"/>
  <c r="D100" i="18"/>
  <c r="E139" i="18"/>
  <c r="H161" i="18"/>
  <c r="E427" i="18"/>
  <c r="E346" i="18"/>
  <c r="D435" i="18"/>
  <c r="C9" i="17"/>
  <c r="C280" i="18"/>
  <c r="C97" i="18"/>
  <c r="G10" i="17"/>
  <c r="G212" i="18"/>
  <c r="D77" i="18"/>
  <c r="F25" i="18"/>
  <c r="F82" i="18"/>
  <c r="C239" i="18"/>
  <c r="C30" i="18"/>
  <c r="F349" i="18"/>
  <c r="G262" i="18"/>
  <c r="G297" i="18"/>
  <c r="G465" i="18"/>
  <c r="D413" i="18"/>
  <c r="D110" i="18"/>
  <c r="G176" i="18"/>
  <c r="G371" i="18"/>
  <c r="F264" i="18"/>
  <c r="D391" i="18"/>
  <c r="D343" i="18"/>
  <c r="E51" i="18"/>
  <c r="D230" i="18"/>
  <c r="C479" i="18"/>
  <c r="F423" i="18"/>
  <c r="D373" i="18"/>
  <c r="D472" i="18"/>
  <c r="C301" i="18"/>
  <c r="F19" i="17"/>
  <c r="E50" i="18"/>
  <c r="E221" i="18"/>
  <c r="F28" i="17"/>
  <c r="G393" i="18"/>
  <c r="F230" i="18"/>
  <c r="D39" i="17"/>
  <c r="E109" i="18"/>
  <c r="F145" i="18"/>
  <c r="F194" i="18"/>
  <c r="F439" i="18"/>
  <c r="E17" i="18"/>
  <c r="G458" i="18"/>
  <c r="G417" i="18"/>
  <c r="G263" i="18"/>
  <c r="G140" i="18"/>
  <c r="E131" i="18"/>
  <c r="G466" i="18"/>
  <c r="C149" i="18"/>
  <c r="F254" i="18"/>
  <c r="C478" i="18"/>
  <c r="G32" i="17"/>
  <c r="C15" i="17"/>
  <c r="F111" i="18"/>
  <c r="F480" i="18"/>
  <c r="D58" i="18"/>
  <c r="E370" i="18"/>
  <c r="E135" i="18"/>
  <c r="E479" i="18"/>
  <c r="E99" i="18"/>
  <c r="E15" i="18"/>
  <c r="E375" i="18"/>
  <c r="C228" i="18"/>
  <c r="F34" i="18"/>
  <c r="F153" i="18"/>
  <c r="H362" i="18"/>
  <c r="E250" i="18"/>
  <c r="E298" i="18"/>
  <c r="C397" i="18"/>
  <c r="C392" i="18"/>
  <c r="G150" i="18"/>
  <c r="F235" i="18"/>
  <c r="F171" i="18"/>
  <c r="D150" i="18"/>
  <c r="E277" i="18"/>
  <c r="D260" i="18"/>
  <c r="D317" i="18"/>
  <c r="C16" i="18"/>
  <c r="E92" i="18"/>
  <c r="E316" i="18"/>
  <c r="G296" i="18"/>
  <c r="C317" i="18"/>
  <c r="G10" i="18"/>
  <c r="C26" i="17"/>
  <c r="G190" i="18"/>
  <c r="E233" i="18"/>
  <c r="C222" i="18"/>
  <c r="G312" i="18"/>
  <c r="F218" i="18"/>
  <c r="D400" i="18"/>
  <c r="E100" i="18"/>
  <c r="C91" i="18"/>
  <c r="E440" i="18"/>
  <c r="G340" i="18"/>
  <c r="F339" i="18"/>
  <c r="G28" i="18"/>
  <c r="F12" i="17"/>
  <c r="G236" i="18"/>
  <c r="G66" i="18"/>
  <c r="D15" i="18"/>
  <c r="G16" i="17"/>
  <c r="G71" i="18"/>
  <c r="C376" i="18"/>
  <c r="F331" i="18"/>
  <c r="D26" i="18"/>
  <c r="E147" i="18"/>
  <c r="F191" i="18"/>
  <c r="C105" i="18"/>
  <c r="G68" i="18"/>
  <c r="E458" i="18"/>
  <c r="G12" i="17"/>
  <c r="C387" i="18"/>
  <c r="H81" i="18"/>
  <c r="D461" i="18"/>
  <c r="E450" i="18"/>
  <c r="D347" i="18"/>
  <c r="D56" i="18"/>
  <c r="C334" i="18"/>
  <c r="C472" i="18"/>
  <c r="G37" i="17"/>
  <c r="G354" i="18"/>
  <c r="C10" i="17"/>
  <c r="E29" i="17"/>
  <c r="F334" i="18"/>
  <c r="G239" i="18"/>
  <c r="F228" i="18"/>
  <c r="G258" i="18"/>
  <c r="E463" i="18"/>
  <c r="G211" i="18"/>
  <c r="E63" i="18"/>
  <c r="D37" i="18"/>
  <c r="D108" i="18"/>
  <c r="C293" i="18"/>
  <c r="E61" i="18"/>
  <c r="D112" i="18"/>
  <c r="F318" i="18"/>
  <c r="G92" i="18"/>
  <c r="D63" i="18"/>
  <c r="F376" i="18"/>
  <c r="D320" i="18"/>
  <c r="G453" i="18"/>
  <c r="F464" i="18"/>
  <c r="D200" i="18"/>
  <c r="C253" i="18"/>
  <c r="E391" i="18"/>
  <c r="D17" i="18"/>
  <c r="D306" i="18"/>
  <c r="D398" i="18"/>
  <c r="E252" i="18"/>
  <c r="E417" i="18"/>
  <c r="E388" i="18"/>
  <c r="E377" i="18"/>
  <c r="E419" i="18"/>
  <c r="E309" i="18"/>
  <c r="D450" i="18"/>
  <c r="F24" i="17"/>
  <c r="F466" i="18"/>
  <c r="C143" i="18"/>
  <c r="G225" i="18"/>
  <c r="D280" i="18"/>
  <c r="D415" i="18"/>
  <c r="G119" i="18"/>
  <c r="G270" i="18"/>
  <c r="D33" i="18"/>
  <c r="E180" i="18"/>
  <c r="D279" i="18"/>
  <c r="G146" i="18"/>
  <c r="D339" i="18"/>
  <c r="G400" i="18"/>
  <c r="C24" i="18"/>
  <c r="F277" i="18"/>
  <c r="F307" i="18"/>
  <c r="D69" i="18"/>
  <c r="E431" i="18"/>
  <c r="C153" i="18"/>
  <c r="D142" i="18"/>
  <c r="E67" i="18"/>
  <c r="E433" i="18"/>
  <c r="C171" i="18"/>
  <c r="E27" i="18"/>
  <c r="E459" i="18"/>
  <c r="E68" i="18"/>
  <c r="D352" i="18"/>
  <c r="D38" i="17"/>
  <c r="C432" i="18"/>
  <c r="F422" i="18"/>
  <c r="D441" i="18"/>
  <c r="E130" i="18"/>
  <c r="C137" i="18"/>
  <c r="F355" i="18"/>
  <c r="F299" i="18"/>
  <c r="E305" i="18"/>
  <c r="G15" i="17"/>
  <c r="C258" i="18"/>
  <c r="D309" i="18"/>
  <c r="F397" i="18"/>
  <c r="C320" i="18"/>
  <c r="E333" i="18"/>
  <c r="G35" i="17"/>
  <c r="G399" i="18"/>
  <c r="D380" i="18"/>
  <c r="F37" i="17"/>
  <c r="G254" i="18"/>
  <c r="F136" i="18"/>
  <c r="E477" i="18"/>
  <c r="E317" i="18"/>
  <c r="C186" i="18"/>
  <c r="G39" i="18"/>
  <c r="G319" i="18"/>
  <c r="C430" i="18"/>
  <c r="D455" i="18"/>
  <c r="E454" i="18"/>
  <c r="C291" i="18"/>
  <c r="E358" i="18"/>
  <c r="G302" i="18"/>
  <c r="C134" i="18"/>
  <c r="C34" i="18"/>
  <c r="G177" i="18"/>
  <c r="G261" i="18"/>
  <c r="F261" i="18"/>
  <c r="C421" i="18"/>
  <c r="D274" i="18"/>
  <c r="D180" i="18"/>
  <c r="F65" i="18"/>
  <c r="D115" i="18"/>
  <c r="G216" i="18"/>
  <c r="E301" i="18"/>
  <c r="C109" i="18"/>
  <c r="G390" i="18"/>
  <c r="E439" i="18"/>
  <c r="F440" i="18"/>
  <c r="E380" i="18"/>
  <c r="E188" i="18"/>
  <c r="G227" i="18"/>
  <c r="D437" i="18"/>
  <c r="G172" i="18"/>
  <c r="D432" i="18"/>
  <c r="G19" i="18"/>
  <c r="C265" i="18"/>
  <c r="E144" i="18"/>
  <c r="G280" i="18"/>
  <c r="D351" i="18"/>
  <c r="C420" i="18"/>
  <c r="C90" i="18"/>
  <c r="C111" i="18"/>
  <c r="G113" i="18"/>
  <c r="F297" i="18"/>
  <c r="E296" i="18"/>
  <c r="F478" i="18"/>
  <c r="E359" i="18"/>
  <c r="D35" i="18"/>
  <c r="D232" i="18"/>
  <c r="G379" i="18"/>
  <c r="E33" i="18"/>
  <c r="C358" i="18"/>
  <c r="D195" i="18"/>
  <c r="E110" i="18"/>
  <c r="D12" i="17"/>
  <c r="D182" i="18"/>
  <c r="G269" i="18"/>
  <c r="G37" i="18"/>
  <c r="E416" i="18"/>
  <c r="C314" i="18"/>
  <c r="D26" i="17"/>
  <c r="G137" i="18"/>
  <c r="G31" i="17"/>
  <c r="D223" i="18"/>
  <c r="C459" i="18"/>
  <c r="E182" i="18"/>
  <c r="F26" i="17"/>
  <c r="E175" i="18"/>
  <c r="D401" i="18"/>
  <c r="G13" i="17"/>
  <c r="G16" i="18"/>
  <c r="C70" i="18"/>
  <c r="E457" i="18"/>
  <c r="F341" i="18"/>
  <c r="F22" i="17"/>
  <c r="D144" i="18"/>
  <c r="D477" i="18"/>
  <c r="G313" i="18"/>
  <c r="E307" i="18"/>
  <c r="E230" i="18"/>
  <c r="E331" i="18"/>
  <c r="G98" i="18"/>
  <c r="F362" i="18"/>
  <c r="D221" i="18"/>
  <c r="E421" i="18"/>
  <c r="G477" i="18"/>
  <c r="G38" i="18"/>
  <c r="C135" i="18"/>
  <c r="D261" i="18"/>
  <c r="D480" i="18"/>
  <c r="F16" i="18"/>
  <c r="C80" i="18"/>
  <c r="E173" i="18"/>
  <c r="G12" i="18"/>
  <c r="G479" i="18"/>
  <c r="D11" i="17"/>
  <c r="C471" i="18"/>
  <c r="E253" i="18"/>
  <c r="E470" i="18"/>
  <c r="G389" i="18"/>
  <c r="E58" i="18"/>
  <c r="D392" i="18"/>
  <c r="E111" i="18"/>
  <c r="F304" i="18"/>
  <c r="C199" i="18"/>
  <c r="F266" i="18"/>
  <c r="E59" i="18"/>
  <c r="G320" i="18"/>
  <c r="D319" i="18"/>
  <c r="C188" i="18"/>
  <c r="E179" i="18"/>
  <c r="C340" i="18"/>
  <c r="F51" i="18"/>
  <c r="F256" i="18"/>
  <c r="G229" i="18"/>
  <c r="D79" i="18"/>
  <c r="E72" i="18"/>
  <c r="D371" i="18"/>
  <c r="F463" i="18"/>
  <c r="E472" i="18"/>
  <c r="F291" i="18"/>
  <c r="C266" i="18"/>
  <c r="D470" i="18"/>
  <c r="E74" i="18"/>
  <c r="C232" i="18"/>
  <c r="E143" i="18"/>
  <c r="C217" i="18"/>
  <c r="D427" i="18"/>
  <c r="G69" i="18"/>
  <c r="G380" i="18"/>
  <c r="D198" i="18"/>
  <c r="E14" i="17"/>
  <c r="C390" i="18"/>
  <c r="D62" i="18"/>
  <c r="C151" i="18"/>
  <c r="G472" i="18"/>
  <c r="E220" i="18"/>
  <c r="C276" i="18"/>
  <c r="E434" i="18"/>
  <c r="E475" i="18"/>
  <c r="F25" i="17"/>
  <c r="D35" i="17"/>
  <c r="F93" i="18"/>
  <c r="C193" i="18"/>
  <c r="G299" i="18"/>
  <c r="E269" i="18"/>
  <c r="G418" i="18"/>
  <c r="E462" i="18"/>
  <c r="F162" i="18"/>
  <c r="G333" i="18"/>
  <c r="D192" i="18"/>
  <c r="D318" i="18"/>
  <c r="E383" i="18"/>
  <c r="G355" i="18"/>
  <c r="G65" i="18"/>
  <c r="G318" i="18"/>
  <c r="F33" i="17"/>
  <c r="D268" i="18"/>
  <c r="C475" i="18"/>
  <c r="E77" i="18"/>
  <c r="C416" i="18"/>
  <c r="D75" i="18"/>
  <c r="C156" i="18"/>
  <c r="G222" i="18"/>
  <c r="F175" i="18"/>
  <c r="E10" i="17"/>
  <c r="D275" i="18"/>
  <c r="D298" i="18"/>
  <c r="G96" i="18"/>
  <c r="E15" i="17"/>
  <c r="G257" i="18"/>
  <c r="C260" i="18"/>
  <c r="F429" i="18"/>
  <c r="D396" i="18"/>
  <c r="G138" i="18"/>
  <c r="C12" i="17"/>
  <c r="E275" i="18"/>
  <c r="C147" i="18"/>
  <c r="E236" i="18"/>
  <c r="C18" i="17"/>
  <c r="C309" i="18"/>
  <c r="D68" i="18"/>
  <c r="C118" i="18"/>
  <c r="E20" i="18"/>
  <c r="D10" i="18"/>
  <c r="D331" i="18"/>
  <c r="D311" i="18"/>
  <c r="C10" i="18"/>
  <c r="C394" i="18"/>
  <c r="C433" i="18"/>
  <c r="E108" i="18"/>
  <c r="D292" i="18"/>
  <c r="G59" i="18"/>
  <c r="G435" i="18"/>
  <c r="E138" i="18"/>
  <c r="C14" i="17"/>
  <c r="D107" i="18"/>
  <c r="D439" i="18"/>
  <c r="G14" i="18"/>
  <c r="D102" i="18"/>
  <c r="E93" i="18"/>
  <c r="G432" i="18"/>
  <c r="F212" i="18"/>
  <c r="C462" i="18"/>
  <c r="G375" i="18"/>
  <c r="G197" i="18"/>
  <c r="D233" i="18"/>
  <c r="E257" i="18"/>
  <c r="D428" i="18"/>
  <c r="D18" i="18"/>
  <c r="C25" i="17"/>
  <c r="C456" i="18"/>
  <c r="F336" i="18"/>
  <c r="D76" i="18"/>
  <c r="G9" i="17"/>
  <c r="G186" i="18"/>
  <c r="E389" i="18"/>
  <c r="G99" i="18"/>
  <c r="C427" i="18"/>
  <c r="D423" i="18"/>
  <c r="G97" i="18"/>
  <c r="E465" i="18"/>
  <c r="G22" i="18"/>
  <c r="D13" i="18"/>
  <c r="G117" i="18"/>
  <c r="D458" i="18"/>
  <c r="F23" i="17"/>
  <c r="C312" i="18"/>
  <c r="D141" i="18"/>
  <c r="D299" i="18"/>
  <c r="G232" i="18"/>
  <c r="E456" i="18"/>
  <c r="G376" i="18"/>
  <c r="D387" i="18"/>
  <c r="C425" i="18"/>
  <c r="C424" i="18"/>
  <c r="G159" i="18"/>
  <c r="E460" i="18"/>
  <c r="E25" i="17"/>
  <c r="C17" i="17"/>
  <c r="G118" i="18"/>
  <c r="E216" i="18"/>
  <c r="F267" i="18"/>
  <c r="C250" i="18"/>
  <c r="C399" i="18"/>
  <c r="D263" i="18"/>
  <c r="E52" i="18"/>
  <c r="C388" i="18"/>
  <c r="D297" i="18"/>
  <c r="F17" i="17"/>
  <c r="D434" i="18"/>
  <c r="G381" i="18"/>
  <c r="G397" i="18"/>
  <c r="G142" i="18"/>
  <c r="C54" i="18"/>
  <c r="D315" i="18"/>
  <c r="F131" i="18"/>
  <c r="E228" i="18"/>
  <c r="F468" i="18"/>
  <c r="G335" i="18"/>
  <c r="D355" i="18"/>
  <c r="D354" i="18"/>
  <c r="C450" i="18"/>
  <c r="G194" i="18"/>
  <c r="E107" i="18"/>
  <c r="D31" i="18"/>
  <c r="C154" i="18"/>
  <c r="G179" i="18"/>
  <c r="E399" i="18"/>
  <c r="G358" i="18"/>
  <c r="E400" i="18"/>
  <c r="E133" i="18"/>
  <c r="G303" i="18"/>
  <c r="C117" i="18"/>
  <c r="D113" i="18"/>
  <c r="C435" i="18"/>
  <c r="E26" i="17"/>
  <c r="F20" i="17"/>
  <c r="D278" i="18"/>
  <c r="G420" i="18"/>
  <c r="E299" i="18"/>
  <c r="C225" i="18"/>
  <c r="D213" i="18"/>
  <c r="E422" i="18"/>
  <c r="G411" i="18"/>
  <c r="F373" i="18"/>
  <c r="E385" i="18"/>
  <c r="E478" i="18"/>
  <c r="C354" i="18"/>
  <c r="G136" i="18"/>
  <c r="E106" i="18"/>
  <c r="D303" i="18"/>
  <c r="C277" i="18"/>
  <c r="E217" i="18"/>
  <c r="D277" i="18"/>
  <c r="F27" i="17"/>
  <c r="C296" i="18"/>
  <c r="C68" i="18"/>
  <c r="E105" i="18"/>
  <c r="C221" i="18"/>
  <c r="E303" i="18"/>
  <c r="E7" i="17"/>
  <c r="E25" i="18"/>
  <c r="E280" i="18"/>
  <c r="C79" i="18"/>
  <c r="D349" i="18"/>
  <c r="D358" i="18"/>
  <c r="C223" i="18"/>
  <c r="E186" i="18"/>
  <c r="F122" i="18"/>
  <c r="D239" i="18"/>
  <c r="G240" i="18"/>
  <c r="F8" i="17"/>
  <c r="E415" i="18"/>
  <c r="G306" i="18"/>
  <c r="E30" i="18"/>
  <c r="G21" i="17"/>
  <c r="E187" i="18"/>
  <c r="C157" i="18"/>
  <c r="F351" i="18"/>
  <c r="C178" i="18"/>
  <c r="F292" i="18"/>
  <c r="E153" i="18"/>
  <c r="E114" i="18"/>
  <c r="G17" i="18"/>
  <c r="G80" i="18"/>
  <c r="D90" i="18"/>
  <c r="C175" i="18"/>
  <c r="E453" i="18"/>
  <c r="G353" i="18"/>
  <c r="G452" i="18"/>
  <c r="C338" i="18"/>
  <c r="C360" i="18"/>
  <c r="C67" i="18"/>
  <c r="C35" i="18"/>
  <c r="E334" i="18"/>
  <c r="F181" i="18"/>
  <c r="G279" i="18"/>
  <c r="E226" i="18"/>
  <c r="F58" i="18"/>
  <c r="E224" i="18"/>
  <c r="C63" i="18"/>
  <c r="D372" i="18"/>
  <c r="G377" i="18"/>
  <c r="C170" i="18"/>
  <c r="C263" i="18"/>
  <c r="H42" i="18"/>
  <c r="G396" i="18"/>
  <c r="C377" i="18"/>
  <c r="D397" i="18"/>
  <c r="D196" i="18"/>
  <c r="E36" i="17"/>
  <c r="G471" i="18"/>
  <c r="E344" i="18"/>
  <c r="C93" i="18"/>
  <c r="E152" i="18"/>
  <c r="E372" i="18"/>
  <c r="E183" i="18"/>
  <c r="D422" i="18"/>
  <c r="F413" i="18"/>
  <c r="C255" i="18"/>
  <c r="D24" i="17"/>
  <c r="E53" i="18"/>
  <c r="F146" i="18"/>
  <c r="D350" i="18"/>
  <c r="F430" i="18"/>
  <c r="C66" i="18"/>
  <c r="H201" i="18"/>
  <c r="G253" i="18"/>
  <c r="E345" i="18"/>
  <c r="C227" i="18"/>
  <c r="G339" i="18"/>
  <c r="D417" i="18"/>
  <c r="G141" i="18"/>
  <c r="F333" i="18"/>
  <c r="G337" i="18"/>
  <c r="C75" i="18"/>
  <c r="C336" i="18"/>
  <c r="G439" i="18"/>
  <c r="D173" i="18"/>
  <c r="E394" i="18"/>
  <c r="G231" i="18"/>
  <c r="E276" i="18"/>
  <c r="C96" i="18"/>
  <c r="D291" i="18"/>
  <c r="D101" i="18"/>
  <c r="D135" i="18"/>
  <c r="D462" i="18"/>
  <c r="G220" i="18"/>
  <c r="D31" i="17"/>
  <c r="F436" i="18"/>
  <c r="C337" i="18"/>
  <c r="G109" i="18"/>
  <c r="G474" i="18"/>
  <c r="C476" i="18"/>
  <c r="D94" i="18"/>
  <c r="C350" i="18"/>
  <c r="G73" i="18"/>
  <c r="G78" i="18"/>
  <c r="E94" i="18"/>
  <c r="D153" i="18"/>
  <c r="D454" i="18"/>
  <c r="C237" i="18"/>
  <c r="G30" i="18"/>
  <c r="D51" i="18"/>
  <c r="D238" i="18"/>
  <c r="E291" i="18"/>
  <c r="C395" i="18"/>
  <c r="G266" i="18"/>
  <c r="E22" i="17"/>
  <c r="D80" i="18"/>
  <c r="C198" i="18"/>
  <c r="G410" i="18"/>
  <c r="G18" i="17"/>
  <c r="G462" i="18"/>
  <c r="G478" i="18"/>
  <c r="F410" i="18"/>
  <c r="C26" i="18"/>
  <c r="F73" i="18"/>
  <c r="G386" i="18"/>
  <c r="C231" i="18"/>
  <c r="F322" i="18"/>
  <c r="D118" i="18"/>
  <c r="D334" i="18"/>
  <c r="E18" i="18"/>
  <c r="E172" i="18"/>
  <c r="C300" i="18"/>
  <c r="C103" i="18"/>
  <c r="C391" i="18"/>
  <c r="C78" i="18"/>
  <c r="D345" i="18"/>
  <c r="F229" i="18"/>
  <c r="D264" i="18"/>
  <c r="C213" i="18"/>
  <c r="C29" i="18"/>
  <c r="G392" i="18"/>
  <c r="E339" i="18"/>
  <c r="H482" i="18"/>
  <c r="F346" i="18"/>
  <c r="C71" i="18"/>
  <c r="F14" i="17"/>
  <c r="G18" i="18"/>
  <c r="G199" i="18"/>
  <c r="E194" i="18"/>
  <c r="F435" i="18"/>
  <c r="F35" i="17"/>
  <c r="C29" i="17"/>
  <c r="C146" i="18"/>
  <c r="G200" i="18"/>
  <c r="D139" i="18"/>
  <c r="E23" i="17"/>
  <c r="G414" i="18"/>
  <c r="D476" i="18"/>
  <c r="C307" i="18"/>
  <c r="E54" i="18"/>
  <c r="C24" i="17"/>
  <c r="F455" i="18"/>
  <c r="C136" i="18"/>
  <c r="G24" i="18"/>
  <c r="E461" i="18"/>
  <c r="G331" i="18"/>
  <c r="D420" i="18"/>
  <c r="G359" i="18"/>
  <c r="C20" i="18"/>
  <c r="D159" i="18"/>
  <c r="F471" i="18"/>
  <c r="F411" i="18"/>
  <c r="C344" i="18"/>
  <c r="D156" i="18"/>
  <c r="G107" i="18"/>
  <c r="G218" i="18"/>
  <c r="E14" i="18"/>
  <c r="G55" i="18"/>
  <c r="C418" i="18"/>
  <c r="E371" i="18"/>
  <c r="G20" i="17"/>
  <c r="C319" i="18"/>
  <c r="G76" i="18"/>
  <c r="G456" i="18"/>
  <c r="D234" i="18"/>
  <c r="G56" i="18"/>
  <c r="F219" i="18"/>
  <c r="D425" i="18"/>
  <c r="C23" i="17"/>
  <c r="E212" i="18"/>
  <c r="C349" i="18"/>
  <c r="E16" i="17"/>
  <c r="E148" i="18"/>
  <c r="E18" i="17"/>
  <c r="D147" i="18"/>
  <c r="E145" i="18"/>
  <c r="C257" i="18"/>
  <c r="F62" i="18"/>
  <c r="E35" i="18"/>
  <c r="C21" i="17"/>
  <c r="C396" i="18"/>
  <c r="F459" i="18"/>
  <c r="D172" i="18"/>
  <c r="G427" i="18"/>
  <c r="E176" i="18"/>
  <c r="E11" i="18"/>
  <c r="C12" i="18"/>
  <c r="D272" i="18"/>
  <c r="C264" i="18"/>
  <c r="C224" i="18"/>
  <c r="C219" i="18"/>
  <c r="D14" i="18"/>
  <c r="D105" i="18"/>
  <c r="G95" i="18"/>
  <c r="G434" i="18"/>
  <c r="C412" i="18"/>
  <c r="C436" i="18"/>
  <c r="D157" i="18"/>
  <c r="G374" i="18"/>
  <c r="G457" i="18"/>
  <c r="E354" i="18"/>
  <c r="C59" i="18"/>
  <c r="E411" i="18"/>
  <c r="F415" i="18"/>
  <c r="G438" i="18"/>
  <c r="D9" i="17"/>
  <c r="C400" i="18"/>
  <c r="D36" i="18"/>
  <c r="D210" i="18"/>
  <c r="C180" i="18"/>
  <c r="C426" i="18"/>
  <c r="F270" i="18"/>
  <c r="E35" i="17"/>
  <c r="F421" i="18"/>
  <c r="G343" i="18"/>
  <c r="E102" i="18"/>
  <c r="C99" i="18"/>
  <c r="F21" i="18"/>
  <c r="G50" i="18"/>
  <c r="E195" i="18"/>
  <c r="G23" i="18"/>
  <c r="H41" i="18"/>
  <c r="E17" i="17"/>
  <c r="D316" i="18"/>
  <c r="F184" i="18"/>
  <c r="E140" i="18"/>
  <c r="G330" i="18"/>
  <c r="E56" i="18"/>
  <c r="G277" i="18"/>
  <c r="D290" i="18"/>
  <c r="F110" i="18"/>
  <c r="G24" i="17"/>
  <c r="C183" i="18"/>
  <c r="C414" i="18"/>
  <c r="D194" i="18"/>
  <c r="E137" i="18"/>
  <c r="F154" i="18"/>
  <c r="G90" i="18"/>
  <c r="D229" i="18"/>
  <c r="C37" i="18"/>
  <c r="G91" i="18"/>
  <c r="E306" i="18"/>
  <c r="D478" i="18"/>
  <c r="D7" i="17"/>
  <c r="D117" i="18"/>
  <c r="D12" i="18"/>
  <c r="D312" i="18"/>
  <c r="C214" i="18"/>
  <c r="D265" i="18"/>
  <c r="E96" i="18"/>
  <c r="F418" i="18"/>
  <c r="C195" i="18"/>
  <c r="C150" i="18"/>
  <c r="H242" i="18"/>
  <c r="E33" i="17"/>
  <c r="G431" i="18"/>
  <c r="C353" i="18"/>
  <c r="D399" i="18"/>
  <c r="G428" i="18"/>
  <c r="D175" i="18"/>
  <c r="C158" i="18"/>
  <c r="C145" i="18"/>
  <c r="D171" i="18"/>
  <c r="D302" i="18"/>
  <c r="C212" i="18"/>
  <c r="G305" i="18"/>
  <c r="G467" i="18"/>
  <c r="G317" i="18"/>
  <c r="D177" i="18"/>
  <c r="C220" i="18"/>
  <c r="C302" i="18"/>
  <c r="C60" i="18"/>
  <c r="E64" i="18"/>
  <c r="E66" i="18"/>
  <c r="C269" i="18"/>
  <c r="C196" i="18"/>
  <c r="D412" i="18"/>
  <c r="D136" i="18"/>
  <c r="G226" i="18"/>
  <c r="E55" i="18"/>
  <c r="D103" i="18"/>
  <c r="G469" i="18"/>
  <c r="C454" i="18"/>
  <c r="C210" i="18"/>
  <c r="G114" i="18"/>
  <c r="G106" i="18"/>
  <c r="C438" i="18"/>
  <c r="G294" i="18"/>
  <c r="F16" i="17"/>
  <c r="F242" i="18"/>
  <c r="E101" i="18"/>
  <c r="G54" i="18"/>
  <c r="F137" i="18"/>
  <c r="C275" i="18"/>
  <c r="G230" i="18"/>
  <c r="H322" i="18"/>
  <c r="C251" i="18"/>
  <c r="E466" i="18"/>
  <c r="C278" i="18"/>
  <c r="F176" i="18"/>
  <c r="D464" i="18"/>
  <c r="F482" i="18"/>
  <c r="F134" i="18"/>
  <c r="C101" i="18"/>
  <c r="C142" i="18"/>
  <c r="F417" i="18"/>
  <c r="G429" i="18"/>
  <c r="D53" i="18"/>
  <c r="E386" i="18"/>
  <c r="C423" i="18"/>
  <c r="G421" i="18"/>
  <c r="F467" i="18"/>
  <c r="C107" i="18"/>
  <c r="E232" i="18"/>
  <c r="G33" i="18"/>
  <c r="D20" i="18"/>
  <c r="D130" i="18"/>
  <c r="G31" i="18"/>
  <c r="C114" i="18"/>
  <c r="D66" i="18"/>
  <c r="G233" i="18"/>
  <c r="F265" i="18"/>
  <c r="E197" i="18"/>
  <c r="F11" i="17"/>
  <c r="G416" i="18"/>
  <c r="G345" i="18"/>
  <c r="D469" i="18"/>
  <c r="E154" i="18"/>
  <c r="D442" i="18"/>
  <c r="F172" i="18"/>
  <c r="E340" i="18"/>
  <c r="F388" i="18"/>
  <c r="E28" i="17"/>
  <c r="G36" i="18"/>
  <c r="F479" i="18"/>
  <c r="C13" i="18"/>
  <c r="G268" i="18"/>
  <c r="D416" i="18"/>
  <c r="H82" i="18"/>
  <c r="E467" i="18"/>
  <c r="G29" i="18"/>
  <c r="E304" i="18"/>
  <c r="C27" i="18"/>
  <c r="C468" i="18"/>
  <c r="H401" i="18"/>
  <c r="C140" i="18"/>
  <c r="F193" i="18"/>
  <c r="F7" i="17"/>
  <c r="G267" i="18"/>
  <c r="D259" i="18"/>
  <c r="G191" i="18"/>
  <c r="F18" i="17"/>
  <c r="C40" i="18"/>
  <c r="D74" i="18"/>
  <c r="G30" i="17"/>
  <c r="G120" i="18"/>
  <c r="C176" i="18"/>
  <c r="C451" i="18"/>
  <c r="F472" i="18"/>
  <c r="C464" i="18"/>
  <c r="G134" i="18"/>
  <c r="E423" i="18"/>
  <c r="G459" i="18"/>
  <c r="G77" i="18"/>
  <c r="D55" i="18"/>
  <c r="C69" i="18"/>
  <c r="E12" i="18"/>
  <c r="F470" i="18"/>
  <c r="E330" i="18"/>
  <c r="C303" i="18"/>
  <c r="D473" i="18"/>
  <c r="D276" i="18"/>
  <c r="F457" i="18"/>
  <c r="C20" i="17"/>
  <c r="E396" i="18"/>
  <c r="E473" i="18"/>
  <c r="G338" i="18"/>
  <c r="G425" i="18"/>
  <c r="C389" i="18"/>
  <c r="G52" i="18"/>
  <c r="D348" i="18"/>
  <c r="E336" i="18"/>
  <c r="D429" i="18"/>
  <c r="F460" i="18"/>
  <c r="F10" i="17"/>
  <c r="C352" i="18"/>
  <c r="E12" i="17"/>
  <c r="C226" i="18"/>
  <c r="G21" i="18"/>
  <c r="F374" i="18"/>
  <c r="E32" i="17"/>
  <c r="E373" i="18"/>
  <c r="D27" i="18"/>
  <c r="D109" i="18"/>
  <c r="D22" i="17"/>
  <c r="C393" i="18"/>
  <c r="G183" i="18"/>
  <c r="D16" i="17"/>
  <c r="D50" i="18"/>
  <c r="D471" i="18"/>
  <c r="D140" i="18"/>
  <c r="E219" i="18"/>
  <c r="E265" i="18"/>
  <c r="F402" i="18"/>
  <c r="G341" i="18"/>
  <c r="F13" i="18"/>
  <c r="C197" i="18"/>
  <c r="D313" i="18"/>
  <c r="D388" i="18"/>
  <c r="E436" i="18"/>
  <c r="D479" i="18"/>
  <c r="C305" i="18"/>
  <c r="F432" i="18"/>
  <c r="D237" i="18"/>
  <c r="G217" i="18"/>
  <c r="G274" i="18"/>
  <c r="G238" i="18"/>
  <c r="H281" i="18"/>
  <c r="E256" i="18"/>
  <c r="G314" i="18"/>
  <c r="C267" i="18"/>
  <c r="F188" i="18"/>
  <c r="F385" i="18"/>
  <c r="F354" i="18"/>
  <c r="C415" i="18"/>
  <c r="C25" i="18"/>
  <c r="F38" i="17"/>
  <c r="F433" i="18"/>
  <c r="D463" i="18"/>
  <c r="C53" i="18"/>
  <c r="G143" i="18"/>
  <c r="G28" i="17"/>
  <c r="F298" i="18"/>
  <c r="D217" i="18"/>
  <c r="G23" i="17"/>
  <c r="D184" i="18"/>
  <c r="C14" i="18"/>
  <c r="D235" i="18"/>
  <c r="C23" i="18"/>
  <c r="C8" i="17"/>
  <c r="D215" i="18"/>
  <c r="C94" i="18"/>
  <c r="F377" i="18"/>
  <c r="F452" i="18"/>
  <c r="G395" i="18"/>
  <c r="D91" i="18"/>
  <c r="D70" i="18"/>
  <c r="E274" i="18"/>
  <c r="G336" i="18"/>
  <c r="F481" i="18"/>
  <c r="D393" i="18"/>
  <c r="E19" i="18"/>
  <c r="C138" i="18"/>
  <c r="F57" i="18"/>
  <c r="E255" i="18"/>
  <c r="F315" i="18"/>
  <c r="G426" i="18"/>
  <c r="F332" i="18"/>
  <c r="D186" i="18"/>
  <c r="F69" i="18"/>
  <c r="D338" i="18"/>
  <c r="E103" i="18"/>
  <c r="F268" i="18"/>
  <c r="D60" i="18"/>
  <c r="E234" i="18"/>
  <c r="G11" i="18"/>
  <c r="G36" i="17"/>
  <c r="E141" i="18"/>
  <c r="G93" i="18"/>
  <c r="C413" i="18"/>
  <c r="D240" i="18"/>
  <c r="G51" i="18"/>
  <c r="D359" i="18"/>
  <c r="G133" i="18"/>
  <c r="H122" i="18"/>
  <c r="D307" i="18"/>
  <c r="C19" i="17"/>
  <c r="F473" i="18"/>
  <c r="E28" i="18"/>
  <c r="C22" i="18"/>
  <c r="C351" i="18"/>
  <c r="G436" i="18"/>
  <c r="C160" i="18"/>
  <c r="E273" i="18"/>
  <c r="F236" i="18"/>
  <c r="E9" i="17"/>
  <c r="G152" i="18"/>
  <c r="E16" i="18"/>
  <c r="G315" i="18"/>
  <c r="E223" i="18"/>
  <c r="G111" i="18"/>
  <c r="E37" i="17"/>
  <c r="G237" i="18"/>
  <c r="D236" i="18"/>
  <c r="E302" i="18"/>
  <c r="D426" i="18"/>
  <c r="D341" i="18"/>
  <c r="C36" i="17"/>
  <c r="E451" i="18"/>
  <c r="G151" i="18"/>
  <c r="D30" i="17"/>
  <c r="E225" i="18"/>
  <c r="G423" i="18"/>
  <c r="D255" i="18"/>
  <c r="C434" i="18"/>
  <c r="D179" i="18"/>
  <c r="C11" i="17"/>
  <c r="C116" i="18"/>
  <c r="E410" i="18"/>
  <c r="G307" i="18"/>
  <c r="C13" i="17"/>
  <c r="D197" i="18"/>
  <c r="G224" i="18"/>
  <c r="G189" i="18"/>
  <c r="G145" i="18"/>
  <c r="F54" i="18"/>
  <c r="D155" i="18"/>
  <c r="C38" i="18"/>
  <c r="C410" i="18"/>
  <c r="F317" i="18"/>
  <c r="C331" i="18"/>
  <c r="H162" i="18"/>
  <c r="F371" i="18"/>
  <c r="D20" i="17"/>
  <c r="E424" i="18"/>
  <c r="C370" i="18"/>
  <c r="C184" i="18"/>
  <c r="G17" i="17"/>
  <c r="E270" i="18"/>
  <c r="D14" i="17"/>
  <c r="E65" i="18"/>
  <c r="C159" i="18"/>
  <c r="G278" i="18"/>
  <c r="C31" i="18"/>
  <c r="F427" i="18"/>
  <c r="D189" i="18"/>
  <c r="G316" i="18"/>
  <c r="G160" i="18"/>
  <c r="E222" i="18"/>
  <c r="F105" i="18"/>
  <c r="D384" i="18"/>
  <c r="G181" i="18"/>
  <c r="G356" i="18"/>
  <c r="E378" i="18"/>
  <c r="E437" i="18"/>
  <c r="F112" i="18"/>
  <c r="G346" i="18"/>
  <c r="C380" i="18"/>
  <c r="F419" i="18"/>
  <c r="C458" i="18"/>
  <c r="E184" i="18"/>
  <c r="C460" i="18"/>
  <c r="F178" i="18"/>
  <c r="C306" i="18"/>
  <c r="D271" i="18"/>
  <c r="C313" i="18"/>
  <c r="F28" i="18"/>
  <c r="E471" i="18"/>
  <c r="G213" i="18"/>
  <c r="F18" i="18"/>
  <c r="E134" i="18"/>
  <c r="E149" i="18"/>
  <c r="C108" i="18"/>
  <c r="D95" i="18"/>
  <c r="D29" i="17"/>
  <c r="G57" i="18"/>
  <c r="E170" i="18"/>
  <c r="C179" i="18"/>
  <c r="D19" i="17"/>
  <c r="G173" i="18"/>
  <c r="C7" i="17"/>
  <c r="E40" i="18"/>
  <c r="C290" i="18"/>
  <c r="C30" i="17"/>
  <c r="C130" i="18"/>
  <c r="D251" i="18"/>
  <c r="D377" i="18"/>
  <c r="C279" i="18"/>
  <c r="F179" i="18"/>
  <c r="G40" i="18"/>
  <c r="G464" i="18"/>
  <c r="C440" i="18"/>
  <c r="E314" i="18"/>
  <c r="F32" i="18"/>
  <c r="G64" i="18"/>
  <c r="C72" i="18"/>
  <c r="D353" i="18"/>
  <c r="C56" i="18"/>
  <c r="C431" i="18"/>
  <c r="D52" i="18"/>
  <c r="G26" i="18"/>
  <c r="F52" i="18"/>
  <c r="E343" i="18"/>
  <c r="G342" i="18"/>
  <c r="E480" i="18"/>
  <c r="C429" i="18"/>
  <c r="E95" i="18"/>
  <c r="F113" i="18"/>
  <c r="E430" i="18"/>
  <c r="C216" i="18"/>
  <c r="D10" i="17"/>
  <c r="D39" i="18"/>
  <c r="C273" i="18"/>
  <c r="F152" i="18"/>
  <c r="D73" i="18"/>
  <c r="G437" i="18"/>
  <c r="C333" i="18"/>
  <c r="H442" i="18"/>
  <c r="G357" i="18"/>
  <c r="C65" i="18"/>
  <c r="D111" i="18"/>
  <c r="E150" i="18"/>
  <c r="C106" i="18"/>
  <c r="F71" i="18"/>
  <c r="C22" i="17"/>
  <c r="D30" i="18"/>
  <c r="C270" i="18"/>
  <c r="D270" i="18"/>
  <c r="F437" i="18"/>
  <c r="E420" i="18"/>
  <c r="D453" i="18"/>
  <c r="E30" i="17"/>
  <c r="C341" i="18"/>
  <c r="F461" i="18"/>
  <c r="D378" i="18"/>
  <c r="G147" i="18"/>
  <c r="G430" i="18"/>
  <c r="F109" i="18"/>
  <c r="C261" i="18"/>
  <c r="G344" i="18"/>
  <c r="G272" i="18"/>
  <c r="E62" i="18"/>
  <c r="C343" i="18"/>
  <c r="C480" i="18"/>
  <c r="F420" i="18"/>
  <c r="G144" i="18"/>
  <c r="F356" i="18"/>
  <c r="D390" i="18"/>
  <c r="D360" i="18"/>
  <c r="E390" i="18"/>
  <c r="G25" i="18"/>
  <c r="C386" i="18"/>
  <c r="E262" i="18"/>
  <c r="C177" i="18"/>
  <c r="E413" i="18"/>
  <c r="C254" i="18"/>
  <c r="F398" i="18"/>
  <c r="C234" i="18"/>
  <c r="G32" i="18"/>
  <c r="D176" i="18"/>
  <c r="G388" i="18"/>
  <c r="D410" i="18"/>
  <c r="F272" i="18"/>
  <c r="C238" i="18"/>
  <c r="F389" i="18"/>
  <c r="C37" i="17"/>
  <c r="D394" i="18"/>
  <c r="G155" i="18"/>
  <c r="F96" i="18"/>
  <c r="C33" i="18"/>
  <c r="E214" i="18"/>
  <c r="D67" i="18"/>
  <c r="E258" i="18"/>
  <c r="E136" i="18"/>
  <c r="G228" i="18"/>
  <c r="D336" i="18"/>
  <c r="D310" i="18"/>
  <c r="D34" i="17"/>
  <c r="C274" i="18"/>
  <c r="G223" i="18"/>
  <c r="E10" i="18"/>
  <c r="D116" i="18"/>
  <c r="E476" i="18"/>
  <c r="G394" i="18"/>
  <c r="E75" i="18"/>
  <c r="F9" i="17"/>
  <c r="G387" i="18"/>
  <c r="D300" i="18"/>
  <c r="D37" i="17"/>
  <c r="F29" i="17"/>
  <c r="C148" i="18"/>
  <c r="C298" i="18"/>
  <c r="E356" i="18"/>
  <c r="E13" i="18"/>
  <c r="C477" i="18"/>
  <c r="F301" i="18"/>
  <c r="D57" i="18"/>
  <c r="E432" i="18"/>
  <c r="G300" i="18"/>
  <c r="D106" i="18"/>
  <c r="F431" i="18"/>
  <c r="D436" i="18"/>
  <c r="D457" i="18"/>
  <c r="E474" i="18"/>
  <c r="G198" i="18"/>
  <c r="C457" i="18"/>
  <c r="G311" i="18"/>
  <c r="F237" i="18"/>
  <c r="E263" i="18"/>
  <c r="E290" i="18"/>
  <c r="C355" i="18"/>
  <c r="D225" i="18"/>
  <c r="E464" i="18"/>
  <c r="G110" i="18"/>
  <c r="D305" i="18"/>
  <c r="C119" i="18"/>
  <c r="G135" i="18"/>
  <c r="G20" i="18"/>
  <c r="G373" i="18"/>
  <c r="F314" i="18"/>
  <c r="E196" i="18"/>
  <c r="C191" i="18"/>
  <c r="C316" i="18"/>
  <c r="D40" i="18"/>
  <c r="F345" i="18"/>
  <c r="C342" i="18"/>
  <c r="C383" i="18"/>
  <c r="G334" i="18"/>
  <c r="E294" i="18"/>
  <c r="F74" i="18"/>
  <c r="F392" i="18"/>
  <c r="E178" i="18"/>
  <c r="F26" i="18"/>
  <c r="E348" i="18"/>
  <c r="D421" i="18"/>
  <c r="E342" i="18"/>
  <c r="F260" i="18"/>
  <c r="D482" i="18"/>
  <c r="D131" i="18"/>
  <c r="C382" i="18"/>
  <c r="G470" i="18"/>
  <c r="F31" i="17"/>
  <c r="G398" i="18"/>
  <c r="C308" i="18"/>
  <c r="D395" i="18"/>
  <c r="E98" i="18"/>
  <c r="D25" i="17"/>
  <c r="G308" i="18"/>
  <c r="G385" i="18"/>
  <c r="G252" i="18"/>
  <c r="D383" i="18"/>
  <c r="G130" i="18"/>
  <c r="G170" i="18"/>
  <c r="E272" i="18"/>
  <c r="F458" i="18"/>
  <c r="F234" i="18"/>
  <c r="E142" i="18"/>
  <c r="C346" i="18"/>
  <c r="E429" i="18"/>
  <c r="C378" i="18"/>
  <c r="C57" i="18"/>
  <c r="C373" i="18"/>
  <c r="C259" i="18"/>
  <c r="G61" i="18"/>
  <c r="D374" i="18"/>
  <c r="F32" i="17"/>
  <c r="D385" i="18"/>
  <c r="G256" i="18"/>
  <c r="G149" i="18"/>
  <c r="E382" i="18"/>
  <c r="D138" i="18"/>
  <c r="E387" i="18"/>
  <c r="D459" i="18"/>
  <c r="C272" i="18"/>
  <c r="C372" i="18"/>
  <c r="G378" i="18"/>
  <c r="G413" i="18"/>
  <c r="C332" i="18"/>
  <c r="C11" i="18"/>
  <c r="H202" i="18"/>
  <c r="C359" i="18"/>
  <c r="G7" i="17"/>
  <c r="C19" i="18"/>
  <c r="C200" i="18"/>
  <c r="C192" i="18"/>
  <c r="D376" i="18"/>
  <c r="E393" i="18"/>
  <c r="E295" i="18"/>
  <c r="E254" i="18"/>
  <c r="C268" i="18"/>
  <c r="G34" i="18"/>
  <c r="E335" i="18"/>
  <c r="E426" i="18"/>
  <c r="G347" i="18"/>
  <c r="G214" i="18"/>
  <c r="C461" i="18"/>
  <c r="D54" i="18"/>
  <c r="F133" i="18"/>
  <c r="G19" i="17"/>
  <c r="F173" i="18"/>
  <c r="F441" i="18"/>
  <c r="E381" i="18"/>
  <c r="D21" i="17"/>
  <c r="C465" i="18"/>
  <c r="C262" i="18"/>
  <c r="G27" i="18"/>
  <c r="G60" i="18"/>
  <c r="G351" i="18"/>
  <c r="F39" i="17"/>
  <c r="D256" i="18"/>
  <c r="G275" i="18"/>
  <c r="E22" i="18"/>
  <c r="F313" i="18"/>
  <c r="D64" i="18"/>
  <c r="E57" i="18"/>
  <c r="G292" i="18"/>
  <c r="G384" i="18"/>
  <c r="E193" i="18"/>
  <c r="C18" i="18"/>
  <c r="C466" i="18"/>
  <c r="G35" i="18"/>
  <c r="C453" i="18"/>
  <c r="D273" i="18"/>
  <c r="E19" i="17"/>
  <c r="D146" i="18"/>
  <c r="H321" i="18"/>
  <c r="G433" i="18"/>
  <c r="C310" i="18"/>
  <c r="D212" i="18"/>
  <c r="F202" i="18"/>
  <c r="F21" i="17"/>
  <c r="C35" i="17"/>
  <c r="F35" i="18"/>
  <c r="E132" i="18"/>
  <c r="G184" i="18"/>
  <c r="G221" i="18"/>
  <c r="E261" i="18"/>
  <c r="E395" i="18"/>
  <c r="D335" i="18"/>
  <c r="D158" i="18"/>
  <c r="F226" i="18"/>
  <c r="G105" i="18"/>
  <c r="G454" i="18"/>
  <c r="G265" i="18"/>
  <c r="E97" i="18"/>
  <c r="G271" i="18"/>
  <c r="F34" i="17"/>
  <c r="G34" i="17"/>
  <c r="C411" i="18"/>
  <c r="F450" i="18"/>
  <c r="D24" i="18"/>
  <c r="G178" i="18"/>
  <c r="D466" i="18"/>
  <c r="D294" i="18"/>
  <c r="C211" i="18"/>
  <c r="C102" i="18"/>
  <c r="C235" i="18"/>
  <c r="C417" i="18"/>
  <c r="G132" i="18"/>
  <c r="D183" i="18"/>
  <c r="C185" i="18"/>
  <c r="D22" i="18"/>
  <c r="G298" i="18"/>
  <c r="C50" i="18"/>
  <c r="G94" i="18"/>
  <c r="E438" i="18"/>
  <c r="D267" i="18"/>
  <c r="D93" i="18"/>
  <c r="G370" i="18"/>
  <c r="D386" i="18"/>
  <c r="D451" i="18"/>
  <c r="G415" i="18"/>
  <c r="C55" i="18"/>
  <c r="G188" i="18"/>
  <c r="E349" i="18"/>
  <c r="D304" i="18"/>
  <c r="G475" i="18"/>
  <c r="E174" i="18"/>
  <c r="D440" i="18"/>
  <c r="D214" i="18"/>
  <c r="G11" i="17"/>
  <c r="D254" i="18"/>
  <c r="C240" i="18"/>
  <c r="G350" i="18"/>
  <c r="G62" i="18"/>
  <c r="E392" i="18"/>
  <c r="C294" i="18"/>
  <c r="C144" i="18"/>
  <c r="F115" i="18"/>
  <c r="E418" i="18"/>
  <c r="G180" i="18"/>
  <c r="G67" i="18"/>
  <c r="G33" i="17"/>
  <c r="G156" i="18"/>
  <c r="E31" i="17"/>
  <c r="F37" i="18"/>
  <c r="F465" i="18"/>
  <c r="D33" i="17"/>
  <c r="G360" i="18"/>
  <c r="D301" i="18"/>
  <c r="C194" i="18"/>
  <c r="C132" i="18"/>
  <c r="H282" i="18"/>
  <c r="D78" i="18"/>
  <c r="F91" i="18"/>
  <c r="D25" i="18"/>
  <c r="CA37" i="10" l="1"/>
  <c r="H19" i="19" s="1"/>
  <c r="EG24" i="6"/>
  <c r="CS24" i="6"/>
  <c r="BE24" i="6"/>
  <c r="Q24" i="6"/>
  <c r="EQ24" i="6"/>
  <c r="BJ24" i="6"/>
  <c r="EB24" i="6"/>
  <c r="AU24" i="6"/>
  <c r="CI24" i="6"/>
  <c r="EL24" i="6"/>
  <c r="DW24" i="6"/>
  <c r="CD24" i="6"/>
  <c r="AF24" i="6"/>
  <c r="AP24" i="6"/>
  <c r="EG4" i="5"/>
  <c r="CS4" i="5"/>
  <c r="BE4" i="5"/>
  <c r="Q4" i="5"/>
  <c r="DH4" i="5"/>
  <c r="AA4" i="5"/>
  <c r="EV4" i="5"/>
  <c r="BO4" i="5"/>
  <c r="EL4" i="5"/>
  <c r="L4" i="5"/>
  <c r="AZ4" i="5"/>
  <c r="EL17" i="5"/>
  <c r="CX17" i="5"/>
  <c r="BJ17" i="5"/>
  <c r="V17" i="5"/>
  <c r="EQ17" i="5"/>
  <c r="Q17" i="5"/>
  <c r="BE17" i="5"/>
  <c r="EB17" i="5"/>
  <c r="AU17" i="5"/>
  <c r="CI17" i="5"/>
  <c r="EG17" i="5"/>
  <c r="Z14" i="8"/>
  <c r="EL14" i="8"/>
  <c r="CX14" i="8"/>
  <c r="BJ14" i="8"/>
  <c r="V14" i="8"/>
  <c r="EB14" i="8"/>
  <c r="CN14" i="8"/>
  <c r="AZ14" i="8"/>
  <c r="L14" i="8"/>
  <c r="DW14" i="8"/>
  <c r="CD14" i="8"/>
  <c r="AK14" i="8"/>
  <c r="U14" i="8"/>
  <c r="DH14" i="8"/>
  <c r="BO14" i="8"/>
  <c r="Q14" i="8"/>
  <c r="BY14" i="8"/>
  <c r="AA14" i="8"/>
  <c r="P14" i="8"/>
  <c r="BE14" i="8"/>
  <c r="Z34" i="5"/>
  <c r="EB34" i="5"/>
  <c r="CN34" i="5"/>
  <c r="AZ34" i="5"/>
  <c r="L34" i="5"/>
  <c r="CD34" i="5"/>
  <c r="AO34" i="5"/>
  <c r="AE34" i="5"/>
  <c r="DM34" i="5"/>
  <c r="BT34" i="5"/>
  <c r="AA34" i="5"/>
  <c r="DC34" i="5"/>
  <c r="BJ34" i="5"/>
  <c r="P34" i="5"/>
  <c r="EQ34" i="5"/>
  <c r="BI34" i="5"/>
  <c r="K34" i="5"/>
  <c r="DH34" i="5"/>
  <c r="DR5" i="6"/>
  <c r="EV25" i="6"/>
  <c r="DH25" i="6"/>
  <c r="BT25" i="6"/>
  <c r="AF25" i="6"/>
  <c r="DM25" i="6"/>
  <c r="CX25" i="6"/>
  <c r="Q25" i="6"/>
  <c r="EL25" i="6"/>
  <c r="BE25" i="6"/>
  <c r="DW25" i="6"/>
  <c r="BY25" i="6"/>
  <c r="DC25" i="6"/>
  <c r="BJ25" i="6"/>
  <c r="CN25" i="6"/>
  <c r="EQ25" i="6"/>
  <c r="BD22" i="7"/>
  <c r="P22" i="7"/>
  <c r="DR22" i="7"/>
  <c r="CD22" i="7"/>
  <c r="AP22" i="7"/>
  <c r="BY22" i="7"/>
  <c r="AF22" i="7"/>
  <c r="DM22" i="7"/>
  <c r="AE22" i="7"/>
  <c r="DC22" i="7"/>
  <c r="U22" i="7"/>
  <c r="EQ22" i="7"/>
  <c r="BJ22" i="7"/>
  <c r="Q22" i="7"/>
  <c r="BO22" i="7"/>
  <c r="G22" i="7"/>
  <c r="DH22" i="7"/>
  <c r="F22" i="7"/>
  <c r="AY22" i="7"/>
  <c r="CS22" i="7"/>
  <c r="AU22" i="7"/>
  <c r="EG28" i="7"/>
  <c r="CS28" i="7"/>
  <c r="BE28" i="7"/>
  <c r="Q28" i="7"/>
  <c r="CI28" i="7"/>
  <c r="AT28" i="7"/>
  <c r="DW28" i="7"/>
  <c r="AP28" i="7"/>
  <c r="DM28" i="7"/>
  <c r="AF28" i="7"/>
  <c r="BT28" i="7"/>
  <c r="AJ28" i="7"/>
  <c r="EB28" i="7"/>
  <c r="CD28" i="7"/>
  <c r="U28" i="7"/>
  <c r="BO28" i="7"/>
  <c r="P28" i="7"/>
  <c r="EQ31" i="8"/>
  <c r="DC31" i="8"/>
  <c r="BO31" i="8"/>
  <c r="AA31" i="8"/>
  <c r="BD31" i="8"/>
  <c r="BT31" i="8"/>
  <c r="DH31" i="8"/>
  <c r="V31" i="8"/>
  <c r="EL31" i="8"/>
  <c r="BE31" i="8"/>
  <c r="L31" i="8"/>
  <c r="CS31" i="8"/>
  <c r="AZ31" i="8"/>
  <c r="AP31" i="8"/>
  <c r="CN31" i="8"/>
  <c r="CD31" i="8"/>
  <c r="DW31" i="8"/>
  <c r="AU31" i="8"/>
  <c r="BG35" i="9"/>
  <c r="DR14" i="5"/>
  <c r="CD14" i="5"/>
  <c r="AP14" i="5"/>
  <c r="DC14" i="5"/>
  <c r="V14" i="5"/>
  <c r="EQ14" i="5"/>
  <c r="BJ14" i="5"/>
  <c r="EG14" i="5"/>
  <c r="AZ14" i="5"/>
  <c r="CN14" i="5"/>
  <c r="G14" i="5"/>
  <c r="EL14" i="5"/>
  <c r="BJ12" i="8"/>
  <c r="BT14" i="8"/>
  <c r="CS28" i="8"/>
  <c r="EG28" i="8"/>
  <c r="BE28" i="8"/>
  <c r="Q28" i="8"/>
  <c r="DW28" i="8"/>
  <c r="CI28" i="8"/>
  <c r="AU28" i="8"/>
  <c r="G28" i="8"/>
  <c r="EQ28" i="8"/>
  <c r="CX28" i="8"/>
  <c r="AZ28" i="8"/>
  <c r="EB28" i="8"/>
  <c r="CD28" i="8"/>
  <c r="AK28" i="8"/>
  <c r="DM28" i="8"/>
  <c r="BO28" i="8"/>
  <c r="DC28" i="8"/>
  <c r="BD33" i="8"/>
  <c r="BE6" i="9"/>
  <c r="BE34" i="9"/>
  <c r="EQ10" i="10"/>
  <c r="DC10" i="10"/>
  <c r="BO10" i="10"/>
  <c r="AA10" i="10"/>
  <c r="DR10" i="10"/>
  <c r="AK10" i="10"/>
  <c r="BY10" i="10"/>
  <c r="EV10" i="10"/>
  <c r="V10" i="10"/>
  <c r="BJ10" i="10"/>
  <c r="L10" i="10"/>
  <c r="EG10" i="10"/>
  <c r="CN10" i="10"/>
  <c r="AU10" i="10"/>
  <c r="CI10" i="10"/>
  <c r="EB10" i="10"/>
  <c r="AF10" i="10"/>
  <c r="BT10" i="10"/>
  <c r="Q10" i="10"/>
  <c r="DM10" i="10"/>
  <c r="AZ16" i="10"/>
  <c r="CK35" i="11"/>
  <c r="EQ20" i="12"/>
  <c r="DC20" i="12"/>
  <c r="BO20" i="12"/>
  <c r="AA20" i="12"/>
  <c r="EG20" i="12"/>
  <c r="CS20" i="12"/>
  <c r="BE20" i="12"/>
  <c r="Q20" i="12"/>
  <c r="CN20" i="12"/>
  <c r="AU20" i="12"/>
  <c r="DW20" i="12"/>
  <c r="AF20" i="12"/>
  <c r="BY20" i="12"/>
  <c r="DH20" i="12"/>
  <c r="BJ20" i="12"/>
  <c r="L20" i="12"/>
  <c r="EV20" i="12"/>
  <c r="AP20" i="12"/>
  <c r="CD20" i="12"/>
  <c r="EB20" i="12"/>
  <c r="V20" i="12"/>
  <c r="BT18" i="13"/>
  <c r="EG18" i="13"/>
  <c r="EI35" i="14"/>
  <c r="K7" i="20"/>
  <c r="AU14" i="5"/>
  <c r="CN21" i="5"/>
  <c r="S5" i="19"/>
  <c r="G24" i="6"/>
  <c r="DC24" i="6"/>
  <c r="BI8" i="7"/>
  <c r="U8" i="7"/>
  <c r="DW8" i="7"/>
  <c r="CI8" i="7"/>
  <c r="AU8" i="7"/>
  <c r="G8" i="7"/>
  <c r="CD8" i="7"/>
  <c r="AK8" i="7"/>
  <c r="DR8" i="7"/>
  <c r="AJ8" i="7"/>
  <c r="AH35" i="7" s="1"/>
  <c r="DH8" i="7"/>
  <c r="Z8" i="7"/>
  <c r="EV8" i="7"/>
  <c r="BO8" i="7"/>
  <c r="V8" i="7"/>
  <c r="S36" i="7" s="1"/>
  <c r="CS8" i="7"/>
  <c r="CP36" i="7" s="1"/>
  <c r="CP37" i="7" s="1"/>
  <c r="E22" i="19" s="1"/>
  <c r="AT8" i="7"/>
  <c r="EL8" i="7"/>
  <c r="AP8" i="7"/>
  <c r="EB8" i="7"/>
  <c r="AA8" i="7"/>
  <c r="BY8" i="7"/>
  <c r="Q8" i="7"/>
  <c r="EB22" i="7"/>
  <c r="DM31" i="8"/>
  <c r="DM6" i="9"/>
  <c r="N35" i="10"/>
  <c r="BE10" i="10"/>
  <c r="BJ20" i="10"/>
  <c r="BO18" i="12"/>
  <c r="EN35" i="13"/>
  <c r="BG35" i="15"/>
  <c r="ES35" i="15"/>
  <c r="G4" i="5"/>
  <c r="F33" i="5"/>
  <c r="DH33" i="5"/>
  <c r="EB5" i="6"/>
  <c r="J11" i="20"/>
  <c r="M21" i="20"/>
  <c r="G21" i="20"/>
  <c r="F21" i="20"/>
  <c r="O21" i="20" s="1"/>
  <c r="E21" i="20"/>
  <c r="D21" i="20"/>
  <c r="C21" i="20"/>
  <c r="N21" i="20"/>
  <c r="K21" i="20"/>
  <c r="J21" i="20"/>
  <c r="L21" i="20"/>
  <c r="I21" i="20"/>
  <c r="H21" i="20"/>
  <c r="L35" i="20"/>
  <c r="K35" i="20"/>
  <c r="I35" i="20"/>
  <c r="M35" i="20"/>
  <c r="J35" i="20"/>
  <c r="E35" i="20"/>
  <c r="D35" i="20"/>
  <c r="C35" i="20"/>
  <c r="O35" i="20" s="1"/>
  <c r="G35" i="20"/>
  <c r="F35" i="20"/>
  <c r="BL35" i="5"/>
  <c r="AZ9" i="5"/>
  <c r="EQ9" i="5"/>
  <c r="BE14" i="5"/>
  <c r="CS18" i="5"/>
  <c r="EQ21" i="5"/>
  <c r="CI25" i="5"/>
  <c r="F32" i="5"/>
  <c r="Q34" i="5"/>
  <c r="DW34" i="5"/>
  <c r="S24" i="19"/>
  <c r="AP9" i="6"/>
  <c r="F22" i="6"/>
  <c r="BO22" i="6"/>
  <c r="BO24" i="6"/>
  <c r="ES35" i="7"/>
  <c r="EG8" i="7"/>
  <c r="G14" i="7"/>
  <c r="L18" i="7"/>
  <c r="Q19" i="7"/>
  <c r="CD19" i="7"/>
  <c r="V22" i="7"/>
  <c r="CI22" i="7"/>
  <c r="AA23" i="7"/>
  <c r="EL23" i="7"/>
  <c r="CX24" i="7"/>
  <c r="AU33" i="7"/>
  <c r="CS33" i="7"/>
  <c r="EV33" i="7"/>
  <c r="Q9" i="8"/>
  <c r="EG11" i="8"/>
  <c r="CS11" i="8"/>
  <c r="BE11" i="8"/>
  <c r="Q11" i="8"/>
  <c r="BD11" i="8"/>
  <c r="P11" i="8"/>
  <c r="AT11" i="8"/>
  <c r="F11" i="8"/>
  <c r="EQ11" i="8"/>
  <c r="BJ11" i="8"/>
  <c r="BG36" i="8" s="1"/>
  <c r="CX11" i="8"/>
  <c r="G11" i="8"/>
  <c r="EB11" i="8"/>
  <c r="AP11" i="8"/>
  <c r="CI11" i="8"/>
  <c r="AF11" i="8"/>
  <c r="CD11" i="8"/>
  <c r="BT11" i="8"/>
  <c r="DM11" i="8"/>
  <c r="L11" i="8"/>
  <c r="CI14" i="8"/>
  <c r="AF15" i="8"/>
  <c r="EG15" i="8"/>
  <c r="BD16" i="8"/>
  <c r="DM16" i="8"/>
  <c r="X35" i="9"/>
  <c r="L9" i="9"/>
  <c r="AZ25" i="9"/>
  <c r="DW10" i="10"/>
  <c r="CZ35" i="11"/>
  <c r="BE5" i="11"/>
  <c r="DM5" i="11"/>
  <c r="EV17" i="11"/>
  <c r="DH17" i="11"/>
  <c r="BT17" i="11"/>
  <c r="AF17" i="11"/>
  <c r="EL17" i="11"/>
  <c r="CX17" i="11"/>
  <c r="BJ17" i="11"/>
  <c r="V17" i="11"/>
  <c r="DR17" i="11"/>
  <c r="BY17" i="11"/>
  <c r="Q17" i="11"/>
  <c r="DW17" i="11"/>
  <c r="AA17" i="11"/>
  <c r="L17" i="11"/>
  <c r="DC17" i="11"/>
  <c r="BE17" i="11"/>
  <c r="EB17" i="11"/>
  <c r="EB25" i="11"/>
  <c r="CN25" i="11"/>
  <c r="AZ25" i="11"/>
  <c r="L25" i="11"/>
  <c r="DR25" i="11"/>
  <c r="CD25" i="11"/>
  <c r="AP25" i="11"/>
  <c r="DM25" i="11"/>
  <c r="BT25" i="11"/>
  <c r="AA25" i="11"/>
  <c r="EV25" i="11"/>
  <c r="DC25" i="11"/>
  <c r="BJ25" i="11"/>
  <c r="Q25" i="11"/>
  <c r="EL25" i="11"/>
  <c r="AK25" i="11"/>
  <c r="BY25" i="11"/>
  <c r="DW25" i="11"/>
  <c r="V25" i="11"/>
  <c r="CX25" i="11"/>
  <c r="AU25" i="11"/>
  <c r="EQ25" i="11"/>
  <c r="AF25" i="11"/>
  <c r="CI25" i="11"/>
  <c r="AP19" i="12"/>
  <c r="G20" i="12"/>
  <c r="BT20" i="12"/>
  <c r="DR23" i="12"/>
  <c r="CD23" i="12"/>
  <c r="AP23" i="12"/>
  <c r="EB23" i="12"/>
  <c r="AU23" i="12"/>
  <c r="CI23" i="12"/>
  <c r="DM23" i="12"/>
  <c r="AF23" i="12"/>
  <c r="CS23" i="12"/>
  <c r="AZ23" i="12"/>
  <c r="EL23" i="12"/>
  <c r="BE23" i="12"/>
  <c r="G23" i="12"/>
  <c r="EV23" i="12"/>
  <c r="CX23" i="12"/>
  <c r="AK23" i="12"/>
  <c r="EG23" i="12"/>
  <c r="DC23" i="12"/>
  <c r="CN23" i="12"/>
  <c r="EQ23" i="12"/>
  <c r="EB27" i="12"/>
  <c r="CN27" i="12"/>
  <c r="AZ27" i="12"/>
  <c r="L27" i="12"/>
  <c r="BY27" i="12"/>
  <c r="DM27" i="12"/>
  <c r="AF27" i="12"/>
  <c r="DC27" i="12"/>
  <c r="V27" i="12"/>
  <c r="DH27" i="12"/>
  <c r="Q27" i="12"/>
  <c r="BJ27" i="12"/>
  <c r="CS27" i="12"/>
  <c r="DR27" i="12"/>
  <c r="BO27" i="12"/>
  <c r="EV27" i="12"/>
  <c r="CX27" i="12"/>
  <c r="EG27" i="12"/>
  <c r="BT27" i="12"/>
  <c r="BE27" i="12"/>
  <c r="AU27" i="12"/>
  <c r="ES35" i="13"/>
  <c r="EG17" i="13"/>
  <c r="CS17" i="13"/>
  <c r="BE17" i="13"/>
  <c r="Q17" i="13"/>
  <c r="DW17" i="13"/>
  <c r="AP17" i="13"/>
  <c r="AM36" i="13" s="1"/>
  <c r="BT17" i="13"/>
  <c r="AA17" i="13"/>
  <c r="DH17" i="13"/>
  <c r="EQ17" i="13"/>
  <c r="CX17" i="13"/>
  <c r="L17" i="13"/>
  <c r="EB17" i="13"/>
  <c r="CD17" i="13"/>
  <c r="AF17" i="13"/>
  <c r="DM17" i="13"/>
  <c r="BO17" i="13"/>
  <c r="CI17" i="13"/>
  <c r="EL17" i="13"/>
  <c r="DR17" i="13"/>
  <c r="AU17" i="13"/>
  <c r="EV17" i="13"/>
  <c r="AZ17" i="13"/>
  <c r="CX21" i="13"/>
  <c r="DW22" i="13"/>
  <c r="EG24" i="13"/>
  <c r="CS24" i="13"/>
  <c r="BE24" i="13"/>
  <c r="Q24" i="13"/>
  <c r="CN24" i="13"/>
  <c r="G24" i="13"/>
  <c r="EB24" i="13"/>
  <c r="AU24" i="13"/>
  <c r="DR24" i="13"/>
  <c r="AK24" i="13"/>
  <c r="V24" i="13"/>
  <c r="DH24" i="13"/>
  <c r="BO24" i="13"/>
  <c r="CX24" i="13"/>
  <c r="DC24" i="13"/>
  <c r="EQ24" i="13"/>
  <c r="AP24" i="13"/>
  <c r="CI24" i="13"/>
  <c r="BJ24" i="13"/>
  <c r="DM24" i="13"/>
  <c r="AZ24" i="13"/>
  <c r="EV32" i="13"/>
  <c r="DH32" i="13"/>
  <c r="BT32" i="13"/>
  <c r="AF32" i="13"/>
  <c r="EQ32" i="13"/>
  <c r="DC32" i="13"/>
  <c r="BO32" i="13"/>
  <c r="AA32" i="13"/>
  <c r="BJ32" i="13"/>
  <c r="Q32" i="13"/>
  <c r="AZ32" i="13"/>
  <c r="EL32" i="13"/>
  <c r="CS32" i="13"/>
  <c r="EB32" i="13"/>
  <c r="CI32" i="13"/>
  <c r="BE32" i="13"/>
  <c r="G32" i="13"/>
  <c r="AP32" i="13"/>
  <c r="CN32" i="13"/>
  <c r="EG32" i="13"/>
  <c r="CD32" i="13"/>
  <c r="V32" i="13"/>
  <c r="BY32" i="13"/>
  <c r="DR32" i="13"/>
  <c r="EB4" i="14"/>
  <c r="CN4" i="14"/>
  <c r="AZ4" i="14"/>
  <c r="L4" i="14"/>
  <c r="EL4" i="14"/>
  <c r="BE4" i="14"/>
  <c r="CS4" i="14"/>
  <c r="DW4" i="14"/>
  <c r="AP4" i="14"/>
  <c r="DH4" i="14"/>
  <c r="BO4" i="14"/>
  <c r="Q4" i="14"/>
  <c r="EQ4" i="14"/>
  <c r="EG4" i="14"/>
  <c r="CD4" i="14"/>
  <c r="AF4" i="14"/>
  <c r="BT4" i="14"/>
  <c r="V4" i="14"/>
  <c r="DM4" i="14"/>
  <c r="DR4" i="14"/>
  <c r="G4" i="14"/>
  <c r="BJ4" i="14"/>
  <c r="AU4" i="14"/>
  <c r="CX4" i="14"/>
  <c r="EV18" i="14"/>
  <c r="DH18" i="14"/>
  <c r="BT18" i="14"/>
  <c r="AF18" i="14"/>
  <c r="AA18" i="14"/>
  <c r="BO18" i="14"/>
  <c r="EL18" i="14"/>
  <c r="BE18" i="14"/>
  <c r="AZ18" i="14"/>
  <c r="G18" i="14"/>
  <c r="CS18" i="14"/>
  <c r="CI18" i="14"/>
  <c r="DC18" i="14"/>
  <c r="AP18" i="14"/>
  <c r="EG18" i="14"/>
  <c r="CN18" i="14"/>
  <c r="CX18" i="14"/>
  <c r="EQ18" i="14"/>
  <c r="AK18" i="14"/>
  <c r="CD18" i="14"/>
  <c r="EB18" i="14"/>
  <c r="V18" i="14"/>
  <c r="CF35" i="15"/>
  <c r="AP20" i="15"/>
  <c r="CS20" i="15"/>
  <c r="CP36" i="15" s="1"/>
  <c r="BO32" i="16"/>
  <c r="F32" i="20"/>
  <c r="E32" i="20"/>
  <c r="C32" i="20"/>
  <c r="N32" i="20"/>
  <c r="M32" i="20"/>
  <c r="I32" i="20"/>
  <c r="H32" i="20"/>
  <c r="G32" i="20"/>
  <c r="L32" i="20"/>
  <c r="K32" i="20"/>
  <c r="J32" i="20"/>
  <c r="D32" i="20"/>
  <c r="H35" i="20"/>
  <c r="S35" i="5"/>
  <c r="CX9" i="5"/>
  <c r="BO17" i="5"/>
  <c r="DH17" i="5"/>
  <c r="G21" i="5"/>
  <c r="AO25" i="5"/>
  <c r="S9" i="19"/>
  <c r="T11" i="19"/>
  <c r="AJ5" i="6"/>
  <c r="CI5" i="6"/>
  <c r="AZ14" i="6"/>
  <c r="DC14" i="6"/>
  <c r="BT15" i="6"/>
  <c r="L25" i="6"/>
  <c r="AK28" i="6"/>
  <c r="CN28" i="6"/>
  <c r="X35" i="7"/>
  <c r="K17" i="7"/>
  <c r="Z19" i="7"/>
  <c r="Z22" i="7"/>
  <c r="EL22" i="7"/>
  <c r="L28" i="7"/>
  <c r="AJ30" i="7"/>
  <c r="EL30" i="7"/>
  <c r="CX30" i="7"/>
  <c r="BJ30" i="7"/>
  <c r="V30" i="7"/>
  <c r="DR30" i="7"/>
  <c r="AK30" i="7"/>
  <c r="BY30" i="7"/>
  <c r="AF30" i="7"/>
  <c r="EV30" i="7"/>
  <c r="BO30" i="7"/>
  <c r="U30" i="7"/>
  <c r="DC30" i="7"/>
  <c r="Q30" i="7"/>
  <c r="EB30" i="7"/>
  <c r="AE30" i="7"/>
  <c r="CD30" i="7"/>
  <c r="AA30" i="7"/>
  <c r="DM30" i="7"/>
  <c r="G30" i="7"/>
  <c r="AY33" i="7"/>
  <c r="BO11" i="8"/>
  <c r="AF14" i="8"/>
  <c r="EG23" i="8"/>
  <c r="ED36" i="8" s="1"/>
  <c r="ED37" i="8" s="1"/>
  <c r="F30" i="19" s="1"/>
  <c r="DR28" i="8"/>
  <c r="DW5" i="9"/>
  <c r="AA11" i="9"/>
  <c r="EG15" i="9"/>
  <c r="CS15" i="9"/>
  <c r="BE15" i="9"/>
  <c r="Q15" i="9"/>
  <c r="EV15" i="9"/>
  <c r="BO15" i="9"/>
  <c r="DC15" i="9"/>
  <c r="V15" i="9"/>
  <c r="AZ15" i="9"/>
  <c r="CN15" i="9"/>
  <c r="G15" i="9"/>
  <c r="BY15" i="9"/>
  <c r="DR15" i="9"/>
  <c r="AA15" i="9"/>
  <c r="DH15" i="9"/>
  <c r="BJ15" i="9"/>
  <c r="L15" i="9"/>
  <c r="DM21" i="9"/>
  <c r="L22" i="9"/>
  <c r="DW22" i="9"/>
  <c r="EB9" i="10"/>
  <c r="CN9" i="10"/>
  <c r="AZ9" i="10"/>
  <c r="L9" i="10"/>
  <c r="EV9" i="10"/>
  <c r="BO9" i="10"/>
  <c r="DC9" i="10"/>
  <c r="V9" i="10"/>
  <c r="CS9" i="10"/>
  <c r="DW9" i="10"/>
  <c r="BY9" i="10"/>
  <c r="AF9" i="10"/>
  <c r="DH9" i="10"/>
  <c r="BJ9" i="10"/>
  <c r="Q9" i="10"/>
  <c r="EL9" i="10"/>
  <c r="CI9" i="10"/>
  <c r="AK9" i="10"/>
  <c r="BT9" i="10"/>
  <c r="DR9" i="10"/>
  <c r="EQ13" i="10"/>
  <c r="L16" i="10"/>
  <c r="EG20" i="10"/>
  <c r="AW35" i="11"/>
  <c r="AZ17" i="11"/>
  <c r="EV4" i="12"/>
  <c r="ES36" i="12" s="1"/>
  <c r="ES37" i="12" s="1"/>
  <c r="J33" i="19" s="1"/>
  <c r="DH4" i="12"/>
  <c r="BT4" i="12"/>
  <c r="AF4" i="12"/>
  <c r="BY4" i="12"/>
  <c r="DM4" i="12"/>
  <c r="EQ4" i="12"/>
  <c r="BJ4" i="12"/>
  <c r="BE4" i="12"/>
  <c r="CX4" i="12"/>
  <c r="L4" i="12"/>
  <c r="EG4" i="12"/>
  <c r="CN4" i="12"/>
  <c r="AP4" i="12"/>
  <c r="G4" i="12"/>
  <c r="DC4" i="12"/>
  <c r="AZ4" i="12"/>
  <c r="EL4" i="12"/>
  <c r="AK4" i="12"/>
  <c r="BO8" i="12"/>
  <c r="EQ31" i="12"/>
  <c r="EB13" i="13"/>
  <c r="EV18" i="13"/>
  <c r="EQ9" i="14"/>
  <c r="DC9" i="14"/>
  <c r="BO9" i="14"/>
  <c r="AA9" i="14"/>
  <c r="CN9" i="14"/>
  <c r="G9" i="14"/>
  <c r="EB9" i="14"/>
  <c r="AU9" i="14"/>
  <c r="CI9" i="14"/>
  <c r="DH9" i="14"/>
  <c r="BJ9" i="14"/>
  <c r="Q9" i="14"/>
  <c r="EL9" i="14"/>
  <c r="CS9" i="14"/>
  <c r="AF9" i="14"/>
  <c r="BY9" i="14"/>
  <c r="EV9" i="14"/>
  <c r="AP9" i="14"/>
  <c r="V9" i="14"/>
  <c r="EG9" i="14"/>
  <c r="CD9" i="14"/>
  <c r="DW9" i="14"/>
  <c r="BT9" i="14"/>
  <c r="L9" i="14"/>
  <c r="BE9" i="14"/>
  <c r="DR18" i="14"/>
  <c r="CF35" i="16"/>
  <c r="EV9" i="5"/>
  <c r="AF11" i="5"/>
  <c r="DH14" i="5"/>
  <c r="AK16" i="5"/>
  <c r="CD16" i="5"/>
  <c r="AA20" i="5"/>
  <c r="BT20" i="5"/>
  <c r="AT24" i="5"/>
  <c r="CS24" i="5"/>
  <c r="AT25" i="5"/>
  <c r="CN25" i="5"/>
  <c r="EL25" i="5"/>
  <c r="AU26" i="5"/>
  <c r="CS26" i="5"/>
  <c r="EG30" i="5"/>
  <c r="Q32" i="5"/>
  <c r="BY32" i="5"/>
  <c r="Q33" i="5"/>
  <c r="V34" i="5"/>
  <c r="R24" i="19"/>
  <c r="S10" i="19"/>
  <c r="T28" i="19"/>
  <c r="AA4" i="6"/>
  <c r="AT8" i="6"/>
  <c r="EQ8" i="6"/>
  <c r="AY9" i="6"/>
  <c r="AU17" i="6"/>
  <c r="EV17" i="6"/>
  <c r="AO20" i="6"/>
  <c r="Q22" i="6"/>
  <c r="DW22" i="6"/>
  <c r="V24" i="6"/>
  <c r="BT24" i="6"/>
  <c r="K26" i="6"/>
  <c r="AU29" i="6"/>
  <c r="L34" i="6"/>
  <c r="BO34" i="6"/>
  <c r="L8" i="7"/>
  <c r="EV13" i="7"/>
  <c r="DH13" i="7"/>
  <c r="BT13" i="7"/>
  <c r="AF13" i="7"/>
  <c r="BI13" i="7"/>
  <c r="U13" i="7"/>
  <c r="BY13" i="7"/>
  <c r="DM13" i="7"/>
  <c r="AA13" i="7"/>
  <c r="EQ13" i="7"/>
  <c r="BJ13" i="7"/>
  <c r="P13" i="7"/>
  <c r="CX13" i="7"/>
  <c r="BE13" i="7"/>
  <c r="L13" i="7"/>
  <c r="CI13" i="7"/>
  <c r="EB13" i="7"/>
  <c r="DR13" i="7"/>
  <c r="BO13" i="7"/>
  <c r="G13" i="7"/>
  <c r="AZ13" i="7"/>
  <c r="P14" i="7"/>
  <c r="L17" i="7"/>
  <c r="DW18" i="7"/>
  <c r="AA22" i="7"/>
  <c r="CN22" i="7"/>
  <c r="DC24" i="7"/>
  <c r="V28" i="7"/>
  <c r="AZ33" i="7"/>
  <c r="CX33" i="7"/>
  <c r="AP7" i="8"/>
  <c r="AU10" i="8"/>
  <c r="Z12" i="8"/>
  <c r="EL12" i="8"/>
  <c r="EQ14" i="8"/>
  <c r="AK15" i="8"/>
  <c r="G18" i="8"/>
  <c r="BY18" i="8"/>
  <c r="DR22" i="8"/>
  <c r="CD22" i="8"/>
  <c r="AP22" i="8"/>
  <c r="EV22" i="8"/>
  <c r="DH22" i="8"/>
  <c r="BT22" i="8"/>
  <c r="AF22" i="8"/>
  <c r="DM22" i="8"/>
  <c r="BO22" i="8"/>
  <c r="V22" i="8"/>
  <c r="EQ22" i="8"/>
  <c r="CX22" i="8"/>
  <c r="BE22" i="8"/>
  <c r="L22" i="8"/>
  <c r="EB22" i="8"/>
  <c r="AA22" i="8"/>
  <c r="BY22" i="8"/>
  <c r="BJ22" i="8"/>
  <c r="G22" i="8"/>
  <c r="AZ22" i="8"/>
  <c r="Q31" i="8"/>
  <c r="BY31" i="8"/>
  <c r="EB31" i="8"/>
  <c r="BY33" i="8"/>
  <c r="EB33" i="8"/>
  <c r="CI34" i="8"/>
  <c r="CA35" i="9"/>
  <c r="V5" i="9"/>
  <c r="EB13" i="9"/>
  <c r="CN13" i="9"/>
  <c r="AZ13" i="9"/>
  <c r="L13" i="9"/>
  <c r="DM13" i="9"/>
  <c r="AF13" i="9"/>
  <c r="BT13" i="9"/>
  <c r="EQ13" i="9"/>
  <c r="BJ13" i="9"/>
  <c r="CX13" i="9"/>
  <c r="Q13" i="9"/>
  <c r="CS13" i="9"/>
  <c r="AU13" i="9"/>
  <c r="AK13" i="9"/>
  <c r="CD13" i="9"/>
  <c r="DC13" i="9"/>
  <c r="AZ14" i="9"/>
  <c r="EB14" i="9"/>
  <c r="CN14" i="9"/>
  <c r="L14" i="9"/>
  <c r="DR14" i="9"/>
  <c r="CD14" i="9"/>
  <c r="AP14" i="9"/>
  <c r="AU14" i="9"/>
  <c r="EG14" i="9"/>
  <c r="BY14" i="9"/>
  <c r="AF14" i="9"/>
  <c r="AK14" i="9"/>
  <c r="CI14" i="9"/>
  <c r="BT14" i="9"/>
  <c r="V14" i="9"/>
  <c r="DM14" i="9"/>
  <c r="DC14" i="9"/>
  <c r="L21" i="9"/>
  <c r="BO21" i="9"/>
  <c r="BE25" i="9"/>
  <c r="BY34" i="9"/>
  <c r="CA36" i="10"/>
  <c r="AU6" i="10"/>
  <c r="DM9" i="10"/>
  <c r="AK13" i="10"/>
  <c r="AA20" i="10"/>
  <c r="CD26" i="10"/>
  <c r="BB35" i="11"/>
  <c r="DJ35" i="11"/>
  <c r="EB9" i="11"/>
  <c r="CN9" i="11"/>
  <c r="AZ9" i="11"/>
  <c r="L9" i="11"/>
  <c r="DR9" i="11"/>
  <c r="CD9" i="11"/>
  <c r="AP9" i="11"/>
  <c r="EQ9" i="11"/>
  <c r="CX9" i="11"/>
  <c r="BE9" i="11"/>
  <c r="EG9" i="11"/>
  <c r="AF9" i="11"/>
  <c r="DW9" i="11"/>
  <c r="BY9" i="11"/>
  <c r="BO9" i="11"/>
  <c r="DH9" i="11"/>
  <c r="Q9" i="11"/>
  <c r="EL9" i="11"/>
  <c r="AA9" i="11"/>
  <c r="DM9" i="11"/>
  <c r="BJ9" i="11"/>
  <c r="G9" i="11"/>
  <c r="AF11" i="11"/>
  <c r="BO25" i="11"/>
  <c r="EV33" i="11"/>
  <c r="DH33" i="11"/>
  <c r="BT33" i="11"/>
  <c r="AF33" i="11"/>
  <c r="EL33" i="11"/>
  <c r="CX33" i="11"/>
  <c r="BJ33" i="11"/>
  <c r="V33" i="11"/>
  <c r="EG33" i="11"/>
  <c r="CN33" i="11"/>
  <c r="AU33" i="11"/>
  <c r="DW33" i="11"/>
  <c r="CD33" i="11"/>
  <c r="AK33" i="11"/>
  <c r="DR33" i="11"/>
  <c r="Q33" i="11"/>
  <c r="BE33" i="11"/>
  <c r="G33" i="11"/>
  <c r="DC33" i="11"/>
  <c r="DM33" i="11"/>
  <c r="CS33" i="11"/>
  <c r="AP33" i="11"/>
  <c r="DJ35" i="12"/>
  <c r="G8" i="12"/>
  <c r="EL15" i="12"/>
  <c r="CX15" i="12"/>
  <c r="BJ15" i="12"/>
  <c r="V15" i="12"/>
  <c r="BT15" i="12"/>
  <c r="DH15" i="12"/>
  <c r="AA15" i="12"/>
  <c r="BE15" i="12"/>
  <c r="EQ15" i="12"/>
  <c r="AZ15" i="12"/>
  <c r="G15" i="12"/>
  <c r="CS15" i="12"/>
  <c r="EB15" i="12"/>
  <c r="CI15" i="12"/>
  <c r="DC15" i="12"/>
  <c r="AU15" i="12"/>
  <c r="AK15" i="12"/>
  <c r="EG15" i="12"/>
  <c r="DR15" i="12"/>
  <c r="BO15" i="12"/>
  <c r="AP15" i="12"/>
  <c r="DM15" i="12"/>
  <c r="DR22" i="12"/>
  <c r="CD22" i="12"/>
  <c r="AP22" i="12"/>
  <c r="BY22" i="12"/>
  <c r="DM22" i="12"/>
  <c r="AF22" i="12"/>
  <c r="DC22" i="12"/>
  <c r="V22" i="12"/>
  <c r="BT22" i="12"/>
  <c r="AA22" i="12"/>
  <c r="EV22" i="12"/>
  <c r="L22" i="12"/>
  <c r="CX22" i="12"/>
  <c r="BE22" i="12"/>
  <c r="DH22" i="12"/>
  <c r="EL22" i="12"/>
  <c r="CN22" i="12"/>
  <c r="AA31" i="12"/>
  <c r="CP35" i="13"/>
  <c r="EL19" i="13"/>
  <c r="CX19" i="13"/>
  <c r="BJ19" i="13"/>
  <c r="V19" i="13"/>
  <c r="BE19" i="13"/>
  <c r="EQ19" i="13"/>
  <c r="L19" i="13"/>
  <c r="EB19" i="13"/>
  <c r="EG19" i="13"/>
  <c r="CN19" i="13"/>
  <c r="AU19" i="13"/>
  <c r="CD19" i="13"/>
  <c r="AK19" i="13"/>
  <c r="CI19" i="13"/>
  <c r="AF19" i="13"/>
  <c r="BT19" i="13"/>
  <c r="DM19" i="13"/>
  <c r="Q19" i="13"/>
  <c r="BY19" i="13"/>
  <c r="DW19" i="13"/>
  <c r="DH19" i="13"/>
  <c r="AZ19" i="13"/>
  <c r="AZ21" i="13"/>
  <c r="BT22" i="13"/>
  <c r="BJ18" i="14"/>
  <c r="L32" i="16"/>
  <c r="EL5" i="6"/>
  <c r="CX5" i="6"/>
  <c r="BJ5" i="6"/>
  <c r="BG36" i="6" s="1"/>
  <c r="V5" i="6"/>
  <c r="AY5" i="6"/>
  <c r="K5" i="6"/>
  <c r="DC5" i="6"/>
  <c r="Q5" i="6"/>
  <c r="CN5" i="6"/>
  <c r="AU5" i="6"/>
  <c r="DW5" i="6"/>
  <c r="AF5" i="6"/>
  <c r="BY5" i="6"/>
  <c r="AE5" i="6"/>
  <c r="BO5" i="6"/>
  <c r="P5" i="6"/>
  <c r="N35" i="6" s="1"/>
  <c r="DH5" i="6"/>
  <c r="DE36" i="6" s="1"/>
  <c r="DE37" i="6" s="1"/>
  <c r="D25" i="19" s="1"/>
  <c r="L5" i="6"/>
  <c r="I36" i="6" s="1"/>
  <c r="DM5" i="6"/>
  <c r="EV29" i="7"/>
  <c r="DH29" i="7"/>
  <c r="BT29" i="7"/>
  <c r="AF29" i="7"/>
  <c r="BI29" i="7"/>
  <c r="U29" i="7"/>
  <c r="EQ29" i="7"/>
  <c r="BJ29" i="7"/>
  <c r="P29" i="7"/>
  <c r="CX29" i="7"/>
  <c r="BE29" i="7"/>
  <c r="L29" i="7"/>
  <c r="CN29" i="7"/>
  <c r="AU29" i="7"/>
  <c r="EB29" i="7"/>
  <c r="AT29" i="7"/>
  <c r="AA29" i="7"/>
  <c r="CD29" i="7"/>
  <c r="Z29" i="7"/>
  <c r="G29" i="7"/>
  <c r="DM29" i="7"/>
  <c r="BO29" i="7"/>
  <c r="F29" i="7"/>
  <c r="DW29" i="7"/>
  <c r="BT6" i="9"/>
  <c r="EV6" i="9"/>
  <c r="DH6" i="9"/>
  <c r="AF6" i="9"/>
  <c r="EL6" i="9"/>
  <c r="CX6" i="9"/>
  <c r="BJ6" i="9"/>
  <c r="V6" i="9"/>
  <c r="EG6" i="9"/>
  <c r="CN6" i="9"/>
  <c r="AU6" i="9"/>
  <c r="DW6" i="9"/>
  <c r="CD6" i="9"/>
  <c r="AK6" i="9"/>
  <c r="EQ6" i="9"/>
  <c r="AP6" i="9"/>
  <c r="BY6" i="9"/>
  <c r="EB20" i="10"/>
  <c r="CN20" i="10"/>
  <c r="AZ20" i="10"/>
  <c r="L20" i="10"/>
  <c r="BY20" i="10"/>
  <c r="DM20" i="10"/>
  <c r="AF20" i="10"/>
  <c r="DC20" i="10"/>
  <c r="V20" i="10"/>
  <c r="BO20" i="10"/>
  <c r="CX20" i="10"/>
  <c r="BE20" i="10"/>
  <c r="G20" i="10"/>
  <c r="EQ20" i="10"/>
  <c r="DW20" i="10"/>
  <c r="BT20" i="10"/>
  <c r="DH20" i="10"/>
  <c r="EQ26" i="10"/>
  <c r="DC26" i="10"/>
  <c r="BO26" i="10"/>
  <c r="AA26" i="10"/>
  <c r="DH26" i="10"/>
  <c r="EV26" i="10"/>
  <c r="V26" i="10"/>
  <c r="CS26" i="10"/>
  <c r="L26" i="10"/>
  <c r="CN26" i="10"/>
  <c r="EG26" i="10"/>
  <c r="AU26" i="10"/>
  <c r="DW26" i="10"/>
  <c r="AK26" i="10"/>
  <c r="BY26" i="10"/>
  <c r="DR26" i="10"/>
  <c r="Q26" i="10"/>
  <c r="CX26" i="10"/>
  <c r="AZ26" i="10"/>
  <c r="EB18" i="12"/>
  <c r="CN18" i="12"/>
  <c r="AZ18" i="12"/>
  <c r="L18" i="12"/>
  <c r="DR18" i="12"/>
  <c r="CD18" i="12"/>
  <c r="AP18" i="12"/>
  <c r="AK18" i="12"/>
  <c r="DW18" i="12"/>
  <c r="CX18" i="12"/>
  <c r="BE18" i="12"/>
  <c r="G18" i="12"/>
  <c r="EQ18" i="12"/>
  <c r="EG18" i="12"/>
  <c r="CI18" i="12"/>
  <c r="BY18" i="12"/>
  <c r="AA18" i="12"/>
  <c r="DH18" i="12"/>
  <c r="BJ18" i="12"/>
  <c r="EL31" i="12"/>
  <c r="CX31" i="12"/>
  <c r="BJ31" i="12"/>
  <c r="V31" i="12"/>
  <c r="EV31" i="12"/>
  <c r="BO31" i="12"/>
  <c r="DC31" i="12"/>
  <c r="EG31" i="12"/>
  <c r="AZ31" i="12"/>
  <c r="AF31" i="12"/>
  <c r="DR31" i="12"/>
  <c r="BY31" i="12"/>
  <c r="DH31" i="12"/>
  <c r="Q31" i="12"/>
  <c r="EB31" i="12"/>
  <c r="CD31" i="12"/>
  <c r="DM31" i="12"/>
  <c r="L31" i="12"/>
  <c r="BT31" i="12"/>
  <c r="DW31" i="12"/>
  <c r="BE31" i="12"/>
  <c r="AU31" i="12"/>
  <c r="EB18" i="13"/>
  <c r="CN18" i="13"/>
  <c r="AZ18" i="13"/>
  <c r="L18" i="13"/>
  <c r="CI18" i="13"/>
  <c r="DW18" i="13"/>
  <c r="AP18" i="13"/>
  <c r="DM18" i="13"/>
  <c r="AF18" i="13"/>
  <c r="V18" i="13"/>
  <c r="DH18" i="13"/>
  <c r="BO18" i="13"/>
  <c r="CX18" i="13"/>
  <c r="BE18" i="13"/>
  <c r="G18" i="13"/>
  <c r="EQ18" i="13"/>
  <c r="AK18" i="13"/>
  <c r="BY18" i="13"/>
  <c r="BJ18" i="13"/>
  <c r="DR18" i="13"/>
  <c r="DC18" i="13"/>
  <c r="AU18" i="13"/>
  <c r="DW34" i="13"/>
  <c r="CI34" i="13"/>
  <c r="AU34" i="13"/>
  <c r="G34" i="13"/>
  <c r="DR34" i="13"/>
  <c r="CD34" i="13"/>
  <c r="AP34" i="13"/>
  <c r="DM34" i="13"/>
  <c r="BT34" i="13"/>
  <c r="AA34" i="13"/>
  <c r="EB34" i="13"/>
  <c r="AF34" i="13"/>
  <c r="BY34" i="13"/>
  <c r="DH34" i="13"/>
  <c r="Q34" i="13"/>
  <c r="DC34" i="13"/>
  <c r="BE34" i="13"/>
  <c r="EQ34" i="13"/>
  <c r="CN34" i="13"/>
  <c r="AK34" i="13"/>
  <c r="EV34" i="13"/>
  <c r="V34" i="13"/>
  <c r="EG34" i="13"/>
  <c r="L34" i="13"/>
  <c r="BO34" i="13"/>
  <c r="BJ34" i="13"/>
  <c r="DW19" i="7"/>
  <c r="CI19" i="7"/>
  <c r="AU19" i="7"/>
  <c r="G19" i="7"/>
  <c r="BY19" i="7"/>
  <c r="DM19" i="7"/>
  <c r="AF19" i="7"/>
  <c r="DC19" i="7"/>
  <c r="V19" i="7"/>
  <c r="EQ19" i="7"/>
  <c r="BJ19" i="7"/>
  <c r="U19" i="7"/>
  <c r="BI19" i="7"/>
  <c r="BE19" i="7"/>
  <c r="F19" i="7"/>
  <c r="EL19" i="7"/>
  <c r="AT19" i="7"/>
  <c r="CN19" i="7"/>
  <c r="AP19" i="7"/>
  <c r="AU5" i="9"/>
  <c r="AR36" i="9" s="1"/>
  <c r="D35" i="10"/>
  <c r="BE26" i="10"/>
  <c r="D7" i="20"/>
  <c r="C7" i="20"/>
  <c r="F7" i="20"/>
  <c r="J7" i="20"/>
  <c r="H7" i="20"/>
  <c r="N7" i="20"/>
  <c r="G7" i="20"/>
  <c r="M7" i="20"/>
  <c r="I7" i="20"/>
  <c r="EN35" i="5"/>
  <c r="BD28" i="7"/>
  <c r="DC5" i="9"/>
  <c r="DR9" i="9"/>
  <c r="CD9" i="9"/>
  <c r="AP9" i="9"/>
  <c r="CX9" i="9"/>
  <c r="Q9" i="9"/>
  <c r="EL9" i="9"/>
  <c r="BE9" i="9"/>
  <c r="EB9" i="9"/>
  <c r="AU9" i="9"/>
  <c r="CI9" i="9"/>
  <c r="BT9" i="9"/>
  <c r="DM9" i="9"/>
  <c r="V9" i="9"/>
  <c r="DC9" i="9"/>
  <c r="EV9" i="9"/>
  <c r="G9" i="9"/>
  <c r="D36" i="9" s="1"/>
  <c r="D37" i="9" s="1"/>
  <c r="G4" i="19" s="1"/>
  <c r="DE35" i="10"/>
  <c r="DM26" i="10"/>
  <c r="AM35" i="11"/>
  <c r="EG10" i="11"/>
  <c r="CS10" i="11"/>
  <c r="BE10" i="11"/>
  <c r="Q10" i="11"/>
  <c r="BY10" i="11"/>
  <c r="DM10" i="11"/>
  <c r="AF10" i="11"/>
  <c r="DC10" i="11"/>
  <c r="V10" i="11"/>
  <c r="BO10" i="11"/>
  <c r="CX10" i="11"/>
  <c r="G10" i="11"/>
  <c r="EQ10" i="11"/>
  <c r="AZ10" i="11"/>
  <c r="CI10" i="11"/>
  <c r="AK10" i="11"/>
  <c r="BT10" i="11"/>
  <c r="DR10" i="11"/>
  <c r="DH10" i="11"/>
  <c r="DM18" i="12"/>
  <c r="DY35" i="13"/>
  <c r="O29" i="19" s="1"/>
  <c r="AH36" i="14"/>
  <c r="EL22" i="14"/>
  <c r="CX22" i="14"/>
  <c r="BJ22" i="14"/>
  <c r="V22" i="14"/>
  <c r="CS22" i="14"/>
  <c r="L22" i="14"/>
  <c r="EG22" i="14"/>
  <c r="AZ22" i="14"/>
  <c r="DW22" i="14"/>
  <c r="AP22" i="14"/>
  <c r="CD22" i="14"/>
  <c r="AF22" i="14"/>
  <c r="DR22" i="14"/>
  <c r="BT22" i="14"/>
  <c r="G22" i="14"/>
  <c r="DC22" i="14"/>
  <c r="BE22" i="14"/>
  <c r="CN22" i="14"/>
  <c r="AK22" i="14"/>
  <c r="CI22" i="14"/>
  <c r="EQ22" i="14"/>
  <c r="EB22" i="14"/>
  <c r="BY22" i="14"/>
  <c r="Q22" i="14"/>
  <c r="CU35" i="15"/>
  <c r="DW13" i="16"/>
  <c r="CI13" i="16"/>
  <c r="CF36" i="16" s="1"/>
  <c r="AU13" i="16"/>
  <c r="G13" i="16"/>
  <c r="DC13" i="16"/>
  <c r="V13" i="16"/>
  <c r="CD13" i="16"/>
  <c r="DH13" i="16"/>
  <c r="BY13" i="16"/>
  <c r="CX13" i="16"/>
  <c r="CS13" i="16"/>
  <c r="BO13" i="16"/>
  <c r="DR13" i="16"/>
  <c r="BJ13" i="16"/>
  <c r="Q13" i="16"/>
  <c r="EB13" i="16"/>
  <c r="L13" i="16"/>
  <c r="AZ13" i="16"/>
  <c r="EQ13" i="16"/>
  <c r="AF13" i="16"/>
  <c r="AK13" i="16"/>
  <c r="EV13" i="16"/>
  <c r="CN13" i="16"/>
  <c r="EG13" i="16"/>
  <c r="BT13" i="16"/>
  <c r="BE13" i="16"/>
  <c r="EB22" i="16"/>
  <c r="CN22" i="16"/>
  <c r="AZ22" i="16"/>
  <c r="L22" i="16"/>
  <c r="EG22" i="16"/>
  <c r="G22" i="16"/>
  <c r="DH22" i="16"/>
  <c r="AA22" i="16"/>
  <c r="DM22" i="16"/>
  <c r="BT22" i="16"/>
  <c r="DR22" i="16"/>
  <c r="BO22" i="16"/>
  <c r="V22" i="16"/>
  <c r="AF22" i="16"/>
  <c r="DW22" i="16"/>
  <c r="BY22" i="16"/>
  <c r="Q22" i="16"/>
  <c r="DC22" i="16"/>
  <c r="BE22" i="16"/>
  <c r="EL22" i="16"/>
  <c r="CD22" i="16"/>
  <c r="BJ22" i="16"/>
  <c r="CI22" i="16"/>
  <c r="EQ22" i="16"/>
  <c r="AU22" i="16"/>
  <c r="E7" i="20"/>
  <c r="CS17" i="5"/>
  <c r="BD33" i="5"/>
  <c r="DC33" i="5"/>
  <c r="BT5" i="6"/>
  <c r="AZ24" i="6"/>
  <c r="EI35" i="7"/>
  <c r="DC18" i="7"/>
  <c r="DH28" i="7"/>
  <c r="AZ9" i="9"/>
  <c r="EV22" i="9"/>
  <c r="BT22" i="9"/>
  <c r="DH22" i="9"/>
  <c r="AF22" i="9"/>
  <c r="EL22" i="9"/>
  <c r="CX22" i="9"/>
  <c r="BJ22" i="9"/>
  <c r="V22" i="9"/>
  <c r="BO22" i="9"/>
  <c r="Q22" i="9"/>
  <c r="CS22" i="9"/>
  <c r="AZ22" i="9"/>
  <c r="G22" i="9"/>
  <c r="BE22" i="9"/>
  <c r="DC22" i="9"/>
  <c r="CN22" i="9"/>
  <c r="AP22" i="9"/>
  <c r="EG22" i="9"/>
  <c r="DH34" i="9"/>
  <c r="DH10" i="10"/>
  <c r="DR16" i="10"/>
  <c r="CD16" i="10"/>
  <c r="AP16" i="10"/>
  <c r="DH16" i="10"/>
  <c r="DE36" i="10" s="1"/>
  <c r="AA16" i="10"/>
  <c r="EV16" i="10"/>
  <c r="BO16" i="10"/>
  <c r="EL16" i="10"/>
  <c r="BE16" i="10"/>
  <c r="DW16" i="10"/>
  <c r="AF16" i="10"/>
  <c r="Q16" i="10"/>
  <c r="BY16" i="10"/>
  <c r="V16" i="10"/>
  <c r="DC16" i="10"/>
  <c r="BJ16" i="10"/>
  <c r="G16" i="10"/>
  <c r="EB25" i="10"/>
  <c r="CN25" i="10"/>
  <c r="AZ25" i="10"/>
  <c r="L25" i="10"/>
  <c r="EL25" i="10"/>
  <c r="BE25" i="10"/>
  <c r="CS25" i="10"/>
  <c r="DW25" i="10"/>
  <c r="AP25" i="10"/>
  <c r="DH25" i="10"/>
  <c r="BO25" i="10"/>
  <c r="Q25" i="10"/>
  <c r="EQ25" i="10"/>
  <c r="AU25" i="10"/>
  <c r="DR25" i="10"/>
  <c r="V25" i="10"/>
  <c r="BT25" i="10"/>
  <c r="DC25" i="10"/>
  <c r="BJ26" i="10"/>
  <c r="DM20" i="12"/>
  <c r="EQ20" i="13"/>
  <c r="DC20" i="13"/>
  <c r="BO20" i="13"/>
  <c r="AA20" i="13"/>
  <c r="DM20" i="13"/>
  <c r="AF20" i="13"/>
  <c r="BT20" i="13"/>
  <c r="CX20" i="13"/>
  <c r="Q20" i="13"/>
  <c r="DW20" i="13"/>
  <c r="BY20" i="13"/>
  <c r="DH20" i="13"/>
  <c r="BJ20" i="13"/>
  <c r="CD20" i="13"/>
  <c r="EB20" i="13"/>
  <c r="L20" i="13"/>
  <c r="BE20" i="13"/>
  <c r="EL20" i="13"/>
  <c r="CI20" i="13"/>
  <c r="V20" i="13"/>
  <c r="EG20" i="13"/>
  <c r="DR20" i="13"/>
  <c r="G20" i="13"/>
  <c r="EL34" i="13"/>
  <c r="CS14" i="5"/>
  <c r="EV21" i="5"/>
  <c r="DH21" i="5"/>
  <c r="BT21" i="5"/>
  <c r="AF21" i="5"/>
  <c r="AA21" i="5"/>
  <c r="BO21" i="5"/>
  <c r="EL21" i="5"/>
  <c r="BE21" i="5"/>
  <c r="CS21" i="5"/>
  <c r="L21" i="5"/>
  <c r="EG21" i="5"/>
  <c r="S21" i="19"/>
  <c r="EL26" i="6"/>
  <c r="CX26" i="6"/>
  <c r="BJ26" i="6"/>
  <c r="V26" i="6"/>
  <c r="CI26" i="6"/>
  <c r="AT26" i="6"/>
  <c r="DM26" i="6"/>
  <c r="AF26" i="6"/>
  <c r="BT26" i="6"/>
  <c r="AE26" i="6"/>
  <c r="BO26" i="6"/>
  <c r="P26" i="6"/>
  <c r="DH26" i="6"/>
  <c r="L26" i="6"/>
  <c r="EQ26" i="6"/>
  <c r="AZ26" i="6"/>
  <c r="CS26" i="6"/>
  <c r="AJ14" i="7"/>
  <c r="EL14" i="7"/>
  <c r="CX14" i="7"/>
  <c r="BJ14" i="7"/>
  <c r="BG36" i="7" s="1"/>
  <c r="V14" i="7"/>
  <c r="CN14" i="7"/>
  <c r="AY14" i="7"/>
  <c r="F14" i="7"/>
  <c r="EB14" i="7"/>
  <c r="AU14" i="7"/>
  <c r="DR14" i="7"/>
  <c r="AK14" i="7"/>
  <c r="BY14" i="7"/>
  <c r="AF14" i="7"/>
  <c r="AA14" i="7"/>
  <c r="CD14" i="7"/>
  <c r="Z14" i="7"/>
  <c r="DM14" i="7"/>
  <c r="L14" i="7"/>
  <c r="BO14" i="7"/>
  <c r="Q29" i="7"/>
  <c r="EB9" i="8"/>
  <c r="CN9" i="8"/>
  <c r="AZ9" i="8"/>
  <c r="L9" i="8"/>
  <c r="AY9" i="8"/>
  <c r="K9" i="8"/>
  <c r="AO9" i="8"/>
  <c r="EL9" i="8"/>
  <c r="BE9" i="8"/>
  <c r="F9" i="8"/>
  <c r="CS9" i="8"/>
  <c r="BD9" i="8"/>
  <c r="DW9" i="8"/>
  <c r="AK9" i="8"/>
  <c r="CD9" i="8"/>
  <c r="AJ9" i="8"/>
  <c r="AH35" i="8" s="1"/>
  <c r="EG9" i="8"/>
  <c r="CI9" i="8"/>
  <c r="AA9" i="8"/>
  <c r="Z9" i="8"/>
  <c r="BT9" i="8"/>
  <c r="P9" i="8"/>
  <c r="DM9" i="8"/>
  <c r="G9" i="8"/>
  <c r="F33" i="8"/>
  <c r="BE33" i="8"/>
  <c r="BE5" i="9"/>
  <c r="DR20" i="10"/>
  <c r="G26" i="10"/>
  <c r="ED35" i="14"/>
  <c r="AU21" i="5"/>
  <c r="BI33" i="5"/>
  <c r="DR34" i="5"/>
  <c r="DW15" i="6"/>
  <c r="CI15" i="6"/>
  <c r="AU15" i="6"/>
  <c r="G15" i="6"/>
  <c r="AJ15" i="6"/>
  <c r="CN15" i="6"/>
  <c r="AY15" i="6"/>
  <c r="BY15" i="6"/>
  <c r="AF15" i="6"/>
  <c r="DM15" i="6"/>
  <c r="AE15" i="6"/>
  <c r="EB15" i="6"/>
  <c r="CD15" i="6"/>
  <c r="AA15" i="6"/>
  <c r="Z15" i="6"/>
  <c r="BO15" i="6"/>
  <c r="P15" i="6"/>
  <c r="DH15" i="6"/>
  <c r="L15" i="6"/>
  <c r="BJ15" i="6"/>
  <c r="BD22" i="6"/>
  <c r="BE26" i="6"/>
  <c r="K22" i="7"/>
  <c r="BY9" i="8"/>
  <c r="G14" i="8"/>
  <c r="DW23" i="8"/>
  <c r="CI23" i="8"/>
  <c r="AU23" i="8"/>
  <c r="G23" i="8"/>
  <c r="AT23" i="8"/>
  <c r="F23" i="8"/>
  <c r="AJ23" i="8"/>
  <c r="EL23" i="8"/>
  <c r="BE23" i="8"/>
  <c r="K23" i="8"/>
  <c r="CS23" i="8"/>
  <c r="BD23" i="8"/>
  <c r="AO23" i="8"/>
  <c r="CD23" i="8"/>
  <c r="AK23" i="8"/>
  <c r="AA23" i="8"/>
  <c r="EB23" i="8"/>
  <c r="Z23" i="8"/>
  <c r="BT23" i="8"/>
  <c r="BQ36" i="8" s="1"/>
  <c r="BQ37" i="8" s="1"/>
  <c r="F17" i="19" s="1"/>
  <c r="P23" i="8"/>
  <c r="DM23" i="8"/>
  <c r="L23" i="8"/>
  <c r="DH28" i="8"/>
  <c r="F31" i="8"/>
  <c r="BJ31" i="8"/>
  <c r="AU25" i="9"/>
  <c r="EV5" i="11"/>
  <c r="DH5" i="11"/>
  <c r="BT5" i="11"/>
  <c r="AF5" i="11"/>
  <c r="EB5" i="11"/>
  <c r="AU5" i="11"/>
  <c r="AR36" i="11" s="1"/>
  <c r="CI5" i="11"/>
  <c r="BY5" i="11"/>
  <c r="DR5" i="11"/>
  <c r="AA5" i="11"/>
  <c r="BJ5" i="11"/>
  <c r="Q5" i="11"/>
  <c r="DC5" i="11"/>
  <c r="CX5" i="11"/>
  <c r="AZ5" i="11"/>
  <c r="EL5" i="11"/>
  <c r="CN5" i="11"/>
  <c r="AK5" i="11"/>
  <c r="DR8" i="12"/>
  <c r="DO36" i="12" s="1"/>
  <c r="CD8" i="12"/>
  <c r="AP8" i="12"/>
  <c r="CX8" i="12"/>
  <c r="Q8" i="12"/>
  <c r="EL8" i="12"/>
  <c r="BE8" i="12"/>
  <c r="EB8" i="12"/>
  <c r="AU8" i="12"/>
  <c r="AA8" i="12"/>
  <c r="DM8" i="12"/>
  <c r="BT8" i="12"/>
  <c r="DC8" i="12"/>
  <c r="BJ8" i="12"/>
  <c r="L8" i="12"/>
  <c r="EV8" i="12"/>
  <c r="AZ8" i="12"/>
  <c r="EQ8" i="12"/>
  <c r="CN8" i="12"/>
  <c r="AK8" i="12"/>
  <c r="S35" i="13"/>
  <c r="DW33" i="14"/>
  <c r="CI33" i="14"/>
  <c r="AU33" i="14"/>
  <c r="G33" i="14"/>
  <c r="EQ33" i="14"/>
  <c r="BJ33" i="14"/>
  <c r="CX33" i="14"/>
  <c r="Q33" i="14"/>
  <c r="EL33" i="14"/>
  <c r="BE33" i="14"/>
  <c r="EB33" i="14"/>
  <c r="AK33" i="14"/>
  <c r="AA33" i="14"/>
  <c r="DC33" i="14"/>
  <c r="CN33" i="14"/>
  <c r="AP33" i="14"/>
  <c r="EG33" i="14"/>
  <c r="CD33" i="14"/>
  <c r="L33" i="14"/>
  <c r="DM33" i="14"/>
  <c r="BO33" i="14"/>
  <c r="V33" i="14"/>
  <c r="BY33" i="14"/>
  <c r="DR33" i="14"/>
  <c r="CX14" i="5"/>
  <c r="EV14" i="5"/>
  <c r="EB18" i="5"/>
  <c r="CN18" i="5"/>
  <c r="AZ18" i="5"/>
  <c r="L18" i="5"/>
  <c r="DM18" i="5"/>
  <c r="AF18" i="5"/>
  <c r="BT18" i="5"/>
  <c r="EQ18" i="5"/>
  <c r="BJ18" i="5"/>
  <c r="CX18" i="5"/>
  <c r="Q18" i="5"/>
  <c r="EL18" i="5"/>
  <c r="S7" i="19"/>
  <c r="T9" i="19"/>
  <c r="DO35" i="6"/>
  <c r="DM22" i="6"/>
  <c r="L24" i="6"/>
  <c r="DH24" i="6"/>
  <c r="G25" i="6"/>
  <c r="AZ25" i="6"/>
  <c r="BI26" i="6"/>
  <c r="BE34" i="6"/>
  <c r="CZ35" i="7"/>
  <c r="BT14" i="7"/>
  <c r="DW14" i="7"/>
  <c r="DM17" i="7"/>
  <c r="P19" i="7"/>
  <c r="EB19" i="7"/>
  <c r="L22" i="7"/>
  <c r="EG22" i="7"/>
  <c r="EQ27" i="7"/>
  <c r="DC27" i="7"/>
  <c r="BO27" i="7"/>
  <c r="AA27" i="7"/>
  <c r="BD27" i="7"/>
  <c r="P27" i="7"/>
  <c r="DM27" i="7"/>
  <c r="BT27" i="7"/>
  <c r="Z27" i="7"/>
  <c r="CX27" i="7"/>
  <c r="BI27" i="7"/>
  <c r="L27" i="7"/>
  <c r="EL27" i="7"/>
  <c r="BE27" i="7"/>
  <c r="AP27" i="7"/>
  <c r="CN27" i="7"/>
  <c r="CD27" i="7"/>
  <c r="DW27" i="7"/>
  <c r="V27" i="7"/>
  <c r="AZ27" i="7"/>
  <c r="G28" i="7"/>
  <c r="DR28" i="7"/>
  <c r="BT12" i="8"/>
  <c r="EB12" i="8"/>
  <c r="EG14" i="8"/>
  <c r="AJ18" i="8"/>
  <c r="EV18" i="8"/>
  <c r="DH18" i="8"/>
  <c r="BT18" i="8"/>
  <c r="AF18" i="8"/>
  <c r="EL18" i="8"/>
  <c r="CX18" i="8"/>
  <c r="BJ18" i="8"/>
  <c r="V18" i="8"/>
  <c r="DW18" i="8"/>
  <c r="CD18" i="8"/>
  <c r="AK18" i="8"/>
  <c r="AE18" i="8"/>
  <c r="BO18" i="8"/>
  <c r="Q18" i="8"/>
  <c r="P18" i="8"/>
  <c r="DM18" i="8"/>
  <c r="F18" i="8"/>
  <c r="AY18" i="8"/>
  <c r="EQ18" i="8"/>
  <c r="CS18" i="8"/>
  <c r="AU18" i="8"/>
  <c r="DR18" i="8"/>
  <c r="BY23" i="8"/>
  <c r="EG27" i="8"/>
  <c r="CS27" i="8"/>
  <c r="BE27" i="8"/>
  <c r="Q27" i="8"/>
  <c r="BD27" i="8"/>
  <c r="F27" i="8"/>
  <c r="DR27" i="8"/>
  <c r="BY27" i="8"/>
  <c r="AF27" i="8"/>
  <c r="EV27" i="8"/>
  <c r="BO27" i="8"/>
  <c r="V27" i="8"/>
  <c r="DC27" i="8"/>
  <c r="DW27" i="8"/>
  <c r="AA27" i="8"/>
  <c r="DH27" i="8"/>
  <c r="BJ27" i="8"/>
  <c r="G27" i="8"/>
  <c r="AZ27" i="8"/>
  <c r="G31" i="8"/>
  <c r="DR31" i="8"/>
  <c r="L33" i="8"/>
  <c r="DR33" i="8"/>
  <c r="L5" i="9"/>
  <c r="DR5" i="9"/>
  <c r="L6" i="9"/>
  <c r="BO6" i="9"/>
  <c r="DR6" i="9"/>
  <c r="BJ9" i="9"/>
  <c r="EQ20" i="9"/>
  <c r="BO20" i="9"/>
  <c r="DC20" i="9"/>
  <c r="AA20" i="9"/>
  <c r="EG20" i="9"/>
  <c r="CS20" i="9"/>
  <c r="BE20" i="9"/>
  <c r="Q20" i="9"/>
  <c r="DM20" i="9"/>
  <c r="BT20" i="9"/>
  <c r="EV20" i="9"/>
  <c r="L20" i="9"/>
  <c r="CX20" i="9"/>
  <c r="DR20" i="9"/>
  <c r="V20" i="9"/>
  <c r="G20" i="9"/>
  <c r="AZ20" i="9"/>
  <c r="DR22" i="9"/>
  <c r="DR26" i="9"/>
  <c r="CD26" i="9"/>
  <c r="AP26" i="9"/>
  <c r="EV26" i="9"/>
  <c r="DH26" i="9"/>
  <c r="BT26" i="9"/>
  <c r="AF26" i="9"/>
  <c r="EG26" i="9"/>
  <c r="CN26" i="9"/>
  <c r="AU26" i="9"/>
  <c r="BY26" i="9"/>
  <c r="BV36" i="9" s="1"/>
  <c r="AA26" i="9"/>
  <c r="BO26" i="9"/>
  <c r="Q26" i="9"/>
  <c r="DM26" i="9"/>
  <c r="CX26" i="9"/>
  <c r="AZ26" i="9"/>
  <c r="DC26" i="9"/>
  <c r="G34" i="9"/>
  <c r="DR34" i="9"/>
  <c r="EQ15" i="10"/>
  <c r="DC15" i="10"/>
  <c r="BO15" i="10"/>
  <c r="AA15" i="10"/>
  <c r="EL15" i="10"/>
  <c r="BE15" i="10"/>
  <c r="CS15" i="10"/>
  <c r="L15" i="10"/>
  <c r="CI15" i="10"/>
  <c r="CX15" i="10"/>
  <c r="AZ15" i="10"/>
  <c r="G15" i="10"/>
  <c r="EB15" i="10"/>
  <c r="CD15" i="10"/>
  <c r="AK15" i="10"/>
  <c r="BY15" i="10"/>
  <c r="DM15" i="10"/>
  <c r="BJ15" i="10"/>
  <c r="AU15" i="10"/>
  <c r="DH15" i="10"/>
  <c r="DM16" i="10"/>
  <c r="Q20" i="10"/>
  <c r="BJ25" i="10"/>
  <c r="DM25" i="10"/>
  <c r="BT26" i="10"/>
  <c r="EB26" i="10"/>
  <c r="EQ31" i="10"/>
  <c r="DC31" i="10"/>
  <c r="BO31" i="10"/>
  <c r="AA31" i="10"/>
  <c r="EB31" i="10"/>
  <c r="AU31" i="10"/>
  <c r="CI31" i="10"/>
  <c r="BY31" i="10"/>
  <c r="DH31" i="10"/>
  <c r="BJ31" i="10"/>
  <c r="Q31" i="10"/>
  <c r="EL31" i="10"/>
  <c r="CS31" i="10"/>
  <c r="DR31" i="10"/>
  <c r="AZ31" i="10"/>
  <c r="CX31" i="10"/>
  <c r="AP31" i="10"/>
  <c r="AR35" i="11"/>
  <c r="DW10" i="11"/>
  <c r="CX10" i="12"/>
  <c r="Q18" i="12"/>
  <c r="BT18" i="12"/>
  <c r="EV7" i="13"/>
  <c r="DH7" i="13"/>
  <c r="BT7" i="13"/>
  <c r="AF7" i="13"/>
  <c r="EG7" i="13"/>
  <c r="AZ7" i="13"/>
  <c r="DC7" i="13"/>
  <c r="BJ7" i="13"/>
  <c r="Q7" i="13"/>
  <c r="G7" i="13"/>
  <c r="EB7" i="13"/>
  <c r="CI7" i="13"/>
  <c r="AK7" i="13"/>
  <c r="DR7" i="13"/>
  <c r="V7" i="13"/>
  <c r="CD7" i="13"/>
  <c r="BY7" i="13"/>
  <c r="AA7" i="13"/>
  <c r="DW7" i="13"/>
  <c r="DM7" i="13"/>
  <c r="BO7" i="13"/>
  <c r="L7" i="13"/>
  <c r="BE7" i="13"/>
  <c r="BE13" i="13"/>
  <c r="Q18" i="13"/>
  <c r="CD18" i="13"/>
  <c r="CK35" i="14"/>
  <c r="EV11" i="14"/>
  <c r="DH11" i="14"/>
  <c r="BT11" i="14"/>
  <c r="AF11" i="14"/>
  <c r="DC11" i="14"/>
  <c r="V11" i="14"/>
  <c r="EQ11" i="14"/>
  <c r="BJ11" i="14"/>
  <c r="CX11" i="14"/>
  <c r="Q11" i="14"/>
  <c r="L11" i="14"/>
  <c r="BE11" i="14"/>
  <c r="CN11" i="14"/>
  <c r="AU11" i="14"/>
  <c r="EL11" i="14"/>
  <c r="AP11" i="14"/>
  <c r="DW11" i="14"/>
  <c r="BY11" i="14"/>
  <c r="DM11" i="14"/>
  <c r="EB11" i="14"/>
  <c r="AZ11" i="14"/>
  <c r="S35" i="15"/>
  <c r="BL35" i="15"/>
  <c r="DW5" i="15"/>
  <c r="CI5" i="15"/>
  <c r="AU5" i="15"/>
  <c r="G5" i="15"/>
  <c r="CS5" i="15"/>
  <c r="L5" i="15"/>
  <c r="DC5" i="15"/>
  <c r="BJ5" i="15"/>
  <c r="EQ5" i="15"/>
  <c r="Q5" i="15"/>
  <c r="CX5" i="15"/>
  <c r="BE5" i="15"/>
  <c r="BY5" i="15"/>
  <c r="AA5" i="15"/>
  <c r="DH5" i="15"/>
  <c r="AZ5" i="15"/>
  <c r="EL5" i="15"/>
  <c r="CN5" i="15"/>
  <c r="CK36" i="15" s="1"/>
  <c r="AF5" i="15"/>
  <c r="AC36" i="15" s="1"/>
  <c r="EB5" i="15"/>
  <c r="BT5" i="15"/>
  <c r="EV5" i="15"/>
  <c r="V5" i="15"/>
  <c r="CD5" i="15"/>
  <c r="BO5" i="15"/>
  <c r="EG32" i="16"/>
  <c r="N4" i="20"/>
  <c r="M4" i="20"/>
  <c r="K4" i="20"/>
  <c r="H4" i="20"/>
  <c r="J4" i="20"/>
  <c r="F4" i="20"/>
  <c r="C4" i="20"/>
  <c r="O4" i="20" s="1"/>
  <c r="G4" i="20"/>
  <c r="G43" i="20" s="1"/>
  <c r="E4" i="20"/>
  <c r="L4" i="20"/>
  <c r="EG15" i="5"/>
  <c r="CS15" i="5"/>
  <c r="BE15" i="5"/>
  <c r="Q15" i="5"/>
  <c r="BY15" i="5"/>
  <c r="DM15" i="5"/>
  <c r="AF15" i="5"/>
  <c r="DC15" i="5"/>
  <c r="V15" i="5"/>
  <c r="EQ15" i="5"/>
  <c r="BJ15" i="5"/>
  <c r="CN15" i="5"/>
  <c r="EL15" i="5"/>
  <c r="L17" i="5"/>
  <c r="AU18" i="5"/>
  <c r="AZ21" i="5"/>
  <c r="CX21" i="5"/>
  <c r="L33" i="5"/>
  <c r="DM33" i="5"/>
  <c r="BY34" i="5"/>
  <c r="AA5" i="6"/>
  <c r="EG5" i="6"/>
  <c r="CS9" i="6"/>
  <c r="DR26" i="6"/>
  <c r="CN29" i="6"/>
  <c r="EQ29" i="6"/>
  <c r="BL35" i="7"/>
  <c r="F8" i="7"/>
  <c r="DR18" i="7"/>
  <c r="BJ27" i="7"/>
  <c r="AJ29" i="7"/>
  <c r="CS29" i="7"/>
  <c r="CD15" i="8"/>
  <c r="BJ28" i="8"/>
  <c r="BV35" i="9"/>
  <c r="G10" i="10"/>
  <c r="G25" i="10"/>
  <c r="EV33" i="10"/>
  <c r="DH33" i="10"/>
  <c r="BT33" i="10"/>
  <c r="AF33" i="10"/>
  <c r="AA33" i="10"/>
  <c r="BO33" i="10"/>
  <c r="BL36" i="10" s="1"/>
  <c r="BL37" i="10" s="1"/>
  <c r="H16" i="19" s="1"/>
  <c r="EL33" i="10"/>
  <c r="BE33" i="10"/>
  <c r="BY33" i="10"/>
  <c r="DM33" i="10"/>
  <c r="V33" i="10"/>
  <c r="L33" i="10"/>
  <c r="EQ33" i="10"/>
  <c r="CX33" i="10"/>
  <c r="G33" i="10"/>
  <c r="DC33" i="10"/>
  <c r="CN33" i="10"/>
  <c r="AP33" i="10"/>
  <c r="AZ33" i="10"/>
  <c r="DJ35" i="5"/>
  <c r="G9" i="5"/>
  <c r="L14" i="5"/>
  <c r="AP24" i="5"/>
  <c r="P32" i="5"/>
  <c r="DR32" i="5"/>
  <c r="P33" i="5"/>
  <c r="BT33" i="5"/>
  <c r="U34" i="5"/>
  <c r="R7" i="19"/>
  <c r="R23" i="19"/>
  <c r="S25" i="19"/>
  <c r="T27" i="19"/>
  <c r="AU9" i="6"/>
  <c r="F15" i="6"/>
  <c r="AT17" i="6"/>
  <c r="DM24" i="6"/>
  <c r="G26" i="6"/>
  <c r="AT29" i="6"/>
  <c r="AW35" i="7"/>
  <c r="BT17" i="7"/>
  <c r="EG19" i="7"/>
  <c r="DR27" i="7"/>
  <c r="BY28" i="7"/>
  <c r="AK29" i="7"/>
  <c r="BI30" i="7"/>
  <c r="F34" i="7"/>
  <c r="EV34" i="7"/>
  <c r="DH34" i="7"/>
  <c r="BT34" i="7"/>
  <c r="AF34" i="7"/>
  <c r="CN34" i="7"/>
  <c r="AY34" i="7"/>
  <c r="G34" i="7"/>
  <c r="EB34" i="7"/>
  <c r="AU34" i="7"/>
  <c r="DR34" i="7"/>
  <c r="AK34" i="7"/>
  <c r="BY34" i="7"/>
  <c r="AJ34" i="7"/>
  <c r="DW34" i="7"/>
  <c r="V34" i="7"/>
  <c r="U34" i="7"/>
  <c r="BJ34" i="7"/>
  <c r="DC34" i="7"/>
  <c r="BI34" i="7"/>
  <c r="DM34" i="7"/>
  <c r="U9" i="8"/>
  <c r="EQ9" i="8"/>
  <c r="AT10" i="8"/>
  <c r="CX10" i="8"/>
  <c r="DR11" i="8"/>
  <c r="Q23" i="8"/>
  <c r="L28" i="8"/>
  <c r="DT35" i="9"/>
  <c r="Q6" i="9"/>
  <c r="BO9" i="9"/>
  <c r="DH20" i="9"/>
  <c r="G25" i="9"/>
  <c r="DC25" i="9"/>
  <c r="BE26" i="9"/>
  <c r="DR4" i="11"/>
  <c r="CD4" i="11"/>
  <c r="AP4" i="11"/>
  <c r="BY4" i="11"/>
  <c r="DM4" i="11"/>
  <c r="DJ36" i="11" s="1"/>
  <c r="AF4" i="11"/>
  <c r="DC4" i="11"/>
  <c r="CZ36" i="11" s="1"/>
  <c r="V4" i="11"/>
  <c r="EQ4" i="11"/>
  <c r="G4" i="11"/>
  <c r="CS4" i="11"/>
  <c r="AZ4" i="11"/>
  <c r="CI4" i="11"/>
  <c r="EB4" i="11"/>
  <c r="AK4" i="11"/>
  <c r="DH4" i="11"/>
  <c r="BE4" i="11"/>
  <c r="CN4" i="11"/>
  <c r="EB10" i="11"/>
  <c r="AW35" i="12"/>
  <c r="BE10" i="12"/>
  <c r="DC10" i="12"/>
  <c r="EL18" i="12"/>
  <c r="DH23" i="12"/>
  <c r="DW32" i="13"/>
  <c r="CS34" i="13"/>
  <c r="DR9" i="14"/>
  <c r="EV22" i="14"/>
  <c r="BT33" i="14"/>
  <c r="EQ5" i="16"/>
  <c r="EB5" i="16"/>
  <c r="CN5" i="16"/>
  <c r="AZ5" i="16"/>
  <c r="L5" i="16"/>
  <c r="BJ5" i="16"/>
  <c r="Q5" i="16"/>
  <c r="DR5" i="16"/>
  <c r="DH5" i="16"/>
  <c r="DC5" i="16"/>
  <c r="DW5" i="16"/>
  <c r="BY5" i="16"/>
  <c r="AF5" i="16"/>
  <c r="DM5" i="16"/>
  <c r="BO5" i="16"/>
  <c r="EG5" i="16"/>
  <c r="AA5" i="16"/>
  <c r="BE5" i="16"/>
  <c r="CI5" i="16"/>
  <c r="BT5" i="16"/>
  <c r="EV5" i="16"/>
  <c r="CD5" i="16"/>
  <c r="V5" i="16"/>
  <c r="G5" i="16"/>
  <c r="EV23" i="16"/>
  <c r="DH23" i="16"/>
  <c r="BT23" i="16"/>
  <c r="AF23" i="16"/>
  <c r="EL23" i="16"/>
  <c r="BE23" i="16"/>
  <c r="DC23" i="16"/>
  <c r="EB23" i="16"/>
  <c r="CI23" i="16"/>
  <c r="AP23" i="16"/>
  <c r="EQ23" i="16"/>
  <c r="CS23" i="16"/>
  <c r="DM23" i="16"/>
  <c r="Q23" i="16"/>
  <c r="BJ23" i="16"/>
  <c r="L23" i="16"/>
  <c r="DW23" i="16"/>
  <c r="V23" i="16"/>
  <c r="DR23" i="16"/>
  <c r="BO23" i="16"/>
  <c r="CN23" i="16"/>
  <c r="AK23" i="16"/>
  <c r="EG23" i="16"/>
  <c r="BY23" i="16"/>
  <c r="AU23" i="16"/>
  <c r="AA23" i="16"/>
  <c r="CX23" i="16"/>
  <c r="I4" i="20"/>
  <c r="N35" i="20"/>
  <c r="V4" i="5"/>
  <c r="BT4" i="5"/>
  <c r="BQ36" i="5" s="1"/>
  <c r="DM4" i="5"/>
  <c r="DJ36" i="5" s="1"/>
  <c r="BE9" i="5"/>
  <c r="DO35" i="5"/>
  <c r="DW8" i="5"/>
  <c r="L9" i="5"/>
  <c r="EV10" i="5"/>
  <c r="DH10" i="5"/>
  <c r="BT10" i="5"/>
  <c r="AF10" i="5"/>
  <c r="EL10" i="5"/>
  <c r="BE10" i="5"/>
  <c r="CS10" i="5"/>
  <c r="L10" i="5"/>
  <c r="CI10" i="5"/>
  <c r="DW10" i="5"/>
  <c r="AP10" i="5"/>
  <c r="CN10" i="5"/>
  <c r="CD11" i="5"/>
  <c r="Q14" i="5"/>
  <c r="BO14" i="5"/>
  <c r="AZ15" i="5"/>
  <c r="CX15" i="5"/>
  <c r="EV15" i="5"/>
  <c r="BT17" i="5"/>
  <c r="DM17" i="5"/>
  <c r="G18" i="5"/>
  <c r="BE18" i="5"/>
  <c r="DC18" i="5"/>
  <c r="EQ19" i="5"/>
  <c r="DC19" i="5"/>
  <c r="BO19" i="5"/>
  <c r="AA19" i="5"/>
  <c r="CI19" i="5"/>
  <c r="DW19" i="5"/>
  <c r="AP19" i="5"/>
  <c r="DM19" i="5"/>
  <c r="AF19" i="5"/>
  <c r="BT19" i="5"/>
  <c r="CN19" i="5"/>
  <c r="BJ21" i="5"/>
  <c r="AU24" i="5"/>
  <c r="EV24" i="5"/>
  <c r="DW27" i="5"/>
  <c r="CI27" i="5"/>
  <c r="AU27" i="5"/>
  <c r="G27" i="5"/>
  <c r="EL27" i="5"/>
  <c r="BE27" i="5"/>
  <c r="P27" i="5"/>
  <c r="K27" i="5"/>
  <c r="CS27" i="5"/>
  <c r="AZ27" i="5"/>
  <c r="AO27" i="5"/>
  <c r="CD27" i="5"/>
  <c r="AK27" i="5"/>
  <c r="AK30" i="5"/>
  <c r="CN30" i="5"/>
  <c r="V32" i="5"/>
  <c r="U33" i="5"/>
  <c r="BY33" i="5"/>
  <c r="AF34" i="5"/>
  <c r="CI34" i="5"/>
  <c r="EG34" i="5"/>
  <c r="R9" i="19"/>
  <c r="R25" i="19"/>
  <c r="S11" i="19"/>
  <c r="S34" i="19" s="1"/>
  <c r="S27" i="19"/>
  <c r="T13" i="19"/>
  <c r="T29" i="19"/>
  <c r="CD4" i="6"/>
  <c r="AO5" i="6"/>
  <c r="EQ5" i="6"/>
  <c r="AZ9" i="6"/>
  <c r="Q15" i="6"/>
  <c r="EG15" i="6"/>
  <c r="DC17" i="6"/>
  <c r="DR18" i="6"/>
  <c r="CD18" i="6"/>
  <c r="AP18" i="6"/>
  <c r="CI18" i="6"/>
  <c r="BT18" i="6"/>
  <c r="DH18" i="6"/>
  <c r="AA18" i="6"/>
  <c r="BJ18" i="6"/>
  <c r="Q18" i="6"/>
  <c r="AZ18" i="6"/>
  <c r="G18" i="6"/>
  <c r="EL18" i="6"/>
  <c r="CS18" i="6"/>
  <c r="AU18" i="6"/>
  <c r="CX18" i="6"/>
  <c r="AY20" i="6"/>
  <c r="EL21" i="6"/>
  <c r="CX21" i="6"/>
  <c r="BJ21" i="6"/>
  <c r="V21" i="6"/>
  <c r="AY21" i="6"/>
  <c r="K21" i="6"/>
  <c r="CS21" i="6"/>
  <c r="BD21" i="6"/>
  <c r="G21" i="6"/>
  <c r="DW21" i="6"/>
  <c r="AO21" i="6"/>
  <c r="CD21" i="6"/>
  <c r="AK21" i="6"/>
  <c r="EG21" i="6"/>
  <c r="AJ21" i="6"/>
  <c r="CI21" i="6"/>
  <c r="AF21" i="6"/>
  <c r="DR21" i="6"/>
  <c r="U21" i="6"/>
  <c r="S35" i="6" s="1"/>
  <c r="BT21" i="6"/>
  <c r="Q21" i="6"/>
  <c r="BO21" i="6"/>
  <c r="DR24" i="6"/>
  <c r="BO25" i="6"/>
  <c r="DR25" i="6"/>
  <c r="Q26" i="6"/>
  <c r="BY26" i="6"/>
  <c r="AP28" i="6"/>
  <c r="BD29" i="6"/>
  <c r="EG7" i="7"/>
  <c r="CS7" i="7"/>
  <c r="BE7" i="7"/>
  <c r="Q7" i="7"/>
  <c r="AT7" i="7"/>
  <c r="F7" i="7"/>
  <c r="D35" i="7" s="1"/>
  <c r="DC7" i="7"/>
  <c r="U7" i="7"/>
  <c r="S35" i="7" s="1"/>
  <c r="S37" i="7" s="1"/>
  <c r="E7" i="19" s="1"/>
  <c r="EQ7" i="7"/>
  <c r="BJ7" i="7"/>
  <c r="P7" i="7"/>
  <c r="CN7" i="7"/>
  <c r="AY7" i="7"/>
  <c r="EB7" i="7"/>
  <c r="AU7" i="7"/>
  <c r="AR36" i="7" s="1"/>
  <c r="EL7" i="7"/>
  <c r="AK7" i="7"/>
  <c r="DW7" i="7"/>
  <c r="AA7" i="7"/>
  <c r="BY7" i="7"/>
  <c r="Z7" i="7"/>
  <c r="BO7" i="7"/>
  <c r="DM7" i="7"/>
  <c r="DJ36" i="7" s="1"/>
  <c r="P8" i="7"/>
  <c r="CN8" i="7"/>
  <c r="EQ8" i="7"/>
  <c r="BD13" i="7"/>
  <c r="Q14" i="7"/>
  <c r="CI14" i="7"/>
  <c r="AO16" i="7"/>
  <c r="EQ16" i="7"/>
  <c r="DC16" i="7"/>
  <c r="BO16" i="7"/>
  <c r="AA16" i="7"/>
  <c r="DR16" i="7"/>
  <c r="AJ16" i="7"/>
  <c r="BY16" i="7"/>
  <c r="AF16" i="7"/>
  <c r="EV16" i="7"/>
  <c r="U16" i="7"/>
  <c r="BJ16" i="7"/>
  <c r="Q16" i="7"/>
  <c r="AU16" i="7"/>
  <c r="EG16" i="7"/>
  <c r="CN16" i="7"/>
  <c r="AT16" i="7"/>
  <c r="DW16" i="7"/>
  <c r="CD16" i="7"/>
  <c r="Z16" i="7"/>
  <c r="V16" i="7"/>
  <c r="DM16" i="7"/>
  <c r="U17" i="7"/>
  <c r="V18" i="7"/>
  <c r="AE19" i="7"/>
  <c r="G27" i="7"/>
  <c r="Z28" i="7"/>
  <c r="AP29" i="7"/>
  <c r="DC29" i="7"/>
  <c r="AE9" i="8"/>
  <c r="EV9" i="8"/>
  <c r="DW11" i="8"/>
  <c r="CS14" i="8"/>
  <c r="K18" i="8"/>
  <c r="V23" i="8"/>
  <c r="CN23" i="8"/>
  <c r="EB25" i="8"/>
  <c r="CN25" i="8"/>
  <c r="AZ25" i="8"/>
  <c r="L25" i="8"/>
  <c r="DR25" i="8"/>
  <c r="AK25" i="8"/>
  <c r="BY25" i="8"/>
  <c r="EV25" i="8"/>
  <c r="BO25" i="8"/>
  <c r="DC25" i="8"/>
  <c r="V25" i="8"/>
  <c r="CD25" i="8"/>
  <c r="AF25" i="8"/>
  <c r="DM25" i="8"/>
  <c r="Q25" i="8"/>
  <c r="CX25" i="8"/>
  <c r="BD26" i="8"/>
  <c r="EB26" i="8"/>
  <c r="CN26" i="8"/>
  <c r="AZ26" i="8"/>
  <c r="L26" i="8"/>
  <c r="DR26" i="8"/>
  <c r="CD26" i="8"/>
  <c r="AP26" i="8"/>
  <c r="EQ26" i="8"/>
  <c r="CX26" i="8"/>
  <c r="BE26" i="8"/>
  <c r="G26" i="8"/>
  <c r="F26" i="8"/>
  <c r="CI26" i="8"/>
  <c r="AK26" i="8"/>
  <c r="AA26" i="8"/>
  <c r="BY26" i="8"/>
  <c r="DM26" i="8"/>
  <c r="BO26" i="8"/>
  <c r="L27" i="8"/>
  <c r="BT27" i="8"/>
  <c r="BT28" i="8"/>
  <c r="AH35" i="9"/>
  <c r="BE14" i="9"/>
  <c r="DM15" i="9"/>
  <c r="EB22" i="9"/>
  <c r="L25" i="9"/>
  <c r="G26" i="9"/>
  <c r="BJ26" i="9"/>
  <c r="AF5" i="10"/>
  <c r="EQ5" i="10"/>
  <c r="BE9" i="10"/>
  <c r="CD10" i="10"/>
  <c r="AK12" i="10"/>
  <c r="CI12" i="10"/>
  <c r="EL12" i="10"/>
  <c r="EB16" i="10"/>
  <c r="EL20" i="10"/>
  <c r="BY25" i="10"/>
  <c r="AF26" i="10"/>
  <c r="G31" i="10"/>
  <c r="BE31" i="10"/>
  <c r="DM31" i="10"/>
  <c r="BJ33" i="10"/>
  <c r="DR33" i="10"/>
  <c r="BO5" i="11"/>
  <c r="DW5" i="11"/>
  <c r="CD10" i="11"/>
  <c r="EG25" i="11"/>
  <c r="EG27" i="11"/>
  <c r="CS27" i="11"/>
  <c r="BE27" i="11"/>
  <c r="Q27" i="11"/>
  <c r="DW27" i="11"/>
  <c r="CI27" i="11"/>
  <c r="AU27" i="11"/>
  <c r="G27" i="11"/>
  <c r="DH27" i="11"/>
  <c r="BO27" i="11"/>
  <c r="V27" i="11"/>
  <c r="EQ27" i="11"/>
  <c r="CX27" i="11"/>
  <c r="DR27" i="11"/>
  <c r="BT27" i="11"/>
  <c r="DC27" i="11"/>
  <c r="AZ27" i="11"/>
  <c r="BJ27" i="11"/>
  <c r="DM27" i="11"/>
  <c r="AP27" i="11"/>
  <c r="L10" i="12"/>
  <c r="BJ10" i="12"/>
  <c r="EL20" i="12"/>
  <c r="BJ23" i="12"/>
  <c r="DW27" i="12"/>
  <c r="EV32" i="12"/>
  <c r="DH32" i="12"/>
  <c r="BT32" i="12"/>
  <c r="AF32" i="12"/>
  <c r="EL32" i="12"/>
  <c r="CX32" i="12"/>
  <c r="BJ32" i="12"/>
  <c r="V32" i="12"/>
  <c r="DC32" i="12"/>
  <c r="BE32" i="12"/>
  <c r="L32" i="12"/>
  <c r="EG32" i="12"/>
  <c r="CN32" i="12"/>
  <c r="AU32" i="12"/>
  <c r="EB32" i="12"/>
  <c r="CD32" i="12"/>
  <c r="AA32" i="12"/>
  <c r="BO32" i="12"/>
  <c r="DM32" i="12"/>
  <c r="EQ32" i="12"/>
  <c r="CI32" i="12"/>
  <c r="DW32" i="12"/>
  <c r="AM35" i="13"/>
  <c r="BJ17" i="13"/>
  <c r="CS18" i="13"/>
  <c r="EV20" i="13"/>
  <c r="L22" i="13"/>
  <c r="DW24" i="13"/>
  <c r="CX34" i="13"/>
  <c r="BV35" i="14"/>
  <c r="G11" i="14"/>
  <c r="BO11" i="14"/>
  <c r="DW18" i="14"/>
  <c r="AA22" i="14"/>
  <c r="AC35" i="15"/>
  <c r="DR14" i="15"/>
  <c r="CD14" i="15"/>
  <c r="AP14" i="15"/>
  <c r="EV14" i="15"/>
  <c r="BO14" i="15"/>
  <c r="DC14" i="15"/>
  <c r="BJ14" i="15"/>
  <c r="EQ14" i="15"/>
  <c r="Q14" i="15"/>
  <c r="CX14" i="15"/>
  <c r="BE14" i="15"/>
  <c r="BT14" i="15"/>
  <c r="V14" i="15"/>
  <c r="DM14" i="15"/>
  <c r="AU14" i="15"/>
  <c r="BY14" i="15"/>
  <c r="DW14" i="15"/>
  <c r="DH14" i="15"/>
  <c r="AZ14" i="15"/>
  <c r="AK14" i="15"/>
  <c r="CS14" i="15"/>
  <c r="AA14" i="15"/>
  <c r="EL14" i="15"/>
  <c r="CI14" i="15"/>
  <c r="AZ20" i="15"/>
  <c r="DW30" i="15"/>
  <c r="CI30" i="15"/>
  <c r="AU30" i="15"/>
  <c r="G30" i="15"/>
  <c r="EQ30" i="15"/>
  <c r="BJ30" i="15"/>
  <c r="BO30" i="15"/>
  <c r="V30" i="15"/>
  <c r="CX30" i="15"/>
  <c r="EL30" i="15"/>
  <c r="AZ30" i="15"/>
  <c r="CS30" i="15"/>
  <c r="BY30" i="15"/>
  <c r="AA30" i="15"/>
  <c r="DR30" i="15"/>
  <c r="DH30" i="15"/>
  <c r="BE30" i="15"/>
  <c r="EV30" i="15"/>
  <c r="AP30" i="15"/>
  <c r="EG30" i="15"/>
  <c r="CD30" i="15"/>
  <c r="Q30" i="15"/>
  <c r="DM30" i="15"/>
  <c r="AF30" i="15"/>
  <c r="CN30" i="15"/>
  <c r="L30" i="15"/>
  <c r="BT30" i="15"/>
  <c r="AA13" i="16"/>
  <c r="CS22" i="16"/>
  <c r="AU20" i="10"/>
  <c r="CN4" i="5"/>
  <c r="AP17" i="5"/>
  <c r="BY29" i="7"/>
  <c r="EV33" i="8"/>
  <c r="DH33" i="8"/>
  <c r="BT33" i="8"/>
  <c r="AF33" i="8"/>
  <c r="DC33" i="8"/>
  <c r="V33" i="8"/>
  <c r="EQ33" i="8"/>
  <c r="BJ33" i="8"/>
  <c r="EG33" i="8"/>
  <c r="AZ33" i="8"/>
  <c r="AW36" i="8" s="1"/>
  <c r="CN33" i="8"/>
  <c r="G33" i="8"/>
  <c r="CD33" i="8"/>
  <c r="DW33" i="8"/>
  <c r="DM33" i="8"/>
  <c r="BO33" i="8"/>
  <c r="Q33" i="8"/>
  <c r="AU33" i="8"/>
  <c r="EV5" i="9"/>
  <c r="DH5" i="9"/>
  <c r="BT5" i="9"/>
  <c r="AF5" i="9"/>
  <c r="BY5" i="9"/>
  <c r="DM5" i="9"/>
  <c r="DJ36" i="9" s="1"/>
  <c r="DJ37" i="9" s="1"/>
  <c r="G26" i="19" s="1"/>
  <c r="EQ5" i="9"/>
  <c r="BJ5" i="9"/>
  <c r="CX5" i="9"/>
  <c r="CU36" i="9" s="1"/>
  <c r="CU37" i="9" s="1"/>
  <c r="G23" i="19" s="1"/>
  <c r="Q5" i="9"/>
  <c r="AZ5" i="9"/>
  <c r="G5" i="9"/>
  <c r="CS5" i="9"/>
  <c r="CI5" i="9"/>
  <c r="EB5" i="9"/>
  <c r="AK5" i="9"/>
  <c r="AZ6" i="9"/>
  <c r="DC6" i="9"/>
  <c r="X35" i="12"/>
  <c r="CF35" i="12"/>
  <c r="AU4" i="5"/>
  <c r="EL33" i="5"/>
  <c r="CX33" i="5"/>
  <c r="BJ33" i="5"/>
  <c r="V33" i="5"/>
  <c r="K33" i="5"/>
  <c r="EV33" i="5"/>
  <c r="BO33" i="5"/>
  <c r="Z33" i="5"/>
  <c r="EG33" i="5"/>
  <c r="CN33" i="5"/>
  <c r="AU33" i="5"/>
  <c r="CD33" i="5"/>
  <c r="AK33" i="5"/>
  <c r="DR33" i="5"/>
  <c r="AJ33" i="5"/>
  <c r="AZ33" i="5"/>
  <c r="BE34" i="5"/>
  <c r="CX24" i="6"/>
  <c r="AP25" i="6"/>
  <c r="EV18" i="7"/>
  <c r="DH18" i="7"/>
  <c r="BT18" i="7"/>
  <c r="AF18" i="7"/>
  <c r="EQ18" i="7"/>
  <c r="BJ18" i="7"/>
  <c r="CX18" i="7"/>
  <c r="Q18" i="7"/>
  <c r="CN18" i="7"/>
  <c r="G18" i="7"/>
  <c r="EB18" i="7"/>
  <c r="AU18" i="7"/>
  <c r="DM18" i="7"/>
  <c r="BO18" i="7"/>
  <c r="AZ18" i="7"/>
  <c r="CS18" i="7"/>
  <c r="BO19" i="7"/>
  <c r="DW22" i="7"/>
  <c r="EG12" i="8"/>
  <c r="CS12" i="8"/>
  <c r="BE12" i="8"/>
  <c r="Q12" i="8"/>
  <c r="DW12" i="8"/>
  <c r="CI12" i="8"/>
  <c r="AU12" i="8"/>
  <c r="G12" i="8"/>
  <c r="AJ12" i="8"/>
  <c r="DR12" i="8"/>
  <c r="BY12" i="8"/>
  <c r="AF12" i="8"/>
  <c r="AC36" i="8" s="1"/>
  <c r="DH12" i="8"/>
  <c r="BO12" i="8"/>
  <c r="V12" i="8"/>
  <c r="CD12" i="8"/>
  <c r="AA12" i="8"/>
  <c r="L12" i="8"/>
  <c r="DM12" i="8"/>
  <c r="DR14" i="8"/>
  <c r="EL34" i="9"/>
  <c r="CX34" i="9"/>
  <c r="BJ34" i="9"/>
  <c r="V34" i="9"/>
  <c r="EB34" i="9"/>
  <c r="CN34" i="9"/>
  <c r="AZ34" i="9"/>
  <c r="L34" i="9"/>
  <c r="CS34" i="9"/>
  <c r="AU34" i="9"/>
  <c r="DW34" i="9"/>
  <c r="CD34" i="9"/>
  <c r="AK34" i="9"/>
  <c r="EG34" i="9"/>
  <c r="AF34" i="9"/>
  <c r="Q34" i="9"/>
  <c r="DM34" i="9"/>
  <c r="BO34" i="9"/>
  <c r="F5" i="6"/>
  <c r="DR19" i="7"/>
  <c r="BT22" i="7"/>
  <c r="BI28" i="7"/>
  <c r="EG29" i="7"/>
  <c r="L11" i="20"/>
  <c r="K11" i="20"/>
  <c r="I11" i="20"/>
  <c r="G11" i="20"/>
  <c r="M11" i="20"/>
  <c r="D11" i="20"/>
  <c r="C11" i="20"/>
  <c r="E11" i="20"/>
  <c r="H11" i="20"/>
  <c r="N11" i="20"/>
  <c r="CX4" i="5"/>
  <c r="DR9" i="5"/>
  <c r="CD9" i="5"/>
  <c r="AP9" i="5"/>
  <c r="EB9" i="5"/>
  <c r="AU9" i="5"/>
  <c r="CI9" i="5"/>
  <c r="DM9" i="5"/>
  <c r="AF9" i="5"/>
  <c r="BT9" i="5"/>
  <c r="CN9" i="5"/>
  <c r="R19" i="19"/>
  <c r="G5" i="6"/>
  <c r="Z22" i="6"/>
  <c r="EB22" i="6"/>
  <c r="CN22" i="6"/>
  <c r="AZ22" i="6"/>
  <c r="L22" i="6"/>
  <c r="BT22" i="6"/>
  <c r="CX22" i="6"/>
  <c r="BI22" i="6"/>
  <c r="P22" i="6"/>
  <c r="EL22" i="6"/>
  <c r="BE22" i="6"/>
  <c r="DR22" i="6"/>
  <c r="BY22" i="6"/>
  <c r="AA22" i="6"/>
  <c r="DH22" i="6"/>
  <c r="BJ22" i="6"/>
  <c r="G22" i="6"/>
  <c r="AU25" i="6"/>
  <c r="DR34" i="6"/>
  <c r="CD34" i="6"/>
  <c r="AP34" i="6"/>
  <c r="DC34" i="6"/>
  <c r="V34" i="6"/>
  <c r="EG34" i="6"/>
  <c r="AZ34" i="6"/>
  <c r="CN34" i="6"/>
  <c r="G34" i="6"/>
  <c r="DW34" i="6"/>
  <c r="BY34" i="6"/>
  <c r="AF34" i="6"/>
  <c r="DH34" i="6"/>
  <c r="Q34" i="6"/>
  <c r="BJ34" i="6"/>
  <c r="CX34" i="6"/>
  <c r="DR17" i="7"/>
  <c r="CD17" i="7"/>
  <c r="AP17" i="7"/>
  <c r="AE17" i="7"/>
  <c r="AC35" i="7" s="1"/>
  <c r="EG17" i="7"/>
  <c r="ED36" i="7" s="1"/>
  <c r="ED37" i="7" s="1"/>
  <c r="E30" i="19" s="1"/>
  <c r="AZ17" i="7"/>
  <c r="G17" i="7"/>
  <c r="CN17" i="7"/>
  <c r="AK17" i="7"/>
  <c r="BY17" i="7"/>
  <c r="AF17" i="7"/>
  <c r="DW17" i="7"/>
  <c r="AA17" i="7"/>
  <c r="BO17" i="7"/>
  <c r="Q17" i="7"/>
  <c r="DH17" i="7"/>
  <c r="P17" i="7"/>
  <c r="G6" i="9"/>
  <c r="EV21" i="9"/>
  <c r="DH21" i="9"/>
  <c r="BT21" i="9"/>
  <c r="AF21" i="9"/>
  <c r="CN21" i="9"/>
  <c r="G21" i="9"/>
  <c r="EB21" i="9"/>
  <c r="AU21" i="9"/>
  <c r="DR21" i="9"/>
  <c r="AK21" i="9"/>
  <c r="BY21" i="9"/>
  <c r="Q21" i="9"/>
  <c r="BJ21" i="9"/>
  <c r="EQ21" i="9"/>
  <c r="AZ21" i="9"/>
  <c r="CS21" i="9"/>
  <c r="EI35" i="13"/>
  <c r="O31" i="19" s="1"/>
  <c r="N35" i="15"/>
  <c r="EL9" i="5"/>
  <c r="G17" i="5"/>
  <c r="DJ35" i="6"/>
  <c r="BT8" i="7"/>
  <c r="BE18" i="7"/>
  <c r="F28" i="7"/>
  <c r="V29" i="7"/>
  <c r="EL29" i="7"/>
  <c r="DC21" i="9"/>
  <c r="CS25" i="9"/>
  <c r="EV25" i="9"/>
  <c r="BQ35" i="10"/>
  <c r="CU35" i="11"/>
  <c r="BJ10" i="11"/>
  <c r="DW10" i="12"/>
  <c r="CI10" i="12"/>
  <c r="AU10" i="12"/>
  <c r="G10" i="12"/>
  <c r="EG10" i="12"/>
  <c r="AZ10" i="12"/>
  <c r="CN10" i="12"/>
  <c r="DR10" i="12"/>
  <c r="AK10" i="12"/>
  <c r="EB10" i="12"/>
  <c r="CD10" i="12"/>
  <c r="DM10" i="12"/>
  <c r="BT10" i="12"/>
  <c r="V10" i="12"/>
  <c r="EQ10" i="12"/>
  <c r="DW13" i="13"/>
  <c r="CI13" i="13"/>
  <c r="AU13" i="13"/>
  <c r="G13" i="13"/>
  <c r="CS13" i="13"/>
  <c r="L13" i="13"/>
  <c r="EL13" i="13"/>
  <c r="AZ13" i="13"/>
  <c r="CD13" i="13"/>
  <c r="DR13" i="13"/>
  <c r="BT13" i="13"/>
  <c r="AA13" i="13"/>
  <c r="BJ13" i="13"/>
  <c r="Q13" i="13"/>
  <c r="DH13" i="13"/>
  <c r="CX13" i="13"/>
  <c r="EQ13" i="13"/>
  <c r="AP13" i="13"/>
  <c r="BO13" i="13"/>
  <c r="DM13" i="13"/>
  <c r="DC13" i="13"/>
  <c r="DR22" i="13"/>
  <c r="CD22" i="13"/>
  <c r="AP22" i="13"/>
  <c r="EQ22" i="13"/>
  <c r="BJ22" i="13"/>
  <c r="CX22" i="13"/>
  <c r="Q22" i="13"/>
  <c r="CN22" i="13"/>
  <c r="G22" i="13"/>
  <c r="EL22" i="13"/>
  <c r="CS22" i="13"/>
  <c r="AU22" i="13"/>
  <c r="DM22" i="13"/>
  <c r="BO22" i="13"/>
  <c r="EV22" i="13"/>
  <c r="AZ22" i="13"/>
  <c r="AK22" i="13"/>
  <c r="CI22" i="13"/>
  <c r="AF22" i="13"/>
  <c r="EB22" i="13"/>
  <c r="BY22" i="13"/>
  <c r="V22" i="13"/>
  <c r="BE22" i="13"/>
  <c r="EL13" i="16"/>
  <c r="BJ32" i="16"/>
  <c r="BJ4" i="5"/>
  <c r="DC4" i="5"/>
  <c r="CS9" i="5"/>
  <c r="DC17" i="5"/>
  <c r="BO32" i="5"/>
  <c r="DM32" i="5"/>
  <c r="G33" i="5"/>
  <c r="G34" i="5"/>
  <c r="R21" i="19"/>
  <c r="S23" i="19"/>
  <c r="T25" i="19"/>
  <c r="Z5" i="6"/>
  <c r="CD5" i="6"/>
  <c r="DR15" i="6"/>
  <c r="BY4" i="5"/>
  <c r="BV36" i="5" s="1"/>
  <c r="BV37" i="5" s="1"/>
  <c r="C18" i="19" s="1"/>
  <c r="DR4" i="5"/>
  <c r="BJ9" i="5"/>
  <c r="DM14" i="5"/>
  <c r="DW16" i="5"/>
  <c r="CI16" i="5"/>
  <c r="AU16" i="5"/>
  <c r="G16" i="5"/>
  <c r="CN16" i="5"/>
  <c r="EB16" i="5"/>
  <c r="BY16" i="5"/>
  <c r="DM16" i="5"/>
  <c r="AF16" i="5"/>
  <c r="AP16" i="5"/>
  <c r="AA17" i="5"/>
  <c r="Q21" i="5"/>
  <c r="DR25" i="5"/>
  <c r="CD25" i="5"/>
  <c r="AP25" i="5"/>
  <c r="AE25" i="5"/>
  <c r="EV25" i="5"/>
  <c r="BO25" i="5"/>
  <c r="V25" i="5"/>
  <c r="CS25" i="5"/>
  <c r="AZ25" i="5"/>
  <c r="F25" i="5"/>
  <c r="EG25" i="5"/>
  <c r="DW25" i="5"/>
  <c r="AK25" i="5"/>
  <c r="EQ25" i="5"/>
  <c r="AE32" i="5"/>
  <c r="CD32" i="5"/>
  <c r="EB32" i="5"/>
  <c r="AA33" i="5"/>
  <c r="AH35" i="6"/>
  <c r="CF35" i="6"/>
  <c r="AP5" i="6"/>
  <c r="CS5" i="6"/>
  <c r="AT14" i="6"/>
  <c r="EV14" i="6"/>
  <c r="DH14" i="6"/>
  <c r="BT14" i="6"/>
  <c r="AF14" i="6"/>
  <c r="DM14" i="6"/>
  <c r="AA14" i="6"/>
  <c r="CX14" i="6"/>
  <c r="BI14" i="6"/>
  <c r="P14" i="6"/>
  <c r="EL14" i="6"/>
  <c r="BE14" i="6"/>
  <c r="L14" i="6"/>
  <c r="EG14" i="6"/>
  <c r="AO14" i="6"/>
  <c r="CI14" i="6"/>
  <c r="AK14" i="6"/>
  <c r="BY14" i="6"/>
  <c r="V14" i="6"/>
  <c r="DR14" i="6"/>
  <c r="U14" i="6"/>
  <c r="U15" i="6"/>
  <c r="V22" i="6"/>
  <c r="CD22" i="6"/>
  <c r="AA24" i="6"/>
  <c r="BY24" i="6"/>
  <c r="V25" i="6"/>
  <c r="U26" i="6"/>
  <c r="EB26" i="6"/>
  <c r="DR29" i="6"/>
  <c r="CD29" i="6"/>
  <c r="AP29" i="6"/>
  <c r="DW29" i="6"/>
  <c r="DH29" i="6"/>
  <c r="AA29" i="6"/>
  <c r="EV29" i="6"/>
  <c r="BO29" i="6"/>
  <c r="Z29" i="6"/>
  <c r="CS29" i="6"/>
  <c r="AZ29" i="6"/>
  <c r="F29" i="6"/>
  <c r="EL29" i="6"/>
  <c r="AY29" i="6"/>
  <c r="EB29" i="6"/>
  <c r="AK29" i="6"/>
  <c r="AJ29" i="6"/>
  <c r="BE29" i="6"/>
  <c r="BT34" i="6"/>
  <c r="DO35" i="7"/>
  <c r="U14" i="7"/>
  <c r="V17" i="7"/>
  <c r="CS19" i="7"/>
  <c r="AK22" i="7"/>
  <c r="EV22" i="7"/>
  <c r="BI24" i="7"/>
  <c r="U24" i="7"/>
  <c r="DW24" i="7"/>
  <c r="CI24" i="7"/>
  <c r="AU24" i="7"/>
  <c r="G24" i="7"/>
  <c r="DH24" i="7"/>
  <c r="Z24" i="7"/>
  <c r="EV24" i="7"/>
  <c r="BO24" i="7"/>
  <c r="V24" i="7"/>
  <c r="EL24" i="7"/>
  <c r="CS24" i="7"/>
  <c r="AZ24" i="7"/>
  <c r="EQ24" i="7"/>
  <c r="AT24" i="7"/>
  <c r="AP24" i="7"/>
  <c r="EB24" i="7"/>
  <c r="CD24" i="7"/>
  <c r="AF24" i="7"/>
  <c r="BJ24" i="7"/>
  <c r="BY27" i="7"/>
  <c r="EB27" i="7"/>
  <c r="AA28" i="7"/>
  <c r="EL28" i="7"/>
  <c r="AY29" i="7"/>
  <c r="EN35" i="8"/>
  <c r="AF9" i="8"/>
  <c r="CX9" i="8"/>
  <c r="BD10" i="8"/>
  <c r="EB10" i="8"/>
  <c r="CN10" i="8"/>
  <c r="AZ10" i="8"/>
  <c r="L10" i="8"/>
  <c r="DR10" i="8"/>
  <c r="CD10" i="8"/>
  <c r="AP10" i="8"/>
  <c r="AA10" i="8"/>
  <c r="DM10" i="8"/>
  <c r="BT10" i="8"/>
  <c r="Z10" i="8"/>
  <c r="EV10" i="8"/>
  <c r="DC10" i="8"/>
  <c r="BJ10" i="8"/>
  <c r="EG10" i="8"/>
  <c r="V10" i="8"/>
  <c r="BO10" i="8"/>
  <c r="G10" i="8"/>
  <c r="BE10" i="8"/>
  <c r="DH10" i="8"/>
  <c r="AK12" i="8"/>
  <c r="CN12" i="8"/>
  <c r="CK36" i="8" s="1"/>
  <c r="CK37" i="8" s="1"/>
  <c r="F21" i="19" s="1"/>
  <c r="EQ12" i="8"/>
  <c r="AP14" i="8"/>
  <c r="EV14" i="8"/>
  <c r="AE16" i="8"/>
  <c r="EQ16" i="8"/>
  <c r="DC16" i="8"/>
  <c r="BO16" i="8"/>
  <c r="AA16" i="8"/>
  <c r="EG16" i="8"/>
  <c r="CS16" i="8"/>
  <c r="BE16" i="8"/>
  <c r="Q16" i="8"/>
  <c r="AJ16" i="8"/>
  <c r="DR16" i="8"/>
  <c r="BY16" i="8"/>
  <c r="AF16" i="8"/>
  <c r="DH16" i="8"/>
  <c r="P16" i="8"/>
  <c r="BJ16" i="8"/>
  <c r="L16" i="8"/>
  <c r="BT16" i="8"/>
  <c r="G16" i="8"/>
  <c r="F16" i="8"/>
  <c r="AZ16" i="8"/>
  <c r="CX16" i="8"/>
  <c r="AY16" i="8"/>
  <c r="L18" i="8"/>
  <c r="EG18" i="8"/>
  <c r="AE23" i="8"/>
  <c r="EQ23" i="8"/>
  <c r="V28" i="8"/>
  <c r="EG31" i="8"/>
  <c r="AH36" i="9"/>
  <c r="AA5" i="9"/>
  <c r="CD5" i="9"/>
  <c r="EG5" i="9"/>
  <c r="AA6" i="9"/>
  <c r="CI6" i="9"/>
  <c r="AA9" i="9"/>
  <c r="BY9" i="9"/>
  <c r="DW21" i="9"/>
  <c r="CD22" i="9"/>
  <c r="DW26" i="9"/>
  <c r="AA34" i="9"/>
  <c r="CK35" i="10"/>
  <c r="O21" i="19" s="1"/>
  <c r="EL10" i="10"/>
  <c r="DW15" i="10"/>
  <c r="CI20" i="10"/>
  <c r="EG25" i="10"/>
  <c r="ED36" i="10" s="1"/>
  <c r="CI26" i="10"/>
  <c r="L5" i="11"/>
  <c r="DO35" i="11"/>
  <c r="AA10" i="11"/>
  <c r="EL10" i="11"/>
  <c r="BL35" i="12"/>
  <c r="BQ35" i="12"/>
  <c r="BY8" i="12"/>
  <c r="AF18" i="12"/>
  <c r="EV18" i="12"/>
  <c r="CI20" i="12"/>
  <c r="CN31" i="12"/>
  <c r="EL7" i="13"/>
  <c r="BY13" i="13"/>
  <c r="EQ21" i="13"/>
  <c r="DC21" i="13"/>
  <c r="BO21" i="13"/>
  <c r="AA21" i="13"/>
  <c r="DM21" i="13"/>
  <c r="AF21" i="13"/>
  <c r="AU21" i="13"/>
  <c r="EB21" i="13"/>
  <c r="CI21" i="13"/>
  <c r="DR21" i="13"/>
  <c r="BY21" i="13"/>
  <c r="L21" i="13"/>
  <c r="BE21" i="13"/>
  <c r="DW21" i="13"/>
  <c r="V21" i="13"/>
  <c r="BT21" i="13"/>
  <c r="G21" i="13"/>
  <c r="EL21" i="13"/>
  <c r="CN21" i="13"/>
  <c r="AK21" i="13"/>
  <c r="Q21" i="13"/>
  <c r="DE35" i="14"/>
  <c r="BB35" i="14"/>
  <c r="EV33" i="14"/>
  <c r="DW20" i="15"/>
  <c r="CI20" i="15"/>
  <c r="AU20" i="15"/>
  <c r="G20" i="15"/>
  <c r="EQ20" i="15"/>
  <c r="BJ20" i="15"/>
  <c r="DM20" i="15"/>
  <c r="BT20" i="15"/>
  <c r="AA20" i="15"/>
  <c r="DH20" i="15"/>
  <c r="AK20" i="15"/>
  <c r="EB20" i="15"/>
  <c r="CD20" i="15"/>
  <c r="AF20" i="15"/>
  <c r="V20" i="15"/>
  <c r="DR20" i="15"/>
  <c r="BO20" i="15"/>
  <c r="L20" i="15"/>
  <c r="CX20" i="15"/>
  <c r="EL20" i="15"/>
  <c r="EG10" i="16"/>
  <c r="CS10" i="16"/>
  <c r="BE10" i="16"/>
  <c r="Q10" i="16"/>
  <c r="AZ10" i="16"/>
  <c r="EQ10" i="16"/>
  <c r="BJ10" i="16"/>
  <c r="EL10" i="16"/>
  <c r="G10" i="16"/>
  <c r="AU10" i="16"/>
  <c r="CN10" i="16"/>
  <c r="DM10" i="16"/>
  <c r="BT10" i="16"/>
  <c r="V10" i="16"/>
  <c r="DH10" i="16"/>
  <c r="BO10" i="16"/>
  <c r="EV10" i="16"/>
  <c r="AK10" i="16"/>
  <c r="EB10" i="16"/>
  <c r="CD10" i="16"/>
  <c r="AA10" i="16"/>
  <c r="DR10" i="16"/>
  <c r="AP10" i="16"/>
  <c r="CX10" i="16"/>
  <c r="DW10" i="16"/>
  <c r="AF4" i="5"/>
  <c r="DH9" i="5"/>
  <c r="BT14" i="5"/>
  <c r="EL16" i="5"/>
  <c r="BY17" i="5"/>
  <c r="DR17" i="5"/>
  <c r="DH18" i="5"/>
  <c r="DM21" i="5"/>
  <c r="CX25" i="5"/>
  <c r="AF32" i="5"/>
  <c r="AE33" i="5"/>
  <c r="S13" i="19"/>
  <c r="AT5" i="6"/>
  <c r="EV9" i="6"/>
  <c r="DH9" i="6"/>
  <c r="BT9" i="6"/>
  <c r="AF9" i="6"/>
  <c r="BI9" i="6"/>
  <c r="U9" i="6"/>
  <c r="EB9" i="6"/>
  <c r="AT9" i="6"/>
  <c r="BY9" i="6"/>
  <c r="AE9" i="6"/>
  <c r="DM9" i="6"/>
  <c r="AA9" i="6"/>
  <c r="DR9" i="6"/>
  <c r="Q9" i="6"/>
  <c r="P9" i="6"/>
  <c r="BE9" i="6"/>
  <c r="F9" i="6"/>
  <c r="CX9" i="6"/>
  <c r="BD9" i="6"/>
  <c r="V15" i="6"/>
  <c r="CD26" i="6"/>
  <c r="BI29" i="6"/>
  <c r="CA35" i="7"/>
  <c r="Z17" i="7"/>
  <c r="CI17" i="7"/>
  <c r="AA18" i="7"/>
  <c r="CD18" i="7"/>
  <c r="AK19" i="7"/>
  <c r="EV19" i="7"/>
  <c r="AO22" i="7"/>
  <c r="CX22" i="7"/>
  <c r="EG23" i="7"/>
  <c r="CS23" i="7"/>
  <c r="BE23" i="7"/>
  <c r="Q23" i="7"/>
  <c r="AT23" i="7"/>
  <c r="CN23" i="7"/>
  <c r="EB23" i="7"/>
  <c r="AU23" i="7"/>
  <c r="DR23" i="7"/>
  <c r="BY23" i="7"/>
  <c r="AF23" i="7"/>
  <c r="EV23" i="7"/>
  <c r="CX23" i="7"/>
  <c r="AZ23" i="7"/>
  <c r="CI23" i="7"/>
  <c r="AK23" i="7"/>
  <c r="DC23" i="7"/>
  <c r="CN28" i="7"/>
  <c r="AZ29" i="7"/>
  <c r="DR33" i="7"/>
  <c r="CD33" i="7"/>
  <c r="AP33" i="7"/>
  <c r="AE33" i="7"/>
  <c r="BY33" i="7"/>
  <c r="AJ33" i="7"/>
  <c r="DM33" i="7"/>
  <c r="AF33" i="7"/>
  <c r="DC33" i="7"/>
  <c r="U33" i="7"/>
  <c r="EQ33" i="7"/>
  <c r="BJ33" i="7"/>
  <c r="Q33" i="7"/>
  <c r="EB33" i="7"/>
  <c r="AA33" i="7"/>
  <c r="Z33" i="7"/>
  <c r="BO33" i="7"/>
  <c r="DH33" i="7"/>
  <c r="G33" i="7"/>
  <c r="DW7" i="8"/>
  <c r="CI7" i="8"/>
  <c r="AU7" i="8"/>
  <c r="AR36" i="8" s="1"/>
  <c r="G7" i="8"/>
  <c r="AT7" i="8"/>
  <c r="EV7" i="8"/>
  <c r="BO7" i="8"/>
  <c r="V7" i="8"/>
  <c r="DC7" i="8"/>
  <c r="U7" i="8"/>
  <c r="CS7" i="8"/>
  <c r="EG7" i="8"/>
  <c r="AZ7" i="8"/>
  <c r="BT7" i="8"/>
  <c r="Q7" i="8"/>
  <c r="DM7" i="8"/>
  <c r="P7" i="8"/>
  <c r="N35" i="8" s="1"/>
  <c r="N37" i="8" s="1"/>
  <c r="F6" i="19" s="1"/>
  <c r="BE7" i="8"/>
  <c r="CX7" i="8"/>
  <c r="CU36" i="8" s="1"/>
  <c r="CU37" i="8" s="1"/>
  <c r="F23" i="19" s="1"/>
  <c r="AT14" i="8"/>
  <c r="EQ15" i="8"/>
  <c r="DC15" i="8"/>
  <c r="BO15" i="8"/>
  <c r="AA15" i="8"/>
  <c r="EL15" i="8"/>
  <c r="BE15" i="8"/>
  <c r="CS15" i="8"/>
  <c r="L15" i="8"/>
  <c r="CI15" i="8"/>
  <c r="DW15" i="8"/>
  <c r="AP15" i="8"/>
  <c r="DM15" i="8"/>
  <c r="Q15" i="8"/>
  <c r="EV15" i="8"/>
  <c r="CX15" i="8"/>
  <c r="AZ15" i="8"/>
  <c r="AU15" i="8"/>
  <c r="EB16" i="8"/>
  <c r="U18" i="8"/>
  <c r="CI18" i="8"/>
  <c r="AF23" i="8"/>
  <c r="EB27" i="8"/>
  <c r="BY28" i="8"/>
  <c r="EL33" i="8"/>
  <c r="EI35" i="9"/>
  <c r="CF35" i="9"/>
  <c r="V21" i="9"/>
  <c r="L26" i="9"/>
  <c r="CI34" i="9"/>
  <c r="EG6" i="10"/>
  <c r="CS6" i="10"/>
  <c r="BE6" i="10"/>
  <c r="BB36" i="10" s="1"/>
  <c r="Q6" i="10"/>
  <c r="DH6" i="10"/>
  <c r="AA6" i="10"/>
  <c r="EV6" i="10"/>
  <c r="BO6" i="10"/>
  <c r="EL6" i="10"/>
  <c r="L6" i="10"/>
  <c r="CX6" i="10"/>
  <c r="G6" i="10"/>
  <c r="D36" i="10" s="1"/>
  <c r="EQ6" i="10"/>
  <c r="AZ6" i="10"/>
  <c r="EB6" i="10"/>
  <c r="CI6" i="10"/>
  <c r="AP6" i="10"/>
  <c r="AK6" i="10"/>
  <c r="V6" i="10"/>
  <c r="S36" i="10" s="1"/>
  <c r="S37" i="10" s="1"/>
  <c r="H7" i="19" s="1"/>
  <c r="DR6" i="10"/>
  <c r="BT6" i="10"/>
  <c r="CD25" i="10"/>
  <c r="L31" i="10"/>
  <c r="DT35" i="12"/>
  <c r="Q10" i="12"/>
  <c r="BO10" i="12"/>
  <c r="CS18" i="12"/>
  <c r="AK31" i="12"/>
  <c r="BL35" i="13"/>
  <c r="V13" i="13"/>
  <c r="BJ21" i="13"/>
  <c r="DY35" i="15"/>
  <c r="BO9" i="5"/>
  <c r="L15" i="5"/>
  <c r="CS16" i="5"/>
  <c r="AT26" i="5"/>
  <c r="F26" i="5"/>
  <c r="EV26" i="5"/>
  <c r="DH26" i="5"/>
  <c r="BT26" i="5"/>
  <c r="AF26" i="5"/>
  <c r="DW26" i="5"/>
  <c r="AO26" i="5"/>
  <c r="BY26" i="5"/>
  <c r="AA26" i="5"/>
  <c r="DM26" i="5"/>
  <c r="Z26" i="5"/>
  <c r="BJ26" i="5"/>
  <c r="P26" i="5"/>
  <c r="EQ26" i="5"/>
  <c r="CX26" i="5"/>
  <c r="BI26" i="5"/>
  <c r="L26" i="5"/>
  <c r="BE26" i="5"/>
  <c r="AJ32" i="5"/>
  <c r="AF33" i="5"/>
  <c r="CI33" i="5"/>
  <c r="AP34" i="5"/>
  <c r="R28" i="19"/>
  <c r="S30" i="19"/>
  <c r="T16" i="19"/>
  <c r="DW14" i="6"/>
  <c r="AF22" i="6"/>
  <c r="CI22" i="6"/>
  <c r="EQ28" i="6"/>
  <c r="DC28" i="6"/>
  <c r="BO28" i="6"/>
  <c r="AA28" i="6"/>
  <c r="BT28" i="6"/>
  <c r="EL28" i="6"/>
  <c r="BE28" i="6"/>
  <c r="P28" i="6"/>
  <c r="CS28" i="6"/>
  <c r="BD28" i="6"/>
  <c r="L28" i="6"/>
  <c r="DM28" i="6"/>
  <c r="U28" i="6"/>
  <c r="Q28" i="6"/>
  <c r="CX28" i="6"/>
  <c r="AY28" i="6"/>
  <c r="AU28" i="6"/>
  <c r="DH28" i="6"/>
  <c r="BJ29" i="6"/>
  <c r="AA34" i="6"/>
  <c r="CX19" i="7"/>
  <c r="AK28" i="7"/>
  <c r="BD29" i="7"/>
  <c r="AT9" i="8"/>
  <c r="Z11" i="8"/>
  <c r="AP12" i="8"/>
  <c r="EV12" i="8"/>
  <c r="AU14" i="8"/>
  <c r="DC14" i="8"/>
  <c r="CX23" i="8"/>
  <c r="CD27" i="8"/>
  <c r="AA28" i="8"/>
  <c r="AF31" i="8"/>
  <c r="AK33" i="8"/>
  <c r="AF9" i="9"/>
  <c r="DW11" i="9"/>
  <c r="CI11" i="9"/>
  <c r="AU11" i="9"/>
  <c r="G11" i="9"/>
  <c r="EG11" i="9"/>
  <c r="AZ11" i="9"/>
  <c r="CN11" i="9"/>
  <c r="DR11" i="9"/>
  <c r="AK11" i="9"/>
  <c r="BY11" i="9"/>
  <c r="CX11" i="9"/>
  <c r="EQ11" i="9"/>
  <c r="EB11" i="9"/>
  <c r="CD11" i="9"/>
  <c r="AF11" i="9"/>
  <c r="BY20" i="9"/>
  <c r="EL13" i="10"/>
  <c r="CX13" i="10"/>
  <c r="BJ13" i="10"/>
  <c r="V13" i="10"/>
  <c r="BY13" i="10"/>
  <c r="DM13" i="10"/>
  <c r="AF13" i="10"/>
  <c r="DC13" i="10"/>
  <c r="EV13" i="10"/>
  <c r="BE13" i="10"/>
  <c r="L13" i="10"/>
  <c r="CN13" i="10"/>
  <c r="AU13" i="10"/>
  <c r="EG13" i="10"/>
  <c r="DR13" i="10"/>
  <c r="Q13" i="10"/>
  <c r="BO13" i="10"/>
  <c r="AZ13" i="10"/>
  <c r="Q33" i="10"/>
  <c r="AK4" i="5"/>
  <c r="CF35" i="5"/>
  <c r="AP8" i="5"/>
  <c r="V9" i="5"/>
  <c r="DW11" i="5"/>
  <c r="CI11" i="5"/>
  <c r="AU11" i="5"/>
  <c r="G11" i="5"/>
  <c r="BT11" i="5"/>
  <c r="DH11" i="5"/>
  <c r="AA11" i="5"/>
  <c r="CX11" i="5"/>
  <c r="Q11" i="5"/>
  <c r="EL11" i="5"/>
  <c r="BE11" i="5"/>
  <c r="BY14" i="5"/>
  <c r="DW14" i="5"/>
  <c r="BO15" i="5"/>
  <c r="AZ16" i="5"/>
  <c r="EQ16" i="5"/>
  <c r="CD17" i="5"/>
  <c r="DW17" i="5"/>
  <c r="V18" i="5"/>
  <c r="BY21" i="5"/>
  <c r="DR21" i="5"/>
  <c r="G25" i="5"/>
  <c r="BI25" i="5"/>
  <c r="DC25" i="5"/>
  <c r="AK32" i="5"/>
  <c r="CN32" i="5"/>
  <c r="AO33" i="5"/>
  <c r="AT34" i="5"/>
  <c r="R13" i="19"/>
  <c r="R29" i="19"/>
  <c r="S15" i="19"/>
  <c r="S31" i="19"/>
  <c r="T33" i="19"/>
  <c r="DW4" i="6"/>
  <c r="CI4" i="6"/>
  <c r="AU4" i="6"/>
  <c r="G4" i="6"/>
  <c r="EB4" i="6"/>
  <c r="DM4" i="6"/>
  <c r="AF4" i="6"/>
  <c r="EL4" i="6"/>
  <c r="AZ4" i="6"/>
  <c r="CN4" i="6"/>
  <c r="AK4" i="6"/>
  <c r="DR4" i="6"/>
  <c r="DO36" i="6" s="1"/>
  <c r="BY4" i="6"/>
  <c r="CS4" i="6"/>
  <c r="ES35" i="6"/>
  <c r="BD5" i="6"/>
  <c r="AE8" i="6"/>
  <c r="EG8" i="6"/>
  <c r="ED36" i="6" s="1"/>
  <c r="ED37" i="6" s="1"/>
  <c r="D30" i="19" s="1"/>
  <c r="CS8" i="6"/>
  <c r="BE8" i="6"/>
  <c r="Q8" i="6"/>
  <c r="BT8" i="6"/>
  <c r="AA8" i="6"/>
  <c r="CX8" i="6"/>
  <c r="BI8" i="6"/>
  <c r="L8" i="6"/>
  <c r="EB8" i="6"/>
  <c r="CI8" i="6"/>
  <c r="AO8" i="6"/>
  <c r="AK8" i="6"/>
  <c r="V8" i="6"/>
  <c r="DM8" i="6"/>
  <c r="U8" i="6"/>
  <c r="BJ8" i="6"/>
  <c r="DH8" i="6"/>
  <c r="AO15" i="6"/>
  <c r="CS15" i="6"/>
  <c r="EQ15" i="6"/>
  <c r="BI20" i="6"/>
  <c r="U20" i="6"/>
  <c r="DW20" i="6"/>
  <c r="CI20" i="6"/>
  <c r="AU20" i="6"/>
  <c r="G20" i="6"/>
  <c r="DR20" i="6"/>
  <c r="EV20" i="6"/>
  <c r="BO20" i="6"/>
  <c r="V20" i="6"/>
  <c r="DC20" i="6"/>
  <c r="Q20" i="6"/>
  <c r="EL20" i="6"/>
  <c r="AT20" i="6"/>
  <c r="CN20" i="6"/>
  <c r="AP20" i="6"/>
  <c r="AF20" i="6"/>
  <c r="BY20" i="6"/>
  <c r="AE20" i="6"/>
  <c r="BJ20" i="6"/>
  <c r="AK24" i="6"/>
  <c r="CD25" i="6"/>
  <c r="BJ28" i="6"/>
  <c r="G29" i="6"/>
  <c r="AY8" i="7"/>
  <c r="AP14" i="7"/>
  <c r="EV14" i="7"/>
  <c r="ES36" i="7" s="1"/>
  <c r="AO17" i="7"/>
  <c r="CI18" i="7"/>
  <c r="EL18" i="7"/>
  <c r="AY19" i="7"/>
  <c r="AZ22" i="7"/>
  <c r="BI23" i="7"/>
  <c r="DH23" i="7"/>
  <c r="BT24" i="7"/>
  <c r="DR24" i="7"/>
  <c r="CI27" i="7"/>
  <c r="DR29" i="7"/>
  <c r="P30" i="7"/>
  <c r="EG30" i="7"/>
  <c r="EQ32" i="7"/>
  <c r="DC32" i="7"/>
  <c r="BO32" i="7"/>
  <c r="AA32" i="7"/>
  <c r="BJ32" i="7"/>
  <c r="CX32" i="7"/>
  <c r="Q32" i="7"/>
  <c r="CN32" i="7"/>
  <c r="G32" i="7"/>
  <c r="EB32" i="7"/>
  <c r="AU32" i="7"/>
  <c r="EG32" i="7"/>
  <c r="CI32" i="7"/>
  <c r="AK32" i="7"/>
  <c r="DR32" i="7"/>
  <c r="BT32" i="7"/>
  <c r="V32" i="7"/>
  <c r="AZ32" i="7"/>
  <c r="Q34" i="7"/>
  <c r="DR5" i="8"/>
  <c r="CD5" i="8"/>
  <c r="AP5" i="8"/>
  <c r="AO5" i="8"/>
  <c r="AE5" i="8"/>
  <c r="DH5" i="8"/>
  <c r="V5" i="8"/>
  <c r="EV5" i="8"/>
  <c r="BO5" i="8"/>
  <c r="U5" i="8"/>
  <c r="EL5" i="8"/>
  <c r="BE5" i="8"/>
  <c r="K5" i="8"/>
  <c r="CS5" i="8"/>
  <c r="BD5" i="8"/>
  <c r="G5" i="8"/>
  <c r="AT5" i="8"/>
  <c r="AR35" i="8" s="1"/>
  <c r="AR37" i="8" s="1"/>
  <c r="F12" i="19" s="1"/>
  <c r="CN5" i="8"/>
  <c r="AK5" i="8"/>
  <c r="Z5" i="8"/>
  <c r="DW5" i="8"/>
  <c r="BY5" i="8"/>
  <c r="Q5" i="8"/>
  <c r="BT5" i="8"/>
  <c r="DR7" i="8"/>
  <c r="AU9" i="8"/>
  <c r="F10" i="8"/>
  <c r="AA11" i="8"/>
  <c r="EL11" i="8"/>
  <c r="AT12" i="8"/>
  <c r="CX12" i="8"/>
  <c r="K16" i="8"/>
  <c r="AA18" i="8"/>
  <c r="CN18" i="8"/>
  <c r="AY23" i="8"/>
  <c r="CN5" i="9"/>
  <c r="CS6" i="9"/>
  <c r="BO13" i="9"/>
  <c r="DR13" i="9"/>
  <c r="BO14" i="9"/>
  <c r="EB20" i="9"/>
  <c r="AA21" i="9"/>
  <c r="EG21" i="9"/>
  <c r="EQ22" i="9"/>
  <c r="EV34" i="9"/>
  <c r="AU5" i="10"/>
  <c r="DO35" i="10"/>
  <c r="EG9" i="10"/>
  <c r="CS10" i="10"/>
  <c r="DH13" i="10"/>
  <c r="V15" i="10"/>
  <c r="EG15" i="10"/>
  <c r="AK16" i="10"/>
  <c r="CN16" i="10"/>
  <c r="AP20" i="10"/>
  <c r="CS20" i="10"/>
  <c r="DR21" i="10"/>
  <c r="CD21" i="10"/>
  <c r="AP21" i="10"/>
  <c r="EB21" i="10"/>
  <c r="AU21" i="10"/>
  <c r="CI21" i="10"/>
  <c r="DM21" i="10"/>
  <c r="AF21" i="10"/>
  <c r="CS21" i="10"/>
  <c r="AZ21" i="10"/>
  <c r="EL21" i="10"/>
  <c r="DW21" i="10"/>
  <c r="BY21" i="10"/>
  <c r="DH21" i="10"/>
  <c r="BJ21" i="10"/>
  <c r="L21" i="10"/>
  <c r="CX21" i="10"/>
  <c r="EV21" i="10"/>
  <c r="AF25" i="10"/>
  <c r="CI25" i="10"/>
  <c r="BT31" i="10"/>
  <c r="EB33" i="10"/>
  <c r="N35" i="11"/>
  <c r="V5" i="11"/>
  <c r="CD5" i="11"/>
  <c r="EV10" i="11"/>
  <c r="EG26" i="11"/>
  <c r="CS26" i="11"/>
  <c r="BE26" i="11"/>
  <c r="Q26" i="11"/>
  <c r="CN26" i="11"/>
  <c r="G26" i="11"/>
  <c r="EB26" i="11"/>
  <c r="AU26" i="11"/>
  <c r="DR26" i="11"/>
  <c r="AK26" i="11"/>
  <c r="CD26" i="11"/>
  <c r="DW26" i="11"/>
  <c r="AF26" i="11"/>
  <c r="V26" i="11"/>
  <c r="DH26" i="11"/>
  <c r="BO26" i="11"/>
  <c r="BJ26" i="11"/>
  <c r="EV26" i="11"/>
  <c r="AP26" i="11"/>
  <c r="Q4" i="12"/>
  <c r="DY35" i="12"/>
  <c r="CI8" i="12"/>
  <c r="CF36" i="12" s="1"/>
  <c r="AK20" i="12"/>
  <c r="Q23" i="12"/>
  <c r="BT23" i="12"/>
  <c r="EL27" i="12"/>
  <c r="AP31" i="12"/>
  <c r="G32" i="12"/>
  <c r="BB35" i="13"/>
  <c r="CN7" i="13"/>
  <c r="CK36" i="13" s="1"/>
  <c r="CK37" i="13" s="1"/>
  <c r="K21" i="19" s="1"/>
  <c r="EV13" i="13"/>
  <c r="BY17" i="13"/>
  <c r="CS20" i="13"/>
  <c r="AA22" i="13"/>
  <c r="EV23" i="13"/>
  <c r="DH23" i="13"/>
  <c r="BT23" i="13"/>
  <c r="AF23" i="13"/>
  <c r="EB23" i="13"/>
  <c r="AU23" i="13"/>
  <c r="BY23" i="13"/>
  <c r="DM23" i="13"/>
  <c r="AA23" i="13"/>
  <c r="BJ23" i="13"/>
  <c r="Q23" i="13"/>
  <c r="DW23" i="13"/>
  <c r="CD23" i="13"/>
  <c r="BO23" i="13"/>
  <c r="BE23" i="13"/>
  <c r="G23" i="13"/>
  <c r="DC23" i="13"/>
  <c r="EQ23" i="13"/>
  <c r="CS23" i="13"/>
  <c r="AP23" i="13"/>
  <c r="CX23" i="13"/>
  <c r="CN23" i="13"/>
  <c r="AZ23" i="13"/>
  <c r="DR23" i="13"/>
  <c r="BY24" i="13"/>
  <c r="EL24" i="13"/>
  <c r="EB31" i="13"/>
  <c r="CN31" i="13"/>
  <c r="AZ31" i="13"/>
  <c r="L31" i="13"/>
  <c r="DC31" i="13"/>
  <c r="V31" i="13"/>
  <c r="EQ31" i="13"/>
  <c r="BJ31" i="13"/>
  <c r="CX31" i="13"/>
  <c r="Q31" i="13"/>
  <c r="CD31" i="13"/>
  <c r="AK31" i="13"/>
  <c r="DW31" i="13"/>
  <c r="DM31" i="13"/>
  <c r="DH31" i="13"/>
  <c r="G31" i="13"/>
  <c r="BE31" i="13"/>
  <c r="EV31" i="13"/>
  <c r="AP31" i="13"/>
  <c r="DR31" i="13"/>
  <c r="BO31" i="13"/>
  <c r="AU31" i="13"/>
  <c r="X35" i="14"/>
  <c r="CI4" i="14"/>
  <c r="EG5" i="14"/>
  <c r="CS5" i="14"/>
  <c r="BE5" i="14"/>
  <c r="Q5" i="14"/>
  <c r="EQ5" i="14"/>
  <c r="BJ5" i="14"/>
  <c r="CX5" i="14"/>
  <c r="EL5" i="14"/>
  <c r="L5" i="14"/>
  <c r="DM5" i="14"/>
  <c r="BT5" i="14"/>
  <c r="AA5" i="14"/>
  <c r="DC5" i="14"/>
  <c r="EV5" i="14"/>
  <c r="AU5" i="14"/>
  <c r="AK5" i="14"/>
  <c r="AF5" i="14"/>
  <c r="EB5" i="14"/>
  <c r="CD5" i="14"/>
  <c r="DR5" i="14"/>
  <c r="BO5" i="14"/>
  <c r="V5" i="14"/>
  <c r="BY5" i="14"/>
  <c r="CD11" i="14"/>
  <c r="Q18" i="14"/>
  <c r="DH22" i="14"/>
  <c r="AF33" i="14"/>
  <c r="CS33" i="14"/>
  <c r="ED35" i="15"/>
  <c r="AP13" i="16"/>
  <c r="AP22" i="16"/>
  <c r="BI5" i="6"/>
  <c r="CN17" i="5"/>
  <c r="EV24" i="6"/>
  <c r="CX33" i="8"/>
  <c r="CZ35" i="9"/>
  <c r="EQ4" i="5"/>
  <c r="AZ17" i="5"/>
  <c r="BI32" i="5"/>
  <c r="U32" i="5"/>
  <c r="DW32" i="5"/>
  <c r="CI32" i="5"/>
  <c r="AU32" i="5"/>
  <c r="G32" i="5"/>
  <c r="EG32" i="5"/>
  <c r="BT32" i="5"/>
  <c r="AA32" i="5"/>
  <c r="DH32" i="5"/>
  <c r="Z32" i="5"/>
  <c r="EQ32" i="5"/>
  <c r="CX32" i="5"/>
  <c r="BE32" i="5"/>
  <c r="L32" i="5"/>
  <c r="BD32" i="5"/>
  <c r="K32" i="5"/>
  <c r="BJ32" i="5"/>
  <c r="BE33" i="5"/>
  <c r="BO34" i="5"/>
  <c r="T7" i="19"/>
  <c r="CS25" i="6"/>
  <c r="BI17" i="7"/>
  <c r="BT19" i="7"/>
  <c r="BJ28" i="7"/>
  <c r="DM22" i="9"/>
  <c r="DR25" i="9"/>
  <c r="CD25" i="9"/>
  <c r="AP25" i="9"/>
  <c r="DM25" i="9"/>
  <c r="AF25" i="9"/>
  <c r="BT25" i="9"/>
  <c r="EQ25" i="9"/>
  <c r="BJ25" i="9"/>
  <c r="CX25" i="9"/>
  <c r="Q25" i="9"/>
  <c r="EB25" i="9"/>
  <c r="BO25" i="9"/>
  <c r="DH25" i="9"/>
  <c r="DJ35" i="10"/>
  <c r="G31" i="12"/>
  <c r="BO22" i="14"/>
  <c r="DR32" i="16"/>
  <c r="CD32" i="16"/>
  <c r="AP32" i="16"/>
  <c r="EL32" i="16"/>
  <c r="BE32" i="16"/>
  <c r="EV32" i="16"/>
  <c r="DC32" i="16"/>
  <c r="G32" i="16"/>
  <c r="AK32" i="16"/>
  <c r="EB32" i="16"/>
  <c r="CI32" i="16"/>
  <c r="DW32" i="16"/>
  <c r="AF32" i="16"/>
  <c r="DM32" i="16"/>
  <c r="BT32" i="16"/>
  <c r="CX32" i="16"/>
  <c r="AZ32" i="16"/>
  <c r="EQ32" i="16"/>
  <c r="CN32" i="16"/>
  <c r="DH32" i="16"/>
  <c r="CS32" i="16"/>
  <c r="BY32" i="16"/>
  <c r="V32" i="16"/>
  <c r="AU32" i="16"/>
  <c r="AA32" i="16"/>
  <c r="EV17" i="5"/>
  <c r="U5" i="6"/>
  <c r="BJ17" i="7"/>
  <c r="L19" i="7"/>
  <c r="F12" i="8"/>
  <c r="D35" i="8" s="1"/>
  <c r="DH9" i="9"/>
  <c r="DH8" i="12"/>
  <c r="DR20" i="12"/>
  <c r="EL18" i="13"/>
  <c r="DT35" i="5"/>
  <c r="Q9" i="5"/>
  <c r="BD25" i="5"/>
  <c r="BB35" i="5" s="1"/>
  <c r="EB33" i="5"/>
  <c r="AK34" i="5"/>
  <c r="EL34" i="5"/>
  <c r="EN35" i="6"/>
  <c r="EV5" i="6"/>
  <c r="BO14" i="6"/>
  <c r="EL15" i="6"/>
  <c r="EG22" i="6"/>
  <c r="Z26" i="6"/>
  <c r="DC29" i="6"/>
  <c r="EB34" i="6"/>
  <c r="AF8" i="7"/>
  <c r="EQ14" i="7"/>
  <c r="EG18" i="7"/>
  <c r="DM24" i="7"/>
  <c r="Q27" i="7"/>
  <c r="BI33" i="7"/>
  <c r="ES35" i="8"/>
  <c r="AP9" i="8"/>
  <c r="CI31" i="8"/>
  <c r="CI33" i="8"/>
  <c r="CK35" i="9"/>
  <c r="AC35" i="9"/>
  <c r="EG9" i="9"/>
  <c r="DW20" i="9"/>
  <c r="AA22" i="9"/>
  <c r="EQ34" i="9"/>
  <c r="AM35" i="10"/>
  <c r="Q15" i="10"/>
  <c r="BT15" i="10"/>
  <c r="CI16" i="10"/>
  <c r="EG16" i="10"/>
  <c r="AK20" i="10"/>
  <c r="AA25" i="10"/>
  <c r="I35" i="11"/>
  <c r="I35" i="12"/>
  <c r="EG8" i="12"/>
  <c r="EV19" i="12"/>
  <c r="DH19" i="12"/>
  <c r="BT19" i="12"/>
  <c r="AF19" i="12"/>
  <c r="CX19" i="12"/>
  <c r="Q19" i="12"/>
  <c r="EL19" i="12"/>
  <c r="BE19" i="12"/>
  <c r="EB19" i="12"/>
  <c r="AU19" i="12"/>
  <c r="DC19" i="12"/>
  <c r="BJ19" i="12"/>
  <c r="L19" i="12"/>
  <c r="EG19" i="12"/>
  <c r="CI19" i="12"/>
  <c r="AK19" i="12"/>
  <c r="BY19" i="12"/>
  <c r="DR19" i="12"/>
  <c r="V19" i="12"/>
  <c r="EQ19" i="12"/>
  <c r="AA19" i="12"/>
  <c r="DW19" i="12"/>
  <c r="BO19" i="12"/>
  <c r="G19" i="12"/>
  <c r="CN20" i="13"/>
  <c r="CA35" i="14"/>
  <c r="BE20" i="15"/>
  <c r="AK22" i="16"/>
  <c r="CX22" i="16"/>
  <c r="D39" i="20"/>
  <c r="C39" i="20"/>
  <c r="N39" i="20"/>
  <c r="M39" i="20"/>
  <c r="L39" i="20"/>
  <c r="K39" i="20"/>
  <c r="I39" i="20"/>
  <c r="H39" i="20"/>
  <c r="G39" i="20"/>
  <c r="F39" i="20"/>
  <c r="J39" i="20"/>
  <c r="E39" i="20"/>
  <c r="CD4" i="5"/>
  <c r="DW4" i="5"/>
  <c r="AA14" i="5"/>
  <c r="DH15" i="5"/>
  <c r="AF17" i="5"/>
  <c r="BO18" i="5"/>
  <c r="V21" i="5"/>
  <c r="AO24" i="5"/>
  <c r="EQ24" i="5"/>
  <c r="DC24" i="5"/>
  <c r="BO24" i="5"/>
  <c r="AA24" i="5"/>
  <c r="EG24" i="5"/>
  <c r="AZ24" i="5"/>
  <c r="G24" i="5"/>
  <c r="DM24" i="5"/>
  <c r="Z24" i="5"/>
  <c r="BT24" i="5"/>
  <c r="V24" i="5"/>
  <c r="CX24" i="5"/>
  <c r="BI24" i="5"/>
  <c r="L24" i="5"/>
  <c r="BE24" i="5"/>
  <c r="K24" i="5"/>
  <c r="DH24" i="5"/>
  <c r="BE25" i="5"/>
  <c r="CS34" i="5"/>
  <c r="S14" i="19"/>
  <c r="T32" i="19"/>
  <c r="AZ5" i="6"/>
  <c r="BO9" i="6"/>
  <c r="AK15" i="6"/>
  <c r="EB17" i="6"/>
  <c r="CN17" i="6"/>
  <c r="AZ17" i="6"/>
  <c r="L17" i="6"/>
  <c r="AO17" i="6"/>
  <c r="DM17" i="6"/>
  <c r="AE17" i="6"/>
  <c r="EQ17" i="6"/>
  <c r="BJ17" i="6"/>
  <c r="Q17" i="6"/>
  <c r="CX17" i="6"/>
  <c r="BI17" i="6"/>
  <c r="P17" i="6"/>
  <c r="CD17" i="6"/>
  <c r="AF17" i="6"/>
  <c r="BT17" i="6"/>
  <c r="U17" i="6"/>
  <c r="K17" i="6"/>
  <c r="AA25" i="6"/>
  <c r="EB25" i="6"/>
  <c r="AA26" i="6"/>
  <c r="EG26" i="6"/>
  <c r="BI28" i="6"/>
  <c r="CX8" i="7"/>
  <c r="CS14" i="7"/>
  <c r="EL17" i="7"/>
  <c r="AT22" i="7"/>
  <c r="U27" i="7"/>
  <c r="EG27" i="7"/>
  <c r="EQ28" i="7"/>
  <c r="BG35" i="8"/>
  <c r="BJ7" i="8"/>
  <c r="DC9" i="8"/>
  <c r="CD16" i="8"/>
  <c r="Z18" i="8"/>
  <c r="AP23" i="8"/>
  <c r="EV23" i="8"/>
  <c r="EL28" i="8"/>
  <c r="AR35" i="9"/>
  <c r="EL5" i="9"/>
  <c r="EI36" i="9" s="1"/>
  <c r="CD21" i="9"/>
  <c r="CI22" i="9"/>
  <c r="V25" i="9"/>
  <c r="DW25" i="9"/>
  <c r="EB26" i="9"/>
  <c r="BJ6" i="10"/>
  <c r="DM6" i="10"/>
  <c r="EV20" i="10"/>
  <c r="AP26" i="10"/>
  <c r="DW31" i="10"/>
  <c r="EG5" i="11"/>
  <c r="CN10" i="11"/>
  <c r="V8" i="12"/>
  <c r="CS31" i="12"/>
  <c r="DJ35" i="13"/>
  <c r="DT35" i="13"/>
  <c r="EQ7" i="13"/>
  <c r="AK20" i="13"/>
  <c r="AZ34" i="13"/>
  <c r="EV4" i="14"/>
  <c r="EG11" i="14"/>
  <c r="EG16" i="14"/>
  <c r="CS16" i="14"/>
  <c r="BE16" i="14"/>
  <c r="Q16" i="14"/>
  <c r="BT16" i="14"/>
  <c r="DH16" i="14"/>
  <c r="AA16" i="14"/>
  <c r="CX16" i="14"/>
  <c r="BY16" i="14"/>
  <c r="AF16" i="14"/>
  <c r="DR16" i="14"/>
  <c r="BJ16" i="14"/>
  <c r="BO16" i="14"/>
  <c r="DC16" i="14"/>
  <c r="AZ16" i="14"/>
  <c r="EV16" i="14"/>
  <c r="AP16" i="14"/>
  <c r="EQ16" i="14"/>
  <c r="CN16" i="14"/>
  <c r="AK16" i="14"/>
  <c r="CD16" i="14"/>
  <c r="V16" i="14"/>
  <c r="BY18" i="14"/>
  <c r="CP35" i="15"/>
  <c r="AM35" i="15"/>
  <c r="AM35" i="16"/>
  <c r="CD23" i="16"/>
  <c r="CI4" i="5"/>
  <c r="EB4" i="5"/>
  <c r="DE35" i="5"/>
  <c r="EQ8" i="5"/>
  <c r="DC8" i="5"/>
  <c r="BO8" i="5"/>
  <c r="AA8" i="5"/>
  <c r="BY8" i="5"/>
  <c r="DM8" i="5"/>
  <c r="AF8" i="5"/>
  <c r="BJ8" i="5"/>
  <c r="CX8" i="5"/>
  <c r="Q8" i="5"/>
  <c r="CN8" i="5"/>
  <c r="AF14" i="5"/>
  <c r="CX16" i="5"/>
  <c r="AK17" i="5"/>
  <c r="DR18" i="5"/>
  <c r="EG20" i="5"/>
  <c r="CS20" i="5"/>
  <c r="BE20" i="5"/>
  <c r="Q20" i="5"/>
  <c r="CX20" i="5"/>
  <c r="EL20" i="5"/>
  <c r="L20" i="5"/>
  <c r="CI20" i="5"/>
  <c r="DW20" i="5"/>
  <c r="AP20" i="5"/>
  <c r="K25" i="5"/>
  <c r="BJ25" i="5"/>
  <c r="BO26" i="5"/>
  <c r="BD30" i="5"/>
  <c r="P30" i="5"/>
  <c r="DR30" i="5"/>
  <c r="CD30" i="5"/>
  <c r="AP30" i="5"/>
  <c r="EL30" i="5"/>
  <c r="BE30" i="5"/>
  <c r="K30" i="5"/>
  <c r="DH30" i="5"/>
  <c r="V30" i="5"/>
  <c r="BO30" i="5"/>
  <c r="U30" i="5"/>
  <c r="AZ30" i="5"/>
  <c r="F30" i="5"/>
  <c r="CS30" i="5"/>
  <c r="BI30" i="5"/>
  <c r="DC30" i="5"/>
  <c r="AO32" i="5"/>
  <c r="AP33" i="5"/>
  <c r="AU34" i="5"/>
  <c r="CX34" i="5"/>
  <c r="EV34" i="5"/>
  <c r="CU35" i="6"/>
  <c r="BE5" i="6"/>
  <c r="G9" i="6"/>
  <c r="DW9" i="6"/>
  <c r="G14" i="6"/>
  <c r="EB14" i="6"/>
  <c r="AP15" i="6"/>
  <c r="DR17" i="6"/>
  <c r="AK22" i="6"/>
  <c r="EQ22" i="6"/>
  <c r="CN24" i="6"/>
  <c r="EG25" i="6"/>
  <c r="AK26" i="6"/>
  <c r="CN26" i="6"/>
  <c r="DM29" i="6"/>
  <c r="CI34" i="6"/>
  <c r="EL34" i="6"/>
  <c r="AZ8" i="7"/>
  <c r="DC8" i="7"/>
  <c r="AT17" i="7"/>
  <c r="CS17" i="7"/>
  <c r="EQ17" i="7"/>
  <c r="AK18" i="7"/>
  <c r="AZ19" i="7"/>
  <c r="BE22" i="7"/>
  <c r="BJ23" i="7"/>
  <c r="AF27" i="7"/>
  <c r="AU28" i="7"/>
  <c r="CX28" i="7"/>
  <c r="EV28" i="7"/>
  <c r="Z30" i="7"/>
  <c r="CI30" i="7"/>
  <c r="DH32" i="7"/>
  <c r="F33" i="7"/>
  <c r="BT33" i="7"/>
  <c r="DW33" i="7"/>
  <c r="Z34" i="7"/>
  <c r="CI34" i="7"/>
  <c r="EL34" i="7"/>
  <c r="N36" i="8"/>
  <c r="BL35" i="8"/>
  <c r="EB5" i="8"/>
  <c r="DY36" i="8" s="1"/>
  <c r="DY37" i="8" s="1"/>
  <c r="F29" i="19" s="1"/>
  <c r="DH9" i="8"/>
  <c r="DW10" i="8"/>
  <c r="CN11" i="8"/>
  <c r="AY12" i="8"/>
  <c r="DH15" i="8"/>
  <c r="U16" i="8"/>
  <c r="CI16" i="8"/>
  <c r="EL16" i="8"/>
  <c r="AO18" i="8"/>
  <c r="AZ23" i="8"/>
  <c r="DC23" i="8"/>
  <c r="CI27" i="8"/>
  <c r="EL27" i="8"/>
  <c r="AF28" i="8"/>
  <c r="AK31" i="8"/>
  <c r="EV31" i="8"/>
  <c r="AP33" i="8"/>
  <c r="CS33" i="8"/>
  <c r="EV34" i="8"/>
  <c r="DH34" i="8"/>
  <c r="BT34" i="8"/>
  <c r="AF34" i="8"/>
  <c r="EL34" i="8"/>
  <c r="CX34" i="8"/>
  <c r="BJ34" i="8"/>
  <c r="V34" i="8"/>
  <c r="DW34" i="8"/>
  <c r="CD34" i="8"/>
  <c r="AK34" i="8"/>
  <c r="DM34" i="8"/>
  <c r="BO34" i="8"/>
  <c r="DR34" i="8"/>
  <c r="Q34" i="8"/>
  <c r="DC34" i="8"/>
  <c r="G34" i="8"/>
  <c r="AZ34" i="8"/>
  <c r="AP5" i="9"/>
  <c r="AK9" i="9"/>
  <c r="CN9" i="9"/>
  <c r="EQ9" i="9"/>
  <c r="DC11" i="9"/>
  <c r="EB15" i="9"/>
  <c r="AF20" i="9"/>
  <c r="CD20" i="9"/>
  <c r="CI21" i="9"/>
  <c r="AK22" i="9"/>
  <c r="AA25" i="9"/>
  <c r="V26" i="9"/>
  <c r="AP34" i="9"/>
  <c r="BB35" i="10"/>
  <c r="DR5" i="10"/>
  <c r="CD5" i="10"/>
  <c r="AP5" i="10"/>
  <c r="EL5" i="10"/>
  <c r="BE5" i="10"/>
  <c r="CS5" i="10"/>
  <c r="L5" i="10"/>
  <c r="CI5" i="10"/>
  <c r="BT5" i="10"/>
  <c r="AA5" i="10"/>
  <c r="DM5" i="10"/>
  <c r="EV5" i="10"/>
  <c r="ES36" i="10" s="1"/>
  <c r="ES37" i="10" s="1"/>
  <c r="H33" i="19" s="1"/>
  <c r="DC5" i="10"/>
  <c r="CZ36" i="10" s="1"/>
  <c r="CZ37" i="10" s="1"/>
  <c r="H24" i="19" s="1"/>
  <c r="AK5" i="10"/>
  <c r="AH36" i="10" s="1"/>
  <c r="AH37" i="10" s="1"/>
  <c r="H10" i="19" s="1"/>
  <c r="EG5" i="10"/>
  <c r="DW5" i="10"/>
  <c r="V5" i="10"/>
  <c r="BO5" i="10"/>
  <c r="AP10" i="10"/>
  <c r="EV12" i="10"/>
  <c r="DH12" i="10"/>
  <c r="BT12" i="10"/>
  <c r="AF12" i="10"/>
  <c r="EQ12" i="10"/>
  <c r="BJ12" i="10"/>
  <c r="CX12" i="10"/>
  <c r="Q12" i="10"/>
  <c r="CN12" i="10"/>
  <c r="G12" i="10"/>
  <c r="DW12" i="10"/>
  <c r="BY12" i="10"/>
  <c r="AA12" i="10"/>
  <c r="DR12" i="10"/>
  <c r="BE12" i="10"/>
  <c r="L12" i="10"/>
  <c r="DC12" i="10"/>
  <c r="EQ16" i="10"/>
  <c r="EV25" i="10"/>
  <c r="V31" i="10"/>
  <c r="CD33" i="10"/>
  <c r="Q4" i="11"/>
  <c r="BT4" i="11"/>
  <c r="EG4" i="11"/>
  <c r="AP10" i="11"/>
  <c r="EG11" i="11"/>
  <c r="CS11" i="11"/>
  <c r="BE11" i="11"/>
  <c r="Q11" i="11"/>
  <c r="DW11" i="11"/>
  <c r="CI11" i="11"/>
  <c r="AU11" i="11"/>
  <c r="G11" i="11"/>
  <c r="AZ11" i="11"/>
  <c r="EL11" i="11"/>
  <c r="CD11" i="11"/>
  <c r="AK11" i="11"/>
  <c r="DC11" i="11"/>
  <c r="EV11" i="11"/>
  <c r="CN11" i="11"/>
  <c r="EB11" i="11"/>
  <c r="BY11" i="11"/>
  <c r="AA11" i="11"/>
  <c r="BO11" i="11"/>
  <c r="DM11" i="11"/>
  <c r="L11" i="11"/>
  <c r="EB4" i="12"/>
  <c r="AA10" i="12"/>
  <c r="BY10" i="12"/>
  <c r="EL14" i="12"/>
  <c r="CX14" i="12"/>
  <c r="BJ14" i="12"/>
  <c r="V14" i="12"/>
  <c r="EB14" i="12"/>
  <c r="CN14" i="12"/>
  <c r="AZ14" i="12"/>
  <c r="L14" i="12"/>
  <c r="DM14" i="12"/>
  <c r="BT14" i="12"/>
  <c r="AA14" i="12"/>
  <c r="EV14" i="12"/>
  <c r="DC14" i="12"/>
  <c r="BE14" i="12"/>
  <c r="G14" i="12"/>
  <c r="AP14" i="12"/>
  <c r="CI14" i="12"/>
  <c r="DH14" i="12"/>
  <c r="CS14" i="12"/>
  <c r="EQ14" i="12"/>
  <c r="AK14" i="12"/>
  <c r="AU18" i="12"/>
  <c r="DC18" i="12"/>
  <c r="CX20" i="12"/>
  <c r="CD27" i="12"/>
  <c r="AF13" i="13"/>
  <c r="CN13" i="13"/>
  <c r="V17" i="13"/>
  <c r="AP20" i="13"/>
  <c r="DR28" i="13"/>
  <c r="CD28" i="13"/>
  <c r="AP28" i="13"/>
  <c r="DM28" i="13"/>
  <c r="BY28" i="13"/>
  <c r="L28" i="13"/>
  <c r="EL28" i="13"/>
  <c r="CS28" i="13"/>
  <c r="AZ28" i="13"/>
  <c r="EB28" i="13"/>
  <c r="CI28" i="13"/>
  <c r="AF28" i="13"/>
  <c r="EV28" i="13"/>
  <c r="CX28" i="13"/>
  <c r="AK28" i="13"/>
  <c r="EG28" i="13"/>
  <c r="BT28" i="13"/>
  <c r="V28" i="13"/>
  <c r="DW28" i="13"/>
  <c r="BJ28" i="13"/>
  <c r="DH28" i="13"/>
  <c r="G28" i="13"/>
  <c r="AA4" i="14"/>
  <c r="AA11" i="14"/>
  <c r="AU22" i="14"/>
  <c r="DR31" i="14"/>
  <c r="CD31" i="14"/>
  <c r="AP31" i="14"/>
  <c r="EB31" i="14"/>
  <c r="AU31" i="14"/>
  <c r="CI31" i="14"/>
  <c r="DW31" i="14"/>
  <c r="CN31" i="14"/>
  <c r="EG31" i="14"/>
  <c r="BY31" i="14"/>
  <c r="AF31" i="14"/>
  <c r="BO31" i="14"/>
  <c r="V31" i="14"/>
  <c r="AK31" i="14"/>
  <c r="EL31" i="14"/>
  <c r="BT31" i="14"/>
  <c r="Q31" i="14"/>
  <c r="DH31" i="14"/>
  <c r="BE31" i="14"/>
  <c r="CX31" i="14"/>
  <c r="EV31" i="14"/>
  <c r="AZ31" i="14"/>
  <c r="BY10" i="16"/>
  <c r="DM13" i="16"/>
  <c r="AK6" i="5"/>
  <c r="AK13" i="5"/>
  <c r="Z6" i="6"/>
  <c r="EB6" i="6"/>
  <c r="CN6" i="6"/>
  <c r="AZ6" i="6"/>
  <c r="L6" i="6"/>
  <c r="DR6" i="6"/>
  <c r="AK6" i="6"/>
  <c r="EV6" i="6"/>
  <c r="BO6" i="6"/>
  <c r="V6" i="6"/>
  <c r="AU6" i="6"/>
  <c r="AO10" i="6"/>
  <c r="CN10" i="6"/>
  <c r="EQ23" i="6"/>
  <c r="DC23" i="6"/>
  <c r="BO23" i="6"/>
  <c r="AA23" i="6"/>
  <c r="BD23" i="6"/>
  <c r="P23" i="6"/>
  <c r="EB23" i="6"/>
  <c r="AT23" i="6"/>
  <c r="BY23" i="6"/>
  <c r="AF23" i="6"/>
  <c r="DM23" i="6"/>
  <c r="AE23" i="6"/>
  <c r="AY23" i="6"/>
  <c r="CS23" i="6"/>
  <c r="DW31" i="6"/>
  <c r="CI31" i="6"/>
  <c r="AU31" i="6"/>
  <c r="G31" i="6"/>
  <c r="BT31" i="6"/>
  <c r="CX31" i="6"/>
  <c r="BI31" i="6"/>
  <c r="Q31" i="6"/>
  <c r="EL31" i="6"/>
  <c r="BE31" i="6"/>
  <c r="P31" i="6"/>
  <c r="AT31" i="6"/>
  <c r="CS31" i="6"/>
  <c r="BB36" i="7"/>
  <c r="CS10" i="7"/>
  <c r="EL29" i="8"/>
  <c r="CX29" i="8"/>
  <c r="BJ29" i="8"/>
  <c r="V29" i="8"/>
  <c r="DM29" i="8"/>
  <c r="AF29" i="8"/>
  <c r="BT29" i="8"/>
  <c r="EQ29" i="8"/>
  <c r="Q29" i="8"/>
  <c r="BE29" i="8"/>
  <c r="CN29" i="8"/>
  <c r="EG29" i="8"/>
  <c r="CN10" i="9"/>
  <c r="EG16" i="9"/>
  <c r="BE16" i="9"/>
  <c r="CS16" i="9"/>
  <c r="Q16" i="9"/>
  <c r="DW16" i="9"/>
  <c r="CI16" i="9"/>
  <c r="AU16" i="9"/>
  <c r="G16" i="9"/>
  <c r="EB16" i="9"/>
  <c r="CD16" i="9"/>
  <c r="AK16" i="9"/>
  <c r="DM16" i="9"/>
  <c r="BT16" i="9"/>
  <c r="AA16" i="9"/>
  <c r="CX16" i="9"/>
  <c r="EV16" i="9"/>
  <c r="AP27" i="9"/>
  <c r="CN27" i="9"/>
  <c r="EB29" i="9"/>
  <c r="CN29" i="9"/>
  <c r="AZ29" i="9"/>
  <c r="L29" i="9"/>
  <c r="AU29" i="9"/>
  <c r="CI29" i="9"/>
  <c r="BY29" i="9"/>
  <c r="DM29" i="9"/>
  <c r="AF29" i="9"/>
  <c r="AP29" i="9"/>
  <c r="AP22" i="10"/>
  <c r="CN22" i="10"/>
  <c r="EQ14" i="11"/>
  <c r="DC14" i="11"/>
  <c r="BO14" i="11"/>
  <c r="AA14" i="11"/>
  <c r="EV14" i="11"/>
  <c r="V14" i="11"/>
  <c r="BJ14" i="11"/>
  <c r="EG14" i="11"/>
  <c r="AZ14" i="11"/>
  <c r="DH14" i="11"/>
  <c r="Q14" i="11"/>
  <c r="EL14" i="11"/>
  <c r="CS14" i="11"/>
  <c r="AU14" i="11"/>
  <c r="AK20" i="11"/>
  <c r="DW25" i="12"/>
  <c r="CI25" i="12"/>
  <c r="AU25" i="12"/>
  <c r="G25" i="12"/>
  <c r="EQ25" i="12"/>
  <c r="BJ25" i="12"/>
  <c r="CX25" i="12"/>
  <c r="Q25" i="12"/>
  <c r="CN25" i="12"/>
  <c r="AZ25" i="12"/>
  <c r="EG25" i="12"/>
  <c r="AK25" i="12"/>
  <c r="DR25" i="12"/>
  <c r="AA25" i="12"/>
  <c r="BT25" i="12"/>
  <c r="EQ26" i="12"/>
  <c r="DC26" i="12"/>
  <c r="BO26" i="12"/>
  <c r="AA26" i="12"/>
  <c r="EG26" i="12"/>
  <c r="CS26" i="12"/>
  <c r="BE26" i="12"/>
  <c r="Q26" i="12"/>
  <c r="DW26" i="12"/>
  <c r="CD26" i="12"/>
  <c r="AK26" i="12"/>
  <c r="V26" i="12"/>
  <c r="BY26" i="12"/>
  <c r="DR26" i="12"/>
  <c r="DH26" i="12"/>
  <c r="BJ26" i="12"/>
  <c r="G26" i="12"/>
  <c r="EG30" i="12"/>
  <c r="CS30" i="12"/>
  <c r="BE30" i="12"/>
  <c r="Q30" i="12"/>
  <c r="DW30" i="12"/>
  <c r="CI30" i="12"/>
  <c r="AU30" i="12"/>
  <c r="G30" i="12"/>
  <c r="EQ30" i="12"/>
  <c r="CX30" i="12"/>
  <c r="AZ30" i="12"/>
  <c r="EB30" i="12"/>
  <c r="EL30" i="12"/>
  <c r="AK30" i="12"/>
  <c r="DR30" i="12"/>
  <c r="AA30" i="12"/>
  <c r="BT30" i="12"/>
  <c r="AR35" i="13"/>
  <c r="EL7" i="14"/>
  <c r="CX7" i="14"/>
  <c r="BJ7" i="14"/>
  <c r="V7" i="14"/>
  <c r="BY7" i="14"/>
  <c r="DM7" i="14"/>
  <c r="AF7" i="14"/>
  <c r="BT7" i="14"/>
  <c r="BO7" i="14"/>
  <c r="Q7" i="14"/>
  <c r="DH7" i="14"/>
  <c r="EQ7" i="14"/>
  <c r="DC7" i="14"/>
  <c r="G7" i="14"/>
  <c r="AZ7" i="14"/>
  <c r="CN7" i="14"/>
  <c r="AP7" i="14"/>
  <c r="EG7" i="14"/>
  <c r="DW20" i="14"/>
  <c r="CI20" i="14"/>
  <c r="AU20" i="14"/>
  <c r="G20" i="14"/>
  <c r="CX20" i="14"/>
  <c r="Q20" i="14"/>
  <c r="EL20" i="14"/>
  <c r="BE20" i="14"/>
  <c r="EB20" i="14"/>
  <c r="EQ20" i="14"/>
  <c r="CS20" i="14"/>
  <c r="AZ20" i="14"/>
  <c r="CD20" i="14"/>
  <c r="AK20" i="14"/>
  <c r="DM20" i="14"/>
  <c r="BO20" i="14"/>
  <c r="DC20" i="14"/>
  <c r="AU4" i="16"/>
  <c r="EL6" i="5"/>
  <c r="CX6" i="5"/>
  <c r="BJ6" i="5"/>
  <c r="V6" i="5"/>
  <c r="CD6" i="5"/>
  <c r="EB13" i="5"/>
  <c r="CN13" i="5"/>
  <c r="AZ13" i="5"/>
  <c r="L13" i="5"/>
  <c r="CD13" i="5"/>
  <c r="R11" i="19"/>
  <c r="R27" i="19"/>
  <c r="S29" i="19"/>
  <c r="T15" i="19"/>
  <c r="DT35" i="6"/>
  <c r="EL10" i="6"/>
  <c r="CX10" i="6"/>
  <c r="BJ10" i="6"/>
  <c r="V10" i="6"/>
  <c r="EQ10" i="6"/>
  <c r="BI10" i="6"/>
  <c r="Q10" i="6"/>
  <c r="EB10" i="6"/>
  <c r="AU10" i="6"/>
  <c r="CI10" i="6"/>
  <c r="AT10" i="6"/>
  <c r="AR35" i="6" s="1"/>
  <c r="AP10" i="6"/>
  <c r="AO12" i="6"/>
  <c r="EQ12" i="6"/>
  <c r="DC12" i="6"/>
  <c r="BO12" i="6"/>
  <c r="AA12" i="6"/>
  <c r="CI12" i="6"/>
  <c r="AT12" i="6"/>
  <c r="DM12" i="6"/>
  <c r="AE12" i="6"/>
  <c r="BT12" i="6"/>
  <c r="Z12" i="6"/>
  <c r="AY12" i="6"/>
  <c r="CS12" i="6"/>
  <c r="EL12" i="6"/>
  <c r="EN35" i="7"/>
  <c r="Z10" i="7"/>
  <c r="EB10" i="7"/>
  <c r="CN10" i="7"/>
  <c r="AZ10" i="7"/>
  <c r="L10" i="7"/>
  <c r="BT10" i="7"/>
  <c r="DH10" i="7"/>
  <c r="AA10" i="7"/>
  <c r="CX10" i="7"/>
  <c r="BI10" i="7"/>
  <c r="P10" i="7"/>
  <c r="EL10" i="7"/>
  <c r="BE10" i="7"/>
  <c r="AU10" i="7"/>
  <c r="EB21" i="7"/>
  <c r="CN21" i="7"/>
  <c r="AZ21" i="7"/>
  <c r="L21" i="7"/>
  <c r="AO21" i="7"/>
  <c r="EQ21" i="7"/>
  <c r="BJ21" i="7"/>
  <c r="Q21" i="7"/>
  <c r="CX21" i="7"/>
  <c r="BI21" i="7"/>
  <c r="P21" i="7"/>
  <c r="AU21" i="7"/>
  <c r="CI21" i="7"/>
  <c r="AT21" i="7"/>
  <c r="BD21" i="7"/>
  <c r="DC21" i="7"/>
  <c r="EV21" i="7"/>
  <c r="CF35" i="8"/>
  <c r="CA35" i="8"/>
  <c r="DR10" i="9"/>
  <c r="AP10" i="9"/>
  <c r="CD10" i="9"/>
  <c r="EV10" i="9"/>
  <c r="DH10" i="9"/>
  <c r="BT10" i="9"/>
  <c r="AF10" i="9"/>
  <c r="AA10" i="9"/>
  <c r="DM10" i="9"/>
  <c r="EQ10" i="9"/>
  <c r="CX10" i="9"/>
  <c r="BE10" i="9"/>
  <c r="L10" i="9"/>
  <c r="AU10" i="9"/>
  <c r="EL17" i="9"/>
  <c r="CX17" i="9"/>
  <c r="BJ17" i="9"/>
  <c r="V17" i="9"/>
  <c r="EQ17" i="9"/>
  <c r="Q17" i="9"/>
  <c r="BE17" i="9"/>
  <c r="EB17" i="9"/>
  <c r="AU17" i="9"/>
  <c r="CI17" i="9"/>
  <c r="AP17" i="9"/>
  <c r="CN17" i="9"/>
  <c r="EG17" i="9"/>
  <c r="DW27" i="9"/>
  <c r="CI27" i="9"/>
  <c r="AU27" i="9"/>
  <c r="G27" i="9"/>
  <c r="EV27" i="9"/>
  <c r="BO27" i="9"/>
  <c r="DC27" i="9"/>
  <c r="V27" i="9"/>
  <c r="CS27" i="9"/>
  <c r="L27" i="9"/>
  <c r="EG27" i="9"/>
  <c r="AZ27" i="9"/>
  <c r="ED35" i="10"/>
  <c r="EG22" i="10"/>
  <c r="CS22" i="10"/>
  <c r="BE22" i="10"/>
  <c r="Q22" i="10"/>
  <c r="CX22" i="10"/>
  <c r="EL22" i="10"/>
  <c r="L22" i="10"/>
  <c r="CI22" i="10"/>
  <c r="DR22" i="10"/>
  <c r="AF22" i="10"/>
  <c r="BT22" i="10"/>
  <c r="BJ22" i="10"/>
  <c r="EV22" i="10"/>
  <c r="DC22" i="10"/>
  <c r="EL29" i="10"/>
  <c r="CX29" i="10"/>
  <c r="BJ29" i="10"/>
  <c r="V29" i="10"/>
  <c r="EV29" i="10"/>
  <c r="BO29" i="10"/>
  <c r="DC29" i="10"/>
  <c r="EG29" i="10"/>
  <c r="AZ29" i="10"/>
  <c r="DM29" i="10"/>
  <c r="BT29" i="10"/>
  <c r="EQ29" i="10"/>
  <c r="CS29" i="10"/>
  <c r="G29" i="10"/>
  <c r="AP29" i="10"/>
  <c r="CN29" i="10"/>
  <c r="CP35" i="11"/>
  <c r="EQ15" i="11"/>
  <c r="DC15" i="11"/>
  <c r="BO15" i="11"/>
  <c r="AA15" i="11"/>
  <c r="EG15" i="11"/>
  <c r="CS15" i="11"/>
  <c r="BE15" i="11"/>
  <c r="Q15" i="11"/>
  <c r="DW15" i="11"/>
  <c r="CD15" i="11"/>
  <c r="AK15" i="11"/>
  <c r="DM15" i="11"/>
  <c r="BT15" i="11"/>
  <c r="CX15" i="11"/>
  <c r="EV15" i="11"/>
  <c r="AU15" i="11"/>
  <c r="CI15" i="11"/>
  <c r="AF15" i="11"/>
  <c r="DR20" i="11"/>
  <c r="CD20" i="11"/>
  <c r="AP20" i="11"/>
  <c r="CI20" i="11"/>
  <c r="DW20" i="11"/>
  <c r="BT20" i="11"/>
  <c r="AU20" i="11"/>
  <c r="EG20" i="11"/>
  <c r="CN20" i="11"/>
  <c r="BY20" i="11"/>
  <c r="AF20" i="11"/>
  <c r="CS20" i="11"/>
  <c r="AM35" i="12"/>
  <c r="CP35" i="12"/>
  <c r="EN35" i="12"/>
  <c r="DC25" i="12"/>
  <c r="AZ26" i="12"/>
  <c r="DC30" i="12"/>
  <c r="EV4" i="13"/>
  <c r="DH4" i="13"/>
  <c r="BT4" i="13"/>
  <c r="AF4" i="13"/>
  <c r="CX4" i="13"/>
  <c r="Q4" i="13"/>
  <c r="N36" i="13" s="1"/>
  <c r="EL4" i="13"/>
  <c r="BE4" i="13"/>
  <c r="EB4" i="13"/>
  <c r="AU4" i="13"/>
  <c r="DR4" i="13"/>
  <c r="BY4" i="13"/>
  <c r="AA4" i="13"/>
  <c r="AZ4" i="13"/>
  <c r="CS4" i="13"/>
  <c r="EG4" i="13"/>
  <c r="CI4" i="13"/>
  <c r="AK4" i="13"/>
  <c r="DC4" i="13"/>
  <c r="CZ35" i="14"/>
  <c r="EQ28" i="14"/>
  <c r="DC28" i="14"/>
  <c r="BO28" i="14"/>
  <c r="AA28" i="14"/>
  <c r="CI28" i="14"/>
  <c r="DW28" i="14"/>
  <c r="AP28" i="14"/>
  <c r="DM28" i="14"/>
  <c r="AF28" i="14"/>
  <c r="BT28" i="14"/>
  <c r="V28" i="14"/>
  <c r="EV28" i="14"/>
  <c r="CX28" i="14"/>
  <c r="BE28" i="14"/>
  <c r="DH28" i="14"/>
  <c r="G28" i="14"/>
  <c r="EL28" i="14"/>
  <c r="CN28" i="14"/>
  <c r="EB32" i="14"/>
  <c r="CN32" i="14"/>
  <c r="AZ32" i="14"/>
  <c r="L32" i="14"/>
  <c r="EV32" i="14"/>
  <c r="BO32" i="14"/>
  <c r="DC32" i="14"/>
  <c r="V32" i="14"/>
  <c r="CS32" i="14"/>
  <c r="DM32" i="14"/>
  <c r="EQ32" i="14"/>
  <c r="CX32" i="14"/>
  <c r="G32" i="14"/>
  <c r="BY32" i="14"/>
  <c r="AF32" i="14"/>
  <c r="BJ32" i="14"/>
  <c r="Q32" i="14"/>
  <c r="BV35" i="15"/>
  <c r="DO35" i="15"/>
  <c r="EB4" i="16"/>
  <c r="CN4" i="16"/>
  <c r="AZ4" i="16"/>
  <c r="L4" i="16"/>
  <c r="EQ4" i="16"/>
  <c r="BJ4" i="16"/>
  <c r="CX4" i="16"/>
  <c r="BE4" i="16"/>
  <c r="EL4" i="16"/>
  <c r="CS4" i="16"/>
  <c r="G4" i="16"/>
  <c r="BY4" i="16"/>
  <c r="DR4" i="16"/>
  <c r="AA4" i="16"/>
  <c r="BT4" i="16"/>
  <c r="DH4" i="16"/>
  <c r="Q4" i="16"/>
  <c r="V4" i="16"/>
  <c r="DM4" i="16"/>
  <c r="EG4" i="16"/>
  <c r="DE35" i="16"/>
  <c r="EG17" i="16"/>
  <c r="CS17" i="16"/>
  <c r="BE17" i="16"/>
  <c r="Q17" i="16"/>
  <c r="AZ17" i="16"/>
  <c r="EQ17" i="16"/>
  <c r="BJ17" i="16"/>
  <c r="L17" i="16"/>
  <c r="CI17" i="16"/>
  <c r="DM17" i="16"/>
  <c r="BT17" i="16"/>
  <c r="DH17" i="16"/>
  <c r="BO17" i="16"/>
  <c r="DC17" i="16"/>
  <c r="AU17" i="16"/>
  <c r="EV17" i="16"/>
  <c r="CX17" i="16"/>
  <c r="DW17" i="16"/>
  <c r="CN17" i="16"/>
  <c r="AF17" i="16"/>
  <c r="AK17" i="16"/>
  <c r="CD17" i="16"/>
  <c r="EL17" i="16"/>
  <c r="V17" i="16"/>
  <c r="BG35" i="14"/>
  <c r="G6" i="5"/>
  <c r="CN6" i="5"/>
  <c r="G13" i="5"/>
  <c r="EG13" i="5"/>
  <c r="EL22" i="5"/>
  <c r="CX22" i="5"/>
  <c r="BJ22" i="5"/>
  <c r="V22" i="5"/>
  <c r="CD22" i="5"/>
  <c r="EG31" i="5"/>
  <c r="CS31" i="5"/>
  <c r="BE31" i="5"/>
  <c r="Q31" i="5"/>
  <c r="AT31" i="5"/>
  <c r="F31" i="5"/>
  <c r="DM31" i="5"/>
  <c r="AE31" i="5"/>
  <c r="AU31" i="5"/>
  <c r="R31" i="19"/>
  <c r="K6" i="6"/>
  <c r="BJ6" i="6"/>
  <c r="DC6" i="6"/>
  <c r="EQ7" i="6"/>
  <c r="DC7" i="6"/>
  <c r="BO7" i="6"/>
  <c r="AA7" i="6"/>
  <c r="BD7" i="6"/>
  <c r="P7" i="6"/>
  <c r="CS7" i="6"/>
  <c r="AZ7" i="6"/>
  <c r="G7" i="6"/>
  <c r="DW7" i="6"/>
  <c r="AO7" i="6"/>
  <c r="AU7" i="6"/>
  <c r="EL7" i="6"/>
  <c r="G10" i="6"/>
  <c r="BE10" i="6"/>
  <c r="DC10" i="6"/>
  <c r="G12" i="6"/>
  <c r="BI12" i="6"/>
  <c r="DR13" i="6"/>
  <c r="CD13" i="6"/>
  <c r="AP13" i="6"/>
  <c r="AE13" i="6"/>
  <c r="CX13" i="6"/>
  <c r="BI13" i="6"/>
  <c r="P13" i="6"/>
  <c r="EB13" i="6"/>
  <c r="AU13" i="6"/>
  <c r="CI13" i="6"/>
  <c r="AT13" i="6"/>
  <c r="AY13" i="6"/>
  <c r="CS13" i="6"/>
  <c r="K23" i="6"/>
  <c r="DH23" i="6"/>
  <c r="L31" i="6"/>
  <c r="DH31" i="6"/>
  <c r="EB5" i="7"/>
  <c r="DY36" i="7" s="1"/>
  <c r="DY37" i="7" s="1"/>
  <c r="E29" i="19" s="1"/>
  <c r="CN5" i="7"/>
  <c r="CK36" i="7" s="1"/>
  <c r="CK37" i="7" s="1"/>
  <c r="E21" i="19" s="1"/>
  <c r="AZ5" i="7"/>
  <c r="L5" i="7"/>
  <c r="I36" i="7" s="1"/>
  <c r="AO5" i="7"/>
  <c r="AM35" i="7" s="1"/>
  <c r="BT5" i="7"/>
  <c r="AA5" i="7"/>
  <c r="X36" i="7" s="1"/>
  <c r="DH5" i="7"/>
  <c r="Z5" i="7"/>
  <c r="CX5" i="7"/>
  <c r="BI5" i="7"/>
  <c r="P5" i="7"/>
  <c r="EL5" i="7"/>
  <c r="BE5" i="7"/>
  <c r="K5" i="7"/>
  <c r="BD5" i="7"/>
  <c r="DC5" i="7"/>
  <c r="G10" i="7"/>
  <c r="G21" i="7"/>
  <c r="DM21" i="7"/>
  <c r="EI35" i="8"/>
  <c r="DC29" i="8"/>
  <c r="CX30" i="8"/>
  <c r="V30" i="8"/>
  <c r="EL30" i="8"/>
  <c r="BJ30" i="8"/>
  <c r="EB30" i="8"/>
  <c r="CN30" i="8"/>
  <c r="AZ30" i="8"/>
  <c r="L30" i="8"/>
  <c r="AU30" i="8"/>
  <c r="EG30" i="8"/>
  <c r="DR30" i="8"/>
  <c r="BY30" i="8"/>
  <c r="AF30" i="8"/>
  <c r="CS30" i="8"/>
  <c r="CP36" i="8" s="1"/>
  <c r="CP37" i="8" s="1"/>
  <c r="F22" i="19" s="1"/>
  <c r="BL35" i="9"/>
  <c r="G10" i="9"/>
  <c r="DC10" i="9"/>
  <c r="L16" i="9"/>
  <c r="G17" i="9"/>
  <c r="EV17" i="9"/>
  <c r="DC29" i="9"/>
  <c r="EV29" i="9"/>
  <c r="EL33" i="9"/>
  <c r="CX33" i="9"/>
  <c r="BJ33" i="9"/>
  <c r="V33" i="9"/>
  <c r="BY33" i="9"/>
  <c r="DM33" i="9"/>
  <c r="AF33" i="9"/>
  <c r="DC33" i="9"/>
  <c r="EQ33" i="9"/>
  <c r="Q33" i="9"/>
  <c r="EG33" i="9"/>
  <c r="CP35" i="10"/>
  <c r="G22" i="10"/>
  <c r="DH22" i="10"/>
  <c r="G15" i="11"/>
  <c r="BJ15" i="11"/>
  <c r="DR15" i="11"/>
  <c r="G20" i="11"/>
  <c r="DC20" i="11"/>
  <c r="DR21" i="11"/>
  <c r="CD21" i="11"/>
  <c r="AP21" i="11"/>
  <c r="EV21" i="11"/>
  <c r="ES36" i="11" s="1"/>
  <c r="ES37" i="11" s="1"/>
  <c r="I33" i="19" s="1"/>
  <c r="DH21" i="11"/>
  <c r="BT21" i="11"/>
  <c r="AF21" i="11"/>
  <c r="EQ21" i="11"/>
  <c r="CX21" i="11"/>
  <c r="BE21" i="11"/>
  <c r="L21" i="11"/>
  <c r="V21" i="11"/>
  <c r="DC21" i="11"/>
  <c r="G21" i="11"/>
  <c r="CS21" i="11"/>
  <c r="EB24" i="11"/>
  <c r="CN24" i="11"/>
  <c r="AZ24" i="11"/>
  <c r="L24" i="11"/>
  <c r="CX24" i="11"/>
  <c r="Q24" i="11"/>
  <c r="EL24" i="11"/>
  <c r="BE24" i="11"/>
  <c r="CI24" i="11"/>
  <c r="G24" i="11"/>
  <c r="EQ24" i="11"/>
  <c r="CD24" i="11"/>
  <c r="AK24" i="11"/>
  <c r="AU24" i="11"/>
  <c r="EB12" i="12"/>
  <c r="CN12" i="12"/>
  <c r="AZ12" i="12"/>
  <c r="L12" i="12"/>
  <c r="DM12" i="12"/>
  <c r="AF12" i="12"/>
  <c r="BT12" i="12"/>
  <c r="EQ12" i="12"/>
  <c r="BJ12" i="12"/>
  <c r="DW12" i="12"/>
  <c r="CD12" i="12"/>
  <c r="DH12" i="12"/>
  <c r="BO12" i="12"/>
  <c r="Q12" i="12"/>
  <c r="EV12" i="12"/>
  <c r="L25" i="12"/>
  <c r="BO25" i="12"/>
  <c r="DM25" i="12"/>
  <c r="L26" i="12"/>
  <c r="L30" i="12"/>
  <c r="BO30" i="12"/>
  <c r="DM30" i="12"/>
  <c r="G4" i="13"/>
  <c r="L7" i="14"/>
  <c r="DW7" i="14"/>
  <c r="L20" i="14"/>
  <c r="DR20" i="14"/>
  <c r="EV27" i="14"/>
  <c r="DH27" i="14"/>
  <c r="BT27" i="14"/>
  <c r="AF27" i="14"/>
  <c r="CX27" i="14"/>
  <c r="Q27" i="14"/>
  <c r="EL27" i="14"/>
  <c r="BE27" i="14"/>
  <c r="CS27" i="14"/>
  <c r="L27" i="14"/>
  <c r="BJ27" i="14"/>
  <c r="CI27" i="14"/>
  <c r="EB27" i="14"/>
  <c r="AK27" i="14"/>
  <c r="DR27" i="14"/>
  <c r="G27" i="14"/>
  <c r="EQ27" i="14"/>
  <c r="CN27" i="14"/>
  <c r="AP27" i="14"/>
  <c r="AZ27" i="14"/>
  <c r="BJ28" i="14"/>
  <c r="DR28" i="14"/>
  <c r="DR32" i="14"/>
  <c r="X35" i="15"/>
  <c r="EQ12" i="15"/>
  <c r="DC12" i="15"/>
  <c r="BO12" i="15"/>
  <c r="AA12" i="15"/>
  <c r="DR12" i="15"/>
  <c r="AK12" i="15"/>
  <c r="EV12" i="15"/>
  <c r="BJ12" i="15"/>
  <c r="Q12" i="15"/>
  <c r="CX12" i="15"/>
  <c r="L12" i="15"/>
  <c r="BE12" i="15"/>
  <c r="G12" i="15"/>
  <c r="CN12" i="15"/>
  <c r="AU12" i="15"/>
  <c r="EB12" i="15"/>
  <c r="CD12" i="15"/>
  <c r="DM12" i="15"/>
  <c r="BY12" i="15"/>
  <c r="V12" i="15"/>
  <c r="BO4" i="16"/>
  <c r="BL36" i="16" s="1"/>
  <c r="DW4" i="16"/>
  <c r="G17" i="16"/>
  <c r="DJ35" i="14"/>
  <c r="EV5" i="5"/>
  <c r="DH5" i="5"/>
  <c r="BT5" i="5"/>
  <c r="AF5" i="5"/>
  <c r="CD5" i="5"/>
  <c r="AZ6" i="5"/>
  <c r="EG6" i="5"/>
  <c r="CS13" i="5"/>
  <c r="AP22" i="5"/>
  <c r="DW22" i="5"/>
  <c r="EB29" i="5"/>
  <c r="CN29" i="5"/>
  <c r="AZ29" i="5"/>
  <c r="L29" i="5"/>
  <c r="AO29" i="5"/>
  <c r="CD29" i="5"/>
  <c r="AK29" i="5"/>
  <c r="AT29" i="5"/>
  <c r="CN31" i="5"/>
  <c r="R16" i="19"/>
  <c r="R32" i="19"/>
  <c r="S18" i="19"/>
  <c r="T4" i="19"/>
  <c r="T20" i="19"/>
  <c r="P6" i="6"/>
  <c r="AY7" i="6"/>
  <c r="K10" i="6"/>
  <c r="I35" i="6" s="1"/>
  <c r="K12" i="6"/>
  <c r="BJ12" i="6"/>
  <c r="DH12" i="6"/>
  <c r="AZ13" i="6"/>
  <c r="EQ13" i="6"/>
  <c r="L23" i="6"/>
  <c r="U31" i="6"/>
  <c r="BO31" i="6"/>
  <c r="DJ35" i="7"/>
  <c r="BJ5" i="7"/>
  <c r="BO10" i="7"/>
  <c r="DM10" i="7"/>
  <c r="K21" i="7"/>
  <c r="BT21" i="7"/>
  <c r="L29" i="8"/>
  <c r="EV30" i="8"/>
  <c r="BJ10" i="9"/>
  <c r="BO16" i="9"/>
  <c r="DC17" i="9"/>
  <c r="EL18" i="9"/>
  <c r="BJ18" i="9"/>
  <c r="CX18" i="9"/>
  <c r="V18" i="9"/>
  <c r="EB18" i="9"/>
  <c r="CN18" i="9"/>
  <c r="AZ18" i="9"/>
  <c r="L18" i="9"/>
  <c r="DR18" i="9"/>
  <c r="BY18" i="9"/>
  <c r="AF18" i="9"/>
  <c r="DH18" i="9"/>
  <c r="BO18" i="9"/>
  <c r="Q18" i="9"/>
  <c r="AU18" i="9"/>
  <c r="EV18" i="9"/>
  <c r="BJ27" i="9"/>
  <c r="DH27" i="9"/>
  <c r="BJ29" i="9"/>
  <c r="EB30" i="9"/>
  <c r="CN30" i="9"/>
  <c r="AZ30" i="9"/>
  <c r="L30" i="9"/>
  <c r="DR30" i="9"/>
  <c r="CD30" i="9"/>
  <c r="AP30" i="9"/>
  <c r="EV30" i="9"/>
  <c r="DC30" i="9"/>
  <c r="BJ30" i="9"/>
  <c r="Q30" i="9"/>
  <c r="EL30" i="9"/>
  <c r="CS30" i="9"/>
  <c r="AU30" i="9"/>
  <c r="L29" i="10"/>
  <c r="BE29" i="10"/>
  <c r="DH29" i="10"/>
  <c r="L14" i="11"/>
  <c r="DM14" i="11"/>
  <c r="BE20" i="11"/>
  <c r="EG13" i="12"/>
  <c r="CS13" i="12"/>
  <c r="BE13" i="12"/>
  <c r="EL13" i="12"/>
  <c r="AZ13" i="12"/>
  <c r="L13" i="12"/>
  <c r="DW13" i="12"/>
  <c r="AP13" i="12"/>
  <c r="CN13" i="12"/>
  <c r="AU13" i="12"/>
  <c r="DR13" i="12"/>
  <c r="AF13" i="12"/>
  <c r="Q13" i="12"/>
  <c r="DH13" i="12"/>
  <c r="BO13" i="12"/>
  <c r="EV13" i="12"/>
  <c r="CX13" i="12"/>
  <c r="BT26" i="12"/>
  <c r="I35" i="13"/>
  <c r="BO4" i="13"/>
  <c r="EG30" i="13"/>
  <c r="CS30" i="13"/>
  <c r="BE30" i="13"/>
  <c r="Q30" i="13"/>
  <c r="EB30" i="13"/>
  <c r="CN30" i="13"/>
  <c r="AZ30" i="13"/>
  <c r="L30" i="13"/>
  <c r="EQ30" i="13"/>
  <c r="CX30" i="13"/>
  <c r="G30" i="13"/>
  <c r="DM30" i="13"/>
  <c r="BO30" i="13"/>
  <c r="V30" i="13"/>
  <c r="EV30" i="13"/>
  <c r="DC30" i="13"/>
  <c r="EL30" i="13"/>
  <c r="CI30" i="13"/>
  <c r="AK30" i="13"/>
  <c r="BL35" i="14"/>
  <c r="L28" i="14"/>
  <c r="EB10" i="15"/>
  <c r="CN10" i="15"/>
  <c r="AZ10" i="15"/>
  <c r="L10" i="15"/>
  <c r="EG10" i="15"/>
  <c r="G10" i="15"/>
  <c r="DH10" i="15"/>
  <c r="AA10" i="15"/>
  <c r="BO10" i="15"/>
  <c r="EV10" i="15"/>
  <c r="ES36" i="15" s="1"/>
  <c r="DC10" i="15"/>
  <c r="V10" i="15"/>
  <c r="CI10" i="15"/>
  <c r="AP10" i="15"/>
  <c r="DR10" i="15"/>
  <c r="EQ10" i="15"/>
  <c r="BY10" i="15"/>
  <c r="AU10" i="15"/>
  <c r="CS10" i="15"/>
  <c r="CD10" i="15"/>
  <c r="AF10" i="15"/>
  <c r="BE10" i="15"/>
  <c r="DM10" i="15"/>
  <c r="DJ36" i="15" s="1"/>
  <c r="BQ35" i="16"/>
  <c r="CK35" i="16"/>
  <c r="EG12" i="16"/>
  <c r="CS12" i="16"/>
  <c r="BE12" i="16"/>
  <c r="Q12" i="16"/>
  <c r="EV12" i="16"/>
  <c r="BO12" i="16"/>
  <c r="CI12" i="16"/>
  <c r="AP12" i="16"/>
  <c r="CX12" i="16"/>
  <c r="AZ12" i="16"/>
  <c r="G12" i="16"/>
  <c r="BT12" i="16"/>
  <c r="V12" i="16"/>
  <c r="EB12" i="16"/>
  <c r="AF12" i="16"/>
  <c r="CD12" i="16"/>
  <c r="DW12" i="16"/>
  <c r="AA12" i="16"/>
  <c r="DR12" i="16"/>
  <c r="DM12" i="16"/>
  <c r="BJ12" i="16"/>
  <c r="DH12" i="16"/>
  <c r="AU12" i="16"/>
  <c r="DC12" i="16"/>
  <c r="AK12" i="16"/>
  <c r="EQ12" i="16"/>
  <c r="BY17" i="16"/>
  <c r="EG19" i="6"/>
  <c r="CS19" i="6"/>
  <c r="BE19" i="6"/>
  <c r="BB36" i="6" s="1"/>
  <c r="Q19" i="6"/>
  <c r="AT19" i="6"/>
  <c r="F19" i="6"/>
  <c r="AP19" i="6"/>
  <c r="CI19" i="6"/>
  <c r="AA6" i="7"/>
  <c r="BT6" i="7"/>
  <c r="DH11" i="7"/>
  <c r="AE12" i="7"/>
  <c r="EG12" i="7"/>
  <c r="CS12" i="7"/>
  <c r="BE12" i="7"/>
  <c r="Q12" i="7"/>
  <c r="AP12" i="7"/>
  <c r="DW12" i="7"/>
  <c r="EL13" i="8"/>
  <c r="CX13" i="8"/>
  <c r="BJ13" i="8"/>
  <c r="V13" i="8"/>
  <c r="S36" i="8" s="1"/>
  <c r="U13" i="8"/>
  <c r="S35" i="8" s="1"/>
  <c r="S37" i="8" s="1"/>
  <c r="F7" i="19" s="1"/>
  <c r="AY13" i="8"/>
  <c r="AW35" i="8" s="1"/>
  <c r="AP13" i="8"/>
  <c r="CI13" i="8"/>
  <c r="EV17" i="8"/>
  <c r="DH17" i="8"/>
  <c r="BT17" i="8"/>
  <c r="AF17" i="8"/>
  <c r="AE17" i="8"/>
  <c r="U17" i="8"/>
  <c r="AT17" i="8"/>
  <c r="CI17" i="8"/>
  <c r="AM35" i="9"/>
  <c r="EQ19" i="9"/>
  <c r="DC19" i="9"/>
  <c r="BO19" i="9"/>
  <c r="AA19" i="9"/>
  <c r="CD19" i="9"/>
  <c r="AA4" i="10"/>
  <c r="DR4" i="10"/>
  <c r="DY35" i="10"/>
  <c r="BY11" i="10"/>
  <c r="AA32" i="10"/>
  <c r="CF35" i="11"/>
  <c r="DW6" i="11"/>
  <c r="CI6" i="11"/>
  <c r="AU6" i="11"/>
  <c r="G6" i="11"/>
  <c r="EQ6" i="11"/>
  <c r="BJ6" i="11"/>
  <c r="CX6" i="11"/>
  <c r="CU36" i="11" s="1"/>
  <c r="Q6" i="11"/>
  <c r="CN6" i="11"/>
  <c r="AP6" i="11"/>
  <c r="EG6" i="11"/>
  <c r="DW22" i="11"/>
  <c r="CI22" i="11"/>
  <c r="AU22" i="11"/>
  <c r="G22" i="11"/>
  <c r="BY22" i="11"/>
  <c r="DM22" i="11"/>
  <c r="AF22" i="11"/>
  <c r="DC22" i="11"/>
  <c r="V22" i="11"/>
  <c r="CN22" i="11"/>
  <c r="EL28" i="11"/>
  <c r="CX28" i="11"/>
  <c r="BJ28" i="11"/>
  <c r="V28" i="11"/>
  <c r="CI28" i="11"/>
  <c r="DW28" i="11"/>
  <c r="AP28" i="11"/>
  <c r="DM28" i="11"/>
  <c r="AF28" i="11"/>
  <c r="EG28" i="11"/>
  <c r="BY5" i="12"/>
  <c r="AH35" i="13"/>
  <c r="ED35" i="13"/>
  <c r="EQ26" i="13"/>
  <c r="EV26" i="13"/>
  <c r="DC26" i="13"/>
  <c r="BO26" i="13"/>
  <c r="AA26" i="13"/>
  <c r="EG26" i="13"/>
  <c r="CS26" i="13"/>
  <c r="BE26" i="13"/>
  <c r="Q26" i="13"/>
  <c r="BJ26" i="13"/>
  <c r="L26" i="13"/>
  <c r="CN26" i="13"/>
  <c r="AU26" i="13"/>
  <c r="AF29" i="13"/>
  <c r="BQ35" i="14"/>
  <c r="BT8" i="14"/>
  <c r="DW14" i="14"/>
  <c r="CI14" i="14"/>
  <c r="AU14" i="14"/>
  <c r="G14" i="14"/>
  <c r="DR14" i="14"/>
  <c r="CD14" i="14"/>
  <c r="AP14" i="14"/>
  <c r="DH14" i="14"/>
  <c r="BO14" i="14"/>
  <c r="V14" i="14"/>
  <c r="EQ14" i="14"/>
  <c r="CX14" i="14"/>
  <c r="BE14" i="14"/>
  <c r="L14" i="14"/>
  <c r="CS14" i="14"/>
  <c r="DR15" i="14"/>
  <c r="CD15" i="14"/>
  <c r="AP15" i="14"/>
  <c r="EG15" i="14"/>
  <c r="AZ15" i="14"/>
  <c r="CN15" i="14"/>
  <c r="G15" i="14"/>
  <c r="EB15" i="14"/>
  <c r="AU15" i="14"/>
  <c r="CS15" i="14"/>
  <c r="EL15" i="14"/>
  <c r="DW15" i="14"/>
  <c r="AF15" i="14"/>
  <c r="CI15" i="14"/>
  <c r="AK15" i="14"/>
  <c r="BT15" i="14"/>
  <c r="V15" i="14"/>
  <c r="DC15" i="14"/>
  <c r="EG21" i="14"/>
  <c r="CS21" i="14"/>
  <c r="BE21" i="14"/>
  <c r="Q21" i="14"/>
  <c r="EL21" i="14"/>
  <c r="L21" i="14"/>
  <c r="AZ21" i="14"/>
  <c r="CN21" i="14"/>
  <c r="G21" i="14"/>
  <c r="DR21" i="14"/>
  <c r="BY21" i="14"/>
  <c r="AF21" i="14"/>
  <c r="DH21" i="14"/>
  <c r="BO21" i="14"/>
  <c r="V21" i="14"/>
  <c r="EQ21" i="14"/>
  <c r="AP21" i="14"/>
  <c r="AA21" i="14"/>
  <c r="EL23" i="14"/>
  <c r="CX23" i="14"/>
  <c r="BJ23" i="14"/>
  <c r="V23" i="14"/>
  <c r="BT23" i="14"/>
  <c r="DH23" i="14"/>
  <c r="AA23" i="14"/>
  <c r="EV23" i="14"/>
  <c r="BO23" i="14"/>
  <c r="DR23" i="14"/>
  <c r="BY23" i="14"/>
  <c r="DC23" i="14"/>
  <c r="BE23" i="14"/>
  <c r="L23" i="14"/>
  <c r="DW23" i="14"/>
  <c r="Q23" i="14"/>
  <c r="AZ23" i="14"/>
  <c r="AU23" i="14"/>
  <c r="AK21" i="15"/>
  <c r="EQ25" i="15"/>
  <c r="DC25" i="15"/>
  <c r="BO25" i="15"/>
  <c r="AA25" i="15"/>
  <c r="CN25" i="15"/>
  <c r="G25" i="15"/>
  <c r="CS25" i="15"/>
  <c r="AZ25" i="15"/>
  <c r="EL25" i="15"/>
  <c r="AU25" i="15"/>
  <c r="EG25" i="15"/>
  <c r="BT25" i="15"/>
  <c r="V25" i="15"/>
  <c r="DM25" i="15"/>
  <c r="Q25" i="15"/>
  <c r="BE25" i="15"/>
  <c r="DW25" i="15"/>
  <c r="BY25" i="15"/>
  <c r="DH25" i="15"/>
  <c r="DJ35" i="16"/>
  <c r="R10" i="19"/>
  <c r="R26" i="19"/>
  <c r="S12" i="19"/>
  <c r="S28" i="19"/>
  <c r="T14" i="19"/>
  <c r="T30" i="19"/>
  <c r="AU19" i="6"/>
  <c r="EB19" i="6"/>
  <c r="AT30" i="6"/>
  <c r="F30" i="6"/>
  <c r="EV30" i="6"/>
  <c r="DH30" i="6"/>
  <c r="BT30" i="6"/>
  <c r="AF30" i="6"/>
  <c r="AP30" i="6"/>
  <c r="CI30" i="6"/>
  <c r="EB33" i="6"/>
  <c r="CN33" i="6"/>
  <c r="AZ33" i="6"/>
  <c r="L33" i="6"/>
  <c r="CD33" i="6"/>
  <c r="EL9" i="7"/>
  <c r="CX9" i="7"/>
  <c r="BJ9" i="7"/>
  <c r="V9" i="7"/>
  <c r="K9" i="7"/>
  <c r="AP9" i="7"/>
  <c r="DW9" i="7"/>
  <c r="DT36" i="7" s="1"/>
  <c r="DT37" i="7" s="1"/>
  <c r="E28" i="19" s="1"/>
  <c r="AT12" i="7"/>
  <c r="CI12" i="7"/>
  <c r="AA25" i="7"/>
  <c r="Z26" i="7"/>
  <c r="EB26" i="7"/>
  <c r="CN26" i="7"/>
  <c r="AZ26" i="7"/>
  <c r="L26" i="7"/>
  <c r="AP26" i="7"/>
  <c r="DW26" i="7"/>
  <c r="AT13" i="8"/>
  <c r="EB13" i="8"/>
  <c r="AU17" i="8"/>
  <c r="EB17" i="8"/>
  <c r="DR21" i="8"/>
  <c r="CD21" i="8"/>
  <c r="AP21" i="8"/>
  <c r="AO21" i="8"/>
  <c r="AE21" i="8"/>
  <c r="AT21" i="8"/>
  <c r="CI21" i="8"/>
  <c r="AF32" i="8"/>
  <c r="BY32" i="8"/>
  <c r="EQ4" i="9"/>
  <c r="BO4" i="9"/>
  <c r="DC4" i="9"/>
  <c r="AA4" i="9"/>
  <c r="EG4" i="9"/>
  <c r="CS4" i="9"/>
  <c r="BE4" i="9"/>
  <c r="Q4" i="9"/>
  <c r="AP4" i="9"/>
  <c r="CI4" i="9"/>
  <c r="CF36" i="9" s="1"/>
  <c r="EB4" i="9"/>
  <c r="DY36" i="9" s="1"/>
  <c r="DY37" i="9" s="1"/>
  <c r="G29" i="19" s="1"/>
  <c r="AP19" i="9"/>
  <c r="DW19" i="9"/>
  <c r="AA31" i="9"/>
  <c r="EG32" i="9"/>
  <c r="CS32" i="9"/>
  <c r="BE32" i="9"/>
  <c r="Q32" i="9"/>
  <c r="DW32" i="9"/>
  <c r="CI32" i="9"/>
  <c r="AU32" i="9"/>
  <c r="G32" i="9"/>
  <c r="AP32" i="9"/>
  <c r="AC35" i="10"/>
  <c r="AF11" i="10"/>
  <c r="DW23" i="10"/>
  <c r="CI23" i="10"/>
  <c r="AU23" i="10"/>
  <c r="G23" i="10"/>
  <c r="BT23" i="10"/>
  <c r="DH23" i="10"/>
  <c r="AA23" i="10"/>
  <c r="CX23" i="10"/>
  <c r="Q23" i="10"/>
  <c r="CN23" i="10"/>
  <c r="DE35" i="11"/>
  <c r="BY12" i="11"/>
  <c r="AA16" i="11"/>
  <c r="BY16" i="11"/>
  <c r="EL22" i="11"/>
  <c r="AU28" i="11"/>
  <c r="CN28" i="11"/>
  <c r="AF29" i="11"/>
  <c r="AR35" i="12"/>
  <c r="AA5" i="12"/>
  <c r="DR9" i="12"/>
  <c r="CD9" i="12"/>
  <c r="AP9" i="12"/>
  <c r="EV9" i="12"/>
  <c r="DH9" i="12"/>
  <c r="BT9" i="12"/>
  <c r="AF9" i="12"/>
  <c r="AA9" i="12"/>
  <c r="X36" i="12" s="1"/>
  <c r="DM9" i="12"/>
  <c r="EG9" i="12"/>
  <c r="AF24" i="12"/>
  <c r="AF29" i="12"/>
  <c r="CI5" i="13"/>
  <c r="AA6" i="13"/>
  <c r="EG10" i="13"/>
  <c r="CS10" i="13"/>
  <c r="BE10" i="13"/>
  <c r="Q10" i="13"/>
  <c r="DW10" i="13"/>
  <c r="CI10" i="13"/>
  <c r="AU10" i="13"/>
  <c r="G10" i="13"/>
  <c r="AZ10" i="13"/>
  <c r="EL10" i="13"/>
  <c r="CD10" i="13"/>
  <c r="CA36" i="13" s="1"/>
  <c r="CA37" i="13" s="1"/>
  <c r="K19" i="19" s="1"/>
  <c r="AK10" i="13"/>
  <c r="EQ10" i="13"/>
  <c r="CX26" i="13"/>
  <c r="AZ14" i="14"/>
  <c r="DC14" i="14"/>
  <c r="BE15" i="14"/>
  <c r="BJ21" i="14"/>
  <c r="EB26" i="14"/>
  <c r="CN26" i="14"/>
  <c r="AZ26" i="14"/>
  <c r="L26" i="14"/>
  <c r="CI26" i="14"/>
  <c r="DW26" i="14"/>
  <c r="AP26" i="14"/>
  <c r="DM26" i="14"/>
  <c r="AF26" i="14"/>
  <c r="CX26" i="14"/>
  <c r="BE26" i="14"/>
  <c r="G26" i="14"/>
  <c r="EQ26" i="14"/>
  <c r="EG26" i="14"/>
  <c r="AU26" i="14"/>
  <c r="CS26" i="14"/>
  <c r="EV26" i="14"/>
  <c r="AH35" i="15"/>
  <c r="EQ22" i="15"/>
  <c r="DC22" i="15"/>
  <c r="BO22" i="15"/>
  <c r="AA22" i="15"/>
  <c r="CS22" i="15"/>
  <c r="L22" i="15"/>
  <c r="AK22" i="15"/>
  <c r="DR22" i="15"/>
  <c r="BY22" i="15"/>
  <c r="AF22" i="15"/>
  <c r="DH22" i="15"/>
  <c r="BJ22" i="15"/>
  <c r="EV22" i="15"/>
  <c r="BE22" i="15"/>
  <c r="G22" i="15"/>
  <c r="EL22" i="15"/>
  <c r="V22" i="15"/>
  <c r="DW22" i="15"/>
  <c r="AZ22" i="15"/>
  <c r="N35" i="16"/>
  <c r="BD6" i="7"/>
  <c r="P6" i="7"/>
  <c r="DR6" i="7"/>
  <c r="DO36" i="7" s="1"/>
  <c r="CD6" i="7"/>
  <c r="AP6" i="7"/>
  <c r="CI6" i="7"/>
  <c r="EQ11" i="7"/>
  <c r="DC11" i="7"/>
  <c r="BO11" i="7"/>
  <c r="AA11" i="7"/>
  <c r="CD11" i="7"/>
  <c r="EQ32" i="8"/>
  <c r="DC32" i="8"/>
  <c r="BO32" i="8"/>
  <c r="AA32" i="8"/>
  <c r="EG32" i="8"/>
  <c r="CS32" i="8"/>
  <c r="BE32" i="8"/>
  <c r="Q32" i="8"/>
  <c r="AP32" i="8"/>
  <c r="CI32" i="8"/>
  <c r="EB32" i="8"/>
  <c r="EN35" i="9"/>
  <c r="EB4" i="10"/>
  <c r="CN4" i="10"/>
  <c r="AZ4" i="10"/>
  <c r="L4" i="10"/>
  <c r="CI4" i="10"/>
  <c r="AP4" i="10"/>
  <c r="DW4" i="10"/>
  <c r="DM4" i="10"/>
  <c r="AF4" i="10"/>
  <c r="AR35" i="10"/>
  <c r="EG11" i="10"/>
  <c r="CS11" i="10"/>
  <c r="BE11" i="10"/>
  <c r="Q11" i="10"/>
  <c r="CN11" i="10"/>
  <c r="G11" i="10"/>
  <c r="EB11" i="10"/>
  <c r="AU11" i="10"/>
  <c r="DR11" i="10"/>
  <c r="AK11" i="10"/>
  <c r="EL11" i="10"/>
  <c r="DR32" i="10"/>
  <c r="CD32" i="10"/>
  <c r="AP32" i="10"/>
  <c r="CX32" i="10"/>
  <c r="Q32" i="10"/>
  <c r="EL32" i="10"/>
  <c r="BE32" i="10"/>
  <c r="EB32" i="10"/>
  <c r="AU32" i="10"/>
  <c r="EG32" i="10"/>
  <c r="D35" i="11"/>
  <c r="EN35" i="11"/>
  <c r="DR8" i="14"/>
  <c r="CD8" i="14"/>
  <c r="AP8" i="14"/>
  <c r="EB8" i="14"/>
  <c r="AU8" i="14"/>
  <c r="CI8" i="14"/>
  <c r="DM8" i="14"/>
  <c r="AF8" i="14"/>
  <c r="EL8" i="14"/>
  <c r="CN8" i="14"/>
  <c r="DW8" i="14"/>
  <c r="BY8" i="14"/>
  <c r="BV36" i="14" s="1"/>
  <c r="EQ8" i="14"/>
  <c r="EG21" i="15"/>
  <c r="CS21" i="15"/>
  <c r="BE21" i="15"/>
  <c r="Q21" i="15"/>
  <c r="EQ21" i="15"/>
  <c r="BJ21" i="15"/>
  <c r="EL21" i="15"/>
  <c r="AZ21" i="15"/>
  <c r="DR21" i="15"/>
  <c r="AF21" i="15"/>
  <c r="AU21" i="15"/>
  <c r="CN21" i="15"/>
  <c r="V21" i="15"/>
  <c r="DM21" i="15"/>
  <c r="BT21" i="15"/>
  <c r="DC21" i="15"/>
  <c r="G21" i="15"/>
  <c r="DW21" i="15"/>
  <c r="L21" i="15"/>
  <c r="EG26" i="16"/>
  <c r="CS26" i="16"/>
  <c r="BE26" i="16"/>
  <c r="Q26" i="16"/>
  <c r="BT26" i="16"/>
  <c r="EV26" i="16"/>
  <c r="BO26" i="16"/>
  <c r="DW26" i="16"/>
  <c r="AK26" i="16"/>
  <c r="CD26" i="16"/>
  <c r="DR26" i="16"/>
  <c r="AF26" i="16"/>
  <c r="AZ26" i="16"/>
  <c r="CX26" i="16"/>
  <c r="EQ26" i="16"/>
  <c r="AU26" i="16"/>
  <c r="CI26" i="16"/>
  <c r="AA26" i="16"/>
  <c r="L26" i="16"/>
  <c r="DM26" i="16"/>
  <c r="DH26" i="16"/>
  <c r="R15" i="19"/>
  <c r="S17" i="19"/>
  <c r="S33" i="19"/>
  <c r="T19" i="19"/>
  <c r="P19" i="6"/>
  <c r="BJ19" i="6"/>
  <c r="EQ19" i="6"/>
  <c r="AT6" i="7"/>
  <c r="AR35" i="7" s="1"/>
  <c r="AR37" i="7" s="1"/>
  <c r="E12" i="19" s="1"/>
  <c r="EB6" i="7"/>
  <c r="AP11" i="7"/>
  <c r="DW11" i="7"/>
  <c r="L12" i="7"/>
  <c r="BI12" i="7"/>
  <c r="CX12" i="7"/>
  <c r="EL25" i="7"/>
  <c r="CX25" i="7"/>
  <c r="BJ25" i="7"/>
  <c r="V25" i="7"/>
  <c r="CD25" i="7"/>
  <c r="F6" i="8"/>
  <c r="DR6" i="8"/>
  <c r="CD6" i="8"/>
  <c r="AP6" i="8"/>
  <c r="AM36" i="8" s="1"/>
  <c r="EV6" i="8"/>
  <c r="DH6" i="8"/>
  <c r="BT6" i="8"/>
  <c r="AF6" i="8"/>
  <c r="L13" i="8"/>
  <c r="EQ13" i="8"/>
  <c r="L17" i="8"/>
  <c r="CX17" i="8"/>
  <c r="ES35" i="9"/>
  <c r="L19" i="9"/>
  <c r="CS19" i="9"/>
  <c r="EG31" i="9"/>
  <c r="CS31" i="9"/>
  <c r="BE31" i="9"/>
  <c r="Q31" i="9"/>
  <c r="CD31" i="9"/>
  <c r="AU4" i="10"/>
  <c r="AR36" i="10" s="1"/>
  <c r="EL4" i="10"/>
  <c r="CN32" i="10"/>
  <c r="EL12" i="11"/>
  <c r="CX12" i="11"/>
  <c r="BJ12" i="11"/>
  <c r="V12" i="11"/>
  <c r="BT12" i="11"/>
  <c r="DH12" i="11"/>
  <c r="AA12" i="11"/>
  <c r="BE12" i="11"/>
  <c r="AP12" i="11"/>
  <c r="EV16" i="11"/>
  <c r="DH16" i="11"/>
  <c r="BT16" i="11"/>
  <c r="AF16" i="11"/>
  <c r="CX16" i="11"/>
  <c r="Q16" i="11"/>
  <c r="EL16" i="11"/>
  <c r="BE16" i="11"/>
  <c r="EB16" i="11"/>
  <c r="AU16" i="11"/>
  <c r="AP16" i="11"/>
  <c r="EG16" i="11"/>
  <c r="BJ22" i="11"/>
  <c r="L28" i="11"/>
  <c r="DC28" i="11"/>
  <c r="EL29" i="11"/>
  <c r="CX29" i="11"/>
  <c r="BJ29" i="11"/>
  <c r="V29" i="11"/>
  <c r="EB29" i="11"/>
  <c r="CN29" i="11"/>
  <c r="AZ29" i="11"/>
  <c r="L29" i="11"/>
  <c r="Q29" i="11"/>
  <c r="EV29" i="11"/>
  <c r="DC29" i="11"/>
  <c r="AU29" i="11"/>
  <c r="EV32" i="11"/>
  <c r="DH32" i="11"/>
  <c r="BT32" i="11"/>
  <c r="AF32" i="11"/>
  <c r="BY32" i="11"/>
  <c r="DM32" i="11"/>
  <c r="EQ32" i="11"/>
  <c r="BJ32" i="11"/>
  <c r="CI32" i="11"/>
  <c r="EB32" i="11"/>
  <c r="EV5" i="12"/>
  <c r="DH5" i="12"/>
  <c r="BT5" i="12"/>
  <c r="AF5" i="12"/>
  <c r="EL5" i="12"/>
  <c r="CX5" i="12"/>
  <c r="BJ5" i="12"/>
  <c r="V5" i="12"/>
  <c r="EG5" i="12"/>
  <c r="CN5" i="12"/>
  <c r="AU5" i="12"/>
  <c r="DW5" i="12"/>
  <c r="DT36" i="12" s="1"/>
  <c r="CD5" i="12"/>
  <c r="AK5" i="12"/>
  <c r="CS5" i="12"/>
  <c r="CP36" i="12" s="1"/>
  <c r="EB24" i="12"/>
  <c r="CN24" i="12"/>
  <c r="AZ24" i="12"/>
  <c r="L24" i="12"/>
  <c r="DR24" i="12"/>
  <c r="CD24" i="12"/>
  <c r="AP24" i="12"/>
  <c r="DM24" i="12"/>
  <c r="BT24" i="12"/>
  <c r="AA24" i="12"/>
  <c r="EV24" i="12"/>
  <c r="DC24" i="12"/>
  <c r="BJ24" i="12"/>
  <c r="Q24" i="12"/>
  <c r="AU24" i="12"/>
  <c r="EG29" i="12"/>
  <c r="CS29" i="12"/>
  <c r="BE29" i="12"/>
  <c r="Q29" i="12"/>
  <c r="CN29" i="12"/>
  <c r="G29" i="12"/>
  <c r="EB29" i="12"/>
  <c r="AU29" i="12"/>
  <c r="DR29" i="12"/>
  <c r="AK29" i="12"/>
  <c r="DM29" i="12"/>
  <c r="BT29" i="12"/>
  <c r="V29" i="12"/>
  <c r="EV29" i="12"/>
  <c r="EQ5" i="13"/>
  <c r="DC5" i="13"/>
  <c r="BO5" i="13"/>
  <c r="AA5" i="13"/>
  <c r="DR5" i="13"/>
  <c r="AK5" i="13"/>
  <c r="BY5" i="13"/>
  <c r="AF5" i="13"/>
  <c r="DM5" i="13"/>
  <c r="EV5" i="13"/>
  <c r="BJ5" i="13"/>
  <c r="BG36" i="13" s="1"/>
  <c r="BG37" i="13" s="1"/>
  <c r="K15" i="19" s="1"/>
  <c r="Q5" i="13"/>
  <c r="DH5" i="13"/>
  <c r="L5" i="13"/>
  <c r="AZ5" i="13"/>
  <c r="DW6" i="13"/>
  <c r="DT36" i="13" s="1"/>
  <c r="CI6" i="13"/>
  <c r="AU6" i="13"/>
  <c r="G6" i="13"/>
  <c r="EG6" i="13"/>
  <c r="AZ6" i="13"/>
  <c r="CN6" i="13"/>
  <c r="DR6" i="13"/>
  <c r="AK6" i="13"/>
  <c r="CX6" i="13"/>
  <c r="BE6" i="13"/>
  <c r="EQ6" i="13"/>
  <c r="AP6" i="13"/>
  <c r="DM26" i="13"/>
  <c r="DW29" i="13"/>
  <c r="CI29" i="13"/>
  <c r="AU29" i="13"/>
  <c r="G29" i="13"/>
  <c r="CN29" i="13"/>
  <c r="EB29" i="13"/>
  <c r="AP29" i="13"/>
  <c r="DM29" i="13"/>
  <c r="BT29" i="13"/>
  <c r="AA29" i="13"/>
  <c r="EV29" i="13"/>
  <c r="DC29" i="13"/>
  <c r="BJ29" i="13"/>
  <c r="Q29" i="13"/>
  <c r="BY29" i="13"/>
  <c r="V29" i="13"/>
  <c r="DH29" i="13"/>
  <c r="AZ29" i="13"/>
  <c r="AH35" i="14"/>
  <c r="CF35" i="14"/>
  <c r="CS8" i="14"/>
  <c r="Q14" i="14"/>
  <c r="DH26" i="14"/>
  <c r="D35" i="15"/>
  <c r="DH21" i="15"/>
  <c r="EB25" i="15"/>
  <c r="BL35" i="16"/>
  <c r="EQ21" i="16"/>
  <c r="DC21" i="16"/>
  <c r="BO21" i="16"/>
  <c r="AA21" i="16"/>
  <c r="DW21" i="16"/>
  <c r="AP21" i="16"/>
  <c r="BY21" i="16"/>
  <c r="AF21" i="16"/>
  <c r="EG21" i="16"/>
  <c r="CN21" i="16"/>
  <c r="AU21" i="16"/>
  <c r="CI21" i="16"/>
  <c r="AK21" i="16"/>
  <c r="V21" i="16"/>
  <c r="EB21" i="16"/>
  <c r="CD21" i="16"/>
  <c r="DR21" i="16"/>
  <c r="L21" i="16"/>
  <c r="DM21" i="16"/>
  <c r="BJ21" i="16"/>
  <c r="G21" i="16"/>
  <c r="CX21" i="16"/>
  <c r="BE21" i="16"/>
  <c r="EG33" i="16"/>
  <c r="CS33" i="16"/>
  <c r="BE33" i="16"/>
  <c r="Q33" i="16"/>
  <c r="EB33" i="16"/>
  <c r="AU33" i="16"/>
  <c r="BT33" i="16"/>
  <c r="AA33" i="16"/>
  <c r="CI33" i="16"/>
  <c r="AF33" i="16"/>
  <c r="DR33" i="16"/>
  <c r="BY33" i="16"/>
  <c r="DM33" i="16"/>
  <c r="DW33" i="16"/>
  <c r="V33" i="16"/>
  <c r="BO33" i="16"/>
  <c r="G33" i="16"/>
  <c r="BJ33" i="16"/>
  <c r="DH33" i="16"/>
  <c r="CX33" i="16"/>
  <c r="AZ33" i="16"/>
  <c r="AK12" i="5"/>
  <c r="BY12" i="5"/>
  <c r="AK28" i="5"/>
  <c r="BY28" i="5"/>
  <c r="R17" i="19"/>
  <c r="R33" i="19"/>
  <c r="T5" i="19"/>
  <c r="T21" i="19"/>
  <c r="AK16" i="6"/>
  <c r="BY16" i="6"/>
  <c r="Z27" i="6"/>
  <c r="AK32" i="6"/>
  <c r="BY32" i="6"/>
  <c r="AK4" i="7"/>
  <c r="BY4" i="7"/>
  <c r="BV36" i="7" s="1"/>
  <c r="BV37" i="7" s="1"/>
  <c r="E18" i="19" s="1"/>
  <c r="Z15" i="7"/>
  <c r="AK20" i="7"/>
  <c r="BY20" i="7"/>
  <c r="Z31" i="7"/>
  <c r="AA4" i="8"/>
  <c r="BO4" i="8"/>
  <c r="DC4" i="8"/>
  <c r="EQ4" i="8"/>
  <c r="AK8" i="8"/>
  <c r="BY8" i="8"/>
  <c r="Z19" i="8"/>
  <c r="X35" i="8" s="1"/>
  <c r="AA20" i="8"/>
  <c r="BO20" i="8"/>
  <c r="DC20" i="8"/>
  <c r="EQ20" i="8"/>
  <c r="AK24" i="8"/>
  <c r="BY24" i="8"/>
  <c r="AA8" i="9"/>
  <c r="BO8" i="9"/>
  <c r="DC8" i="9"/>
  <c r="EQ8" i="9"/>
  <c r="AK12" i="9"/>
  <c r="BY12" i="9"/>
  <c r="AA24" i="9"/>
  <c r="BO24" i="9"/>
  <c r="DC24" i="9"/>
  <c r="EQ24" i="9"/>
  <c r="AK28" i="9"/>
  <c r="BY28" i="9"/>
  <c r="AA7" i="10"/>
  <c r="EL8" i="10"/>
  <c r="CX8" i="10"/>
  <c r="BJ8" i="10"/>
  <c r="V8" i="10"/>
  <c r="CD8" i="10"/>
  <c r="DW18" i="10"/>
  <c r="CI18" i="10"/>
  <c r="AU18" i="10"/>
  <c r="G18" i="10"/>
  <c r="CD18" i="10"/>
  <c r="AA27" i="10"/>
  <c r="EV28" i="10"/>
  <c r="DH28" i="10"/>
  <c r="BT28" i="10"/>
  <c r="AF28" i="10"/>
  <c r="CD28" i="10"/>
  <c r="BL35" i="11"/>
  <c r="AF13" i="11"/>
  <c r="BY13" i="11"/>
  <c r="EQ31" i="11"/>
  <c r="DC31" i="11"/>
  <c r="BO31" i="11"/>
  <c r="AA31" i="11"/>
  <c r="EG31" i="11"/>
  <c r="CS31" i="11"/>
  <c r="BE31" i="11"/>
  <c r="Q31" i="11"/>
  <c r="AP31" i="11"/>
  <c r="CI31" i="11"/>
  <c r="EB31" i="11"/>
  <c r="EQ17" i="12"/>
  <c r="DC17" i="12"/>
  <c r="BO17" i="12"/>
  <c r="AA17" i="12"/>
  <c r="CI17" i="12"/>
  <c r="DW17" i="12"/>
  <c r="AP17" i="12"/>
  <c r="DM17" i="12"/>
  <c r="AF17" i="12"/>
  <c r="EG17" i="12"/>
  <c r="N35" i="13"/>
  <c r="DE35" i="13"/>
  <c r="EL14" i="13"/>
  <c r="CX14" i="13"/>
  <c r="BJ14" i="13"/>
  <c r="V14" i="13"/>
  <c r="DH14" i="13"/>
  <c r="AA14" i="13"/>
  <c r="EV14" i="13"/>
  <c r="BO14" i="13"/>
  <c r="CS14" i="13"/>
  <c r="L14" i="13"/>
  <c r="EG14" i="13"/>
  <c r="CU35" i="14"/>
  <c r="AF34" i="14"/>
  <c r="CI6" i="15"/>
  <c r="D35" i="16"/>
  <c r="I35" i="16"/>
  <c r="EB15" i="16"/>
  <c r="CN15" i="16"/>
  <c r="AZ15" i="16"/>
  <c r="L15" i="16"/>
  <c r="DR15" i="16"/>
  <c r="AK15" i="16"/>
  <c r="BT15" i="16"/>
  <c r="AA15" i="16"/>
  <c r="Q15" i="16"/>
  <c r="CI15" i="16"/>
  <c r="AP15" i="16"/>
  <c r="BO15" i="16"/>
  <c r="BJ15" i="16"/>
  <c r="G15" i="16"/>
  <c r="EL15" i="16"/>
  <c r="CS15" i="16"/>
  <c r="DC15" i="16"/>
  <c r="EV15" i="16"/>
  <c r="AU15" i="16"/>
  <c r="CX15" i="16"/>
  <c r="AF15" i="16"/>
  <c r="CI28" i="16"/>
  <c r="AK4" i="8"/>
  <c r="BY4" i="8"/>
  <c r="DM4" i="8"/>
  <c r="AK20" i="8"/>
  <c r="BY20" i="8"/>
  <c r="DM20" i="8"/>
  <c r="AK8" i="9"/>
  <c r="DM8" i="9"/>
  <c r="AK24" i="9"/>
  <c r="BY24" i="9"/>
  <c r="CF35" i="10"/>
  <c r="EL24" i="10"/>
  <c r="CX24" i="10"/>
  <c r="BJ24" i="10"/>
  <c r="V24" i="10"/>
  <c r="CD24" i="10"/>
  <c r="DW34" i="10"/>
  <c r="CI34" i="10"/>
  <c r="AU34" i="10"/>
  <c r="G34" i="10"/>
  <c r="CD34" i="10"/>
  <c r="EB8" i="11"/>
  <c r="CN8" i="11"/>
  <c r="AZ8" i="11"/>
  <c r="L8" i="11"/>
  <c r="CD8" i="11"/>
  <c r="EL13" i="11"/>
  <c r="CX13" i="11"/>
  <c r="BJ13" i="11"/>
  <c r="V13" i="11"/>
  <c r="EB13" i="11"/>
  <c r="CN13" i="11"/>
  <c r="AZ13" i="11"/>
  <c r="L13" i="11"/>
  <c r="AP13" i="11"/>
  <c r="CI13" i="11"/>
  <c r="AC35" i="12"/>
  <c r="BV35" i="12"/>
  <c r="DR28" i="12"/>
  <c r="CD28" i="12"/>
  <c r="AP28" i="12"/>
  <c r="EV28" i="12"/>
  <c r="DH28" i="12"/>
  <c r="BT28" i="12"/>
  <c r="AF28" i="12"/>
  <c r="CI28" i="12"/>
  <c r="EB28" i="12"/>
  <c r="DW12" i="13"/>
  <c r="CI12" i="13"/>
  <c r="AU12" i="13"/>
  <c r="G12" i="13"/>
  <c r="DR12" i="13"/>
  <c r="AK12" i="13"/>
  <c r="BY12" i="13"/>
  <c r="EV12" i="13"/>
  <c r="BO12" i="13"/>
  <c r="AP12" i="13"/>
  <c r="CN12" i="13"/>
  <c r="EG12" i="13"/>
  <c r="DR27" i="13"/>
  <c r="CD27" i="13"/>
  <c r="AP27" i="13"/>
  <c r="DM27" i="13"/>
  <c r="AF27" i="13"/>
  <c r="BT27" i="13"/>
  <c r="AK27" i="13"/>
  <c r="DW27" i="13"/>
  <c r="DH27" i="13"/>
  <c r="BO27" i="13"/>
  <c r="V27" i="13"/>
  <c r="AU27" i="13"/>
  <c r="CP35" i="14"/>
  <c r="EQ34" i="14"/>
  <c r="DC34" i="14"/>
  <c r="BO34" i="14"/>
  <c r="AA34" i="14"/>
  <c r="EV34" i="14"/>
  <c r="V34" i="14"/>
  <c r="BJ34" i="14"/>
  <c r="EG34" i="14"/>
  <c r="AZ34" i="14"/>
  <c r="AP34" i="14"/>
  <c r="EB34" i="14"/>
  <c r="EL6" i="15"/>
  <c r="CX6" i="15"/>
  <c r="BJ6" i="15"/>
  <c r="V6" i="15"/>
  <c r="DM6" i="15"/>
  <c r="DR6" i="15"/>
  <c r="DO36" i="15" s="1"/>
  <c r="BY6" i="15"/>
  <c r="AF6" i="15"/>
  <c r="BT6" i="15"/>
  <c r="BQ36" i="15" s="1"/>
  <c r="DC6" i="15"/>
  <c r="BE6" i="15"/>
  <c r="BB36" i="15" s="1"/>
  <c r="BB37" i="15" s="1"/>
  <c r="M14" i="19" s="1"/>
  <c r="L6" i="15"/>
  <c r="AU6" i="15"/>
  <c r="CS6" i="15"/>
  <c r="EV15" i="15"/>
  <c r="DH15" i="15"/>
  <c r="BT15" i="15"/>
  <c r="AF15" i="15"/>
  <c r="EB15" i="15"/>
  <c r="AU15" i="15"/>
  <c r="CD15" i="15"/>
  <c r="AK15" i="15"/>
  <c r="CI15" i="15"/>
  <c r="DW15" i="15"/>
  <c r="DC15" i="15"/>
  <c r="L15" i="15"/>
  <c r="BE15" i="15"/>
  <c r="CX15" i="15"/>
  <c r="G15" i="15"/>
  <c r="EL15" i="15"/>
  <c r="DW28" i="15"/>
  <c r="CI28" i="15"/>
  <c r="AU28" i="15"/>
  <c r="G28" i="15"/>
  <c r="DH28" i="15"/>
  <c r="AA28" i="15"/>
  <c r="EV28" i="15"/>
  <c r="BO28" i="15"/>
  <c r="DC28" i="15"/>
  <c r="V28" i="15"/>
  <c r="BY28" i="15"/>
  <c r="AF28" i="15"/>
  <c r="DR28" i="15"/>
  <c r="Q28" i="15"/>
  <c r="AZ28" i="15"/>
  <c r="S35" i="16"/>
  <c r="L33" i="16"/>
  <c r="AK7" i="5"/>
  <c r="BY7" i="5"/>
  <c r="AK23" i="5"/>
  <c r="BY23" i="5"/>
  <c r="R6" i="19"/>
  <c r="R22" i="19"/>
  <c r="T10" i="19"/>
  <c r="T26" i="19"/>
  <c r="AK11" i="6"/>
  <c r="BY11" i="6"/>
  <c r="AK27" i="6"/>
  <c r="BY27" i="6"/>
  <c r="AK15" i="7"/>
  <c r="BY15" i="7"/>
  <c r="AK31" i="7"/>
  <c r="BY31" i="7"/>
  <c r="AK19" i="8"/>
  <c r="BY19" i="8"/>
  <c r="AK7" i="9"/>
  <c r="BY7" i="9"/>
  <c r="AK23" i="9"/>
  <c r="BY23" i="9"/>
  <c r="DW7" i="10"/>
  <c r="CI7" i="10"/>
  <c r="AU7" i="10"/>
  <c r="G7" i="10"/>
  <c r="CD7" i="10"/>
  <c r="EV17" i="10"/>
  <c r="DH17" i="10"/>
  <c r="BT17" i="10"/>
  <c r="AF17" i="10"/>
  <c r="CD17" i="10"/>
  <c r="AP24" i="10"/>
  <c r="DW24" i="10"/>
  <c r="EG27" i="10"/>
  <c r="CS27" i="10"/>
  <c r="BE27" i="10"/>
  <c r="Q27" i="10"/>
  <c r="CD27" i="10"/>
  <c r="AP34" i="10"/>
  <c r="AP8" i="11"/>
  <c r="DW8" i="11"/>
  <c r="EG13" i="11"/>
  <c r="EQ30" i="11"/>
  <c r="DC30" i="11"/>
  <c r="BO30" i="11"/>
  <c r="AA30" i="11"/>
  <c r="CD30" i="11"/>
  <c r="AH35" i="12"/>
  <c r="DO35" i="12"/>
  <c r="AC35" i="13"/>
  <c r="CS27" i="13"/>
  <c r="EQ27" i="13"/>
  <c r="CN34" i="14"/>
  <c r="BQ35" i="15"/>
  <c r="DJ35" i="15"/>
  <c r="EV6" i="15"/>
  <c r="AZ15" i="15"/>
  <c r="CX28" i="15"/>
  <c r="CA35" i="16"/>
  <c r="DR11" i="16"/>
  <c r="CD11" i="16"/>
  <c r="AP11" i="16"/>
  <c r="CN11" i="16"/>
  <c r="G11" i="16"/>
  <c r="CS11" i="16"/>
  <c r="AZ11" i="16"/>
  <c r="BO11" i="16"/>
  <c r="V11" i="16"/>
  <c r="AA11" i="16"/>
  <c r="CI11" i="16"/>
  <c r="AK11" i="16"/>
  <c r="AF11" i="16"/>
  <c r="EL11" i="16"/>
  <c r="EG11" i="16"/>
  <c r="DM11" i="16"/>
  <c r="BJ11" i="16"/>
  <c r="DH11" i="16"/>
  <c r="EV11" i="16"/>
  <c r="EB28" i="16"/>
  <c r="CN28" i="16"/>
  <c r="AZ28" i="16"/>
  <c r="L28" i="16"/>
  <c r="DR28" i="16"/>
  <c r="AK28" i="16"/>
  <c r="BT28" i="16"/>
  <c r="AA28" i="16"/>
  <c r="AF28" i="16"/>
  <c r="DM28" i="16"/>
  <c r="DC28" i="16"/>
  <c r="BJ28" i="16"/>
  <c r="EV28" i="16"/>
  <c r="G28" i="16"/>
  <c r="CX28" i="16"/>
  <c r="BE28" i="16"/>
  <c r="DH28" i="16"/>
  <c r="CS28" i="16"/>
  <c r="EL33" i="16"/>
  <c r="AK19" i="10"/>
  <c r="BY19" i="10"/>
  <c r="AK7" i="11"/>
  <c r="BY7" i="11"/>
  <c r="AA19" i="11"/>
  <c r="BO19" i="11"/>
  <c r="DC19" i="11"/>
  <c r="EQ19" i="11"/>
  <c r="AK23" i="11"/>
  <c r="BY23" i="11"/>
  <c r="AA7" i="12"/>
  <c r="BO7" i="12"/>
  <c r="DC7" i="12"/>
  <c r="EQ7" i="12"/>
  <c r="AK11" i="12"/>
  <c r="BY11" i="12"/>
  <c r="AA16" i="12"/>
  <c r="BO16" i="12"/>
  <c r="DC16" i="12"/>
  <c r="EQ16" i="12"/>
  <c r="AK34" i="12"/>
  <c r="BY34" i="12"/>
  <c r="CZ35" i="13"/>
  <c r="EQ6" i="14"/>
  <c r="DC6" i="14"/>
  <c r="CZ36" i="14" s="1"/>
  <c r="BO6" i="14"/>
  <c r="AA6" i="14"/>
  <c r="CD6" i="14"/>
  <c r="AK23" i="15"/>
  <c r="EQ26" i="15"/>
  <c r="DC26" i="15"/>
  <c r="BO26" i="15"/>
  <c r="AA26" i="15"/>
  <c r="DM26" i="15"/>
  <c r="AF26" i="15"/>
  <c r="BT26" i="15"/>
  <c r="DH26" i="15"/>
  <c r="AP26" i="15"/>
  <c r="CI26" i="15"/>
  <c r="AA32" i="15"/>
  <c r="DW33" i="15"/>
  <c r="CI33" i="15"/>
  <c r="AU33" i="15"/>
  <c r="G33" i="15"/>
  <c r="EV33" i="15"/>
  <c r="BO33" i="15"/>
  <c r="CS33" i="15"/>
  <c r="AZ33" i="15"/>
  <c r="DH33" i="15"/>
  <c r="DC33" i="15"/>
  <c r="BE33" i="15"/>
  <c r="L33" i="15"/>
  <c r="EQ33" i="15"/>
  <c r="CX33" i="15"/>
  <c r="AP33" i="15"/>
  <c r="EG34" i="16"/>
  <c r="CS34" i="16"/>
  <c r="BE34" i="16"/>
  <c r="Q34" i="16"/>
  <c r="CI34" i="16"/>
  <c r="DC34" i="16"/>
  <c r="BJ34" i="16"/>
  <c r="L34" i="16"/>
  <c r="DH34" i="16"/>
  <c r="EV34" i="16"/>
  <c r="EL34" i="16"/>
  <c r="AU34" i="16"/>
  <c r="AP34" i="16"/>
  <c r="CN34" i="16"/>
  <c r="DR18" i="15"/>
  <c r="CD18" i="15"/>
  <c r="AP18" i="15"/>
  <c r="AK18" i="15"/>
  <c r="DO35" i="16"/>
  <c r="AK19" i="11"/>
  <c r="BY19" i="11"/>
  <c r="AK7" i="12"/>
  <c r="BY7" i="12"/>
  <c r="AK16" i="12"/>
  <c r="BY16" i="12"/>
  <c r="EG33" i="13"/>
  <c r="CS33" i="13"/>
  <c r="BE33" i="13"/>
  <c r="Q33" i="13"/>
  <c r="DR33" i="13"/>
  <c r="AK33" i="13"/>
  <c r="BY33" i="13"/>
  <c r="DM33" i="13"/>
  <c r="AF33" i="13"/>
  <c r="EG10" i="14"/>
  <c r="CS10" i="14"/>
  <c r="BE10" i="14"/>
  <c r="Q10" i="14"/>
  <c r="CD10" i="14"/>
  <c r="EV12" i="14"/>
  <c r="DH12" i="14"/>
  <c r="BT12" i="14"/>
  <c r="AF12" i="14"/>
  <c r="CD12" i="14"/>
  <c r="DW17" i="14"/>
  <c r="CI17" i="14"/>
  <c r="AU17" i="14"/>
  <c r="G17" i="14"/>
  <c r="EV17" i="14"/>
  <c r="BO17" i="14"/>
  <c r="DC17" i="14"/>
  <c r="V17" i="14"/>
  <c r="EQ17" i="14"/>
  <c r="BJ17" i="14"/>
  <c r="AP17" i="14"/>
  <c r="CN17" i="14"/>
  <c r="EG17" i="14"/>
  <c r="DT35" i="15"/>
  <c r="EB7" i="15"/>
  <c r="CN7" i="15"/>
  <c r="AZ7" i="15"/>
  <c r="L7" i="15"/>
  <c r="DH7" i="15"/>
  <c r="AA7" i="15"/>
  <c r="X36" i="15" s="1"/>
  <c r="EG7" i="15"/>
  <c r="ED36" i="15" s="1"/>
  <c r="AU7" i="15"/>
  <c r="EQ7" i="15"/>
  <c r="BE7" i="15"/>
  <c r="G7" i="15"/>
  <c r="CS7" i="15"/>
  <c r="EL7" i="15"/>
  <c r="EG16" i="15"/>
  <c r="CS16" i="15"/>
  <c r="BE16" i="15"/>
  <c r="Q16" i="15"/>
  <c r="EL16" i="15"/>
  <c r="L16" i="15"/>
  <c r="EV16" i="15"/>
  <c r="DC16" i="15"/>
  <c r="V16" i="15"/>
  <c r="BJ16" i="15"/>
  <c r="EQ16" i="15"/>
  <c r="CX16" i="15"/>
  <c r="DW18" i="15"/>
  <c r="EL23" i="15"/>
  <c r="CX23" i="15"/>
  <c r="BJ23" i="15"/>
  <c r="V23" i="15"/>
  <c r="BY23" i="15"/>
  <c r="AF23" i="15"/>
  <c r="DM23" i="15"/>
  <c r="BT23" i="15"/>
  <c r="AA23" i="15"/>
  <c r="EV23" i="15"/>
  <c r="DC23" i="15"/>
  <c r="BE23" i="15"/>
  <c r="G23" i="15"/>
  <c r="EQ23" i="15"/>
  <c r="AZ23" i="15"/>
  <c r="AU23" i="15"/>
  <c r="DR24" i="15"/>
  <c r="CD24" i="15"/>
  <c r="AP24" i="15"/>
  <c r="BY24" i="15"/>
  <c r="DM24" i="15"/>
  <c r="AF24" i="15"/>
  <c r="BT24" i="15"/>
  <c r="BV35" i="16"/>
  <c r="CZ35" i="16"/>
  <c r="G34" i="16"/>
  <c r="AK14" i="10"/>
  <c r="BY14" i="10"/>
  <c r="BV36" i="10" s="1"/>
  <c r="BV37" i="10" s="1"/>
  <c r="H18" i="19" s="1"/>
  <c r="AK30" i="10"/>
  <c r="BY30" i="10"/>
  <c r="AK18" i="11"/>
  <c r="BY18" i="11"/>
  <c r="AK34" i="11"/>
  <c r="BY34" i="11"/>
  <c r="AK6" i="12"/>
  <c r="BY6" i="12"/>
  <c r="EQ33" i="12"/>
  <c r="DC33" i="12"/>
  <c r="BO33" i="12"/>
  <c r="AA33" i="12"/>
  <c r="CD33" i="12"/>
  <c r="EL8" i="13"/>
  <c r="CX8" i="13"/>
  <c r="BJ8" i="13"/>
  <c r="V8" i="13"/>
  <c r="CD8" i="13"/>
  <c r="EB15" i="13"/>
  <c r="CN15" i="13"/>
  <c r="AZ15" i="13"/>
  <c r="L15" i="13"/>
  <c r="DH15" i="13"/>
  <c r="AA15" i="13"/>
  <c r="AP15" i="13"/>
  <c r="AU33" i="13"/>
  <c r="CN33" i="13"/>
  <c r="EL33" i="13"/>
  <c r="AZ6" i="14"/>
  <c r="EG6" i="14"/>
  <c r="AP10" i="14"/>
  <c r="DW10" i="14"/>
  <c r="AP12" i="14"/>
  <c r="DW12" i="14"/>
  <c r="EV7" i="15"/>
  <c r="AU16" i="15"/>
  <c r="CN16" i="15"/>
  <c r="CI18" i="15"/>
  <c r="CN24" i="15"/>
  <c r="EG24" i="15"/>
  <c r="DW32" i="15"/>
  <c r="CI32" i="15"/>
  <c r="AU32" i="15"/>
  <c r="G32" i="15"/>
  <c r="CD32" i="15"/>
  <c r="DT35" i="16"/>
  <c r="EV7" i="16"/>
  <c r="DH7" i="16"/>
  <c r="BT7" i="16"/>
  <c r="AF7" i="16"/>
  <c r="EQ7" i="16"/>
  <c r="BJ7" i="16"/>
  <c r="CN7" i="16"/>
  <c r="AU7" i="16"/>
  <c r="EL7" i="16"/>
  <c r="AZ7" i="16"/>
  <c r="G7" i="16"/>
  <c r="DW7" i="16"/>
  <c r="CD7" i="16"/>
  <c r="CA36" i="16" s="1"/>
  <c r="BY7" i="16"/>
  <c r="DC7" i="16"/>
  <c r="CX7" i="16"/>
  <c r="AP7" i="16"/>
  <c r="DR27" i="16"/>
  <c r="CD27" i="16"/>
  <c r="AP27" i="16"/>
  <c r="CI27" i="16"/>
  <c r="EV27" i="16"/>
  <c r="V27" i="16"/>
  <c r="CS27" i="16"/>
  <c r="AZ27" i="16"/>
  <c r="G27" i="16"/>
  <c r="DM27" i="16"/>
  <c r="EL27" i="16"/>
  <c r="AU27" i="16"/>
  <c r="EG27" i="16"/>
  <c r="BO27" i="16"/>
  <c r="Q27" i="16"/>
  <c r="DH27" i="16"/>
  <c r="BJ27" i="16"/>
  <c r="L27" i="16"/>
  <c r="DC27" i="16"/>
  <c r="EQ25" i="14"/>
  <c r="DC25" i="14"/>
  <c r="BO25" i="14"/>
  <c r="AA25" i="14"/>
  <c r="CD25" i="14"/>
  <c r="AK30" i="14"/>
  <c r="BY30" i="14"/>
  <c r="DM30" i="14"/>
  <c r="DW4" i="15"/>
  <c r="CI4" i="15"/>
  <c r="AU4" i="15"/>
  <c r="G4" i="15"/>
  <c r="CD4" i="15"/>
  <c r="EV27" i="15"/>
  <c r="DH27" i="15"/>
  <c r="BT27" i="15"/>
  <c r="AF27" i="15"/>
  <c r="DC27" i="15"/>
  <c r="V27" i="15"/>
  <c r="DR27" i="15"/>
  <c r="BY27" i="15"/>
  <c r="AP27" i="15"/>
  <c r="CI27" i="15"/>
  <c r="AW35" i="16"/>
  <c r="EV8" i="16"/>
  <c r="DH8" i="16"/>
  <c r="BT8" i="16"/>
  <c r="AF8" i="16"/>
  <c r="DC8" i="16"/>
  <c r="V8" i="16"/>
  <c r="DR8" i="16"/>
  <c r="BY8" i="16"/>
  <c r="BJ8" i="16"/>
  <c r="Q8" i="16"/>
  <c r="DM8" i="16"/>
  <c r="BO8" i="16"/>
  <c r="L8" i="16"/>
  <c r="AU8" i="16"/>
  <c r="CS8" i="16"/>
  <c r="EQ8" i="16"/>
  <c r="AK24" i="14"/>
  <c r="BY24" i="14"/>
  <c r="AP25" i="14"/>
  <c r="DW25" i="14"/>
  <c r="AP4" i="15"/>
  <c r="EG9" i="15"/>
  <c r="CS9" i="15"/>
  <c r="BE9" i="15"/>
  <c r="Q9" i="15"/>
  <c r="DW9" i="15"/>
  <c r="AP9" i="15"/>
  <c r="BY9" i="15"/>
  <c r="AF9" i="15"/>
  <c r="EL11" i="15"/>
  <c r="CX11" i="15"/>
  <c r="BJ11" i="15"/>
  <c r="V11" i="15"/>
  <c r="BE11" i="15"/>
  <c r="EV11" i="15"/>
  <c r="BO11" i="15"/>
  <c r="CI11" i="15"/>
  <c r="EG27" i="15"/>
  <c r="CU35" i="16"/>
  <c r="EL18" i="16"/>
  <c r="CX18" i="16"/>
  <c r="BJ18" i="16"/>
  <c r="V18" i="16"/>
  <c r="DM18" i="16"/>
  <c r="AF18" i="16"/>
  <c r="AK18" i="16"/>
  <c r="BO18" i="16"/>
  <c r="Q18" i="16"/>
  <c r="EQ18" i="16"/>
  <c r="AU18" i="16"/>
  <c r="CN18" i="16"/>
  <c r="EG18" i="16"/>
  <c r="DR11" i="13"/>
  <c r="CD11" i="13"/>
  <c r="AP11" i="13"/>
  <c r="AK11" i="13"/>
  <c r="AK16" i="13"/>
  <c r="BY16" i="13"/>
  <c r="EB19" i="14"/>
  <c r="CN19" i="14"/>
  <c r="AZ19" i="14"/>
  <c r="L19" i="14"/>
  <c r="CD19" i="14"/>
  <c r="CI25" i="14"/>
  <c r="AP30" i="14"/>
  <c r="CD30" i="14"/>
  <c r="CK35" i="15"/>
  <c r="EB4" i="15"/>
  <c r="AU9" i="15"/>
  <c r="CN9" i="15"/>
  <c r="AP11" i="15"/>
  <c r="EB11" i="15"/>
  <c r="EQ13" i="15"/>
  <c r="DC13" i="15"/>
  <c r="BO13" i="15"/>
  <c r="AA13" i="15"/>
  <c r="DM13" i="15"/>
  <c r="AF13" i="15"/>
  <c r="AZ13" i="15"/>
  <c r="G13" i="15"/>
  <c r="AU27" i="15"/>
  <c r="CN27" i="15"/>
  <c r="AK34" i="15"/>
  <c r="BY34" i="15"/>
  <c r="EN35" i="16"/>
  <c r="AZ8" i="16"/>
  <c r="CX8" i="16"/>
  <c r="DW29" i="16"/>
  <c r="CI29" i="16"/>
  <c r="AU29" i="16"/>
  <c r="G29" i="16"/>
  <c r="CX29" i="16"/>
  <c r="Q29" i="16"/>
  <c r="EL29" i="16"/>
  <c r="CS29" i="16"/>
  <c r="CN29" i="16"/>
  <c r="AF29" i="16"/>
  <c r="L29" i="16"/>
  <c r="O17" i="20"/>
  <c r="EG6" i="16"/>
  <c r="CS6" i="16"/>
  <c r="BE6" i="16"/>
  <c r="Q6" i="16"/>
  <c r="BY6" i="16"/>
  <c r="DR6" i="16"/>
  <c r="AZ6" i="16"/>
  <c r="CI6" i="16"/>
  <c r="EB6" i="16"/>
  <c r="EB19" i="15"/>
  <c r="CN19" i="15"/>
  <c r="AZ19" i="15"/>
  <c r="L19" i="15"/>
  <c r="CI19" i="15"/>
  <c r="DR19" i="15"/>
  <c r="BY19" i="15"/>
  <c r="DR31" i="15"/>
  <c r="CD31" i="15"/>
  <c r="AP31" i="15"/>
  <c r="EG31" i="15"/>
  <c r="AZ31" i="15"/>
  <c r="DM31" i="15"/>
  <c r="AK31" i="15"/>
  <c r="CN6" i="16"/>
  <c r="EQ30" i="16"/>
  <c r="DC30" i="16"/>
  <c r="BO30" i="16"/>
  <c r="AA30" i="16"/>
  <c r="DH30" i="16"/>
  <c r="EL30" i="16"/>
  <c r="CS30" i="16"/>
  <c r="L30" i="16"/>
  <c r="AP30" i="16"/>
  <c r="EB30" i="16"/>
  <c r="AK21" i="12"/>
  <c r="BY21" i="12"/>
  <c r="AK9" i="13"/>
  <c r="BY9" i="13"/>
  <c r="AK25" i="13"/>
  <c r="BY25" i="13"/>
  <c r="AK13" i="14"/>
  <c r="BY13" i="14"/>
  <c r="AK29" i="14"/>
  <c r="BY29" i="14"/>
  <c r="AK8" i="15"/>
  <c r="BY8" i="15"/>
  <c r="EL19" i="16"/>
  <c r="CX19" i="16"/>
  <c r="BJ19" i="16"/>
  <c r="V19" i="16"/>
  <c r="DH19" i="16"/>
  <c r="AA19" i="16"/>
  <c r="AU19" i="16"/>
  <c r="EQ19" i="16"/>
  <c r="BE19" i="16"/>
  <c r="AP19" i="16"/>
  <c r="M29" i="20"/>
  <c r="K29" i="20"/>
  <c r="J29" i="20"/>
  <c r="I29" i="20"/>
  <c r="F29" i="20"/>
  <c r="E29" i="20"/>
  <c r="G29" i="20"/>
  <c r="D29" i="20"/>
  <c r="O29" i="20" s="1"/>
  <c r="L29" i="20"/>
  <c r="H29" i="20"/>
  <c r="N29" i="20"/>
  <c r="C29" i="20"/>
  <c r="D15" i="20"/>
  <c r="C15" i="20"/>
  <c r="K15" i="20"/>
  <c r="J15" i="20"/>
  <c r="G15" i="20"/>
  <c r="N15" i="20"/>
  <c r="H15" i="20"/>
  <c r="F15" i="20"/>
  <c r="O15" i="20" s="1"/>
  <c r="M15" i="20"/>
  <c r="L15" i="20"/>
  <c r="I15" i="20"/>
  <c r="O13" i="20"/>
  <c r="M13" i="20"/>
  <c r="H13" i="20"/>
  <c r="G13" i="20"/>
  <c r="F13" i="20"/>
  <c r="N13" i="20"/>
  <c r="C13" i="20"/>
  <c r="I13" i="20"/>
  <c r="D13" i="20"/>
  <c r="L13" i="20"/>
  <c r="AK17" i="15"/>
  <c r="BY17" i="15"/>
  <c r="EV14" i="16"/>
  <c r="DH14" i="16"/>
  <c r="BT14" i="16"/>
  <c r="AF14" i="16"/>
  <c r="CS14" i="16"/>
  <c r="L14" i="16"/>
  <c r="AP14" i="16"/>
  <c r="DW16" i="16"/>
  <c r="CI16" i="16"/>
  <c r="AU16" i="16"/>
  <c r="G16" i="16"/>
  <c r="EB16" i="16"/>
  <c r="CD16" i="16"/>
  <c r="AK29" i="15"/>
  <c r="BY29" i="15"/>
  <c r="BB35" i="16"/>
  <c r="ED35" i="16"/>
  <c r="EQ24" i="16"/>
  <c r="DC24" i="16"/>
  <c r="BO24" i="16"/>
  <c r="AA24" i="16"/>
  <c r="CD24" i="16"/>
  <c r="EB31" i="16"/>
  <c r="CN31" i="16"/>
  <c r="AZ31" i="16"/>
  <c r="L31" i="16"/>
  <c r="DM31" i="16"/>
  <c r="AF31" i="16"/>
  <c r="AP31" i="16"/>
  <c r="N36" i="20"/>
  <c r="M36" i="20"/>
  <c r="K36" i="20"/>
  <c r="J36" i="20"/>
  <c r="I36" i="20"/>
  <c r="H36" i="20"/>
  <c r="O36" i="20"/>
  <c r="L36" i="20"/>
  <c r="D36" i="20"/>
  <c r="C36" i="20"/>
  <c r="E36" i="20"/>
  <c r="G36" i="20"/>
  <c r="F36" i="20"/>
  <c r="J26" i="20"/>
  <c r="I26" i="20"/>
  <c r="G26" i="20"/>
  <c r="N26" i="20"/>
  <c r="M26" i="20"/>
  <c r="D26" i="20"/>
  <c r="C26" i="20"/>
  <c r="O26" i="20" s="1"/>
  <c r="F26" i="20"/>
  <c r="E26" i="20"/>
  <c r="O30" i="20"/>
  <c r="DY35" i="16"/>
  <c r="AK20" i="16"/>
  <c r="BY20" i="16"/>
  <c r="L19" i="20"/>
  <c r="K19" i="20"/>
  <c r="I19" i="20"/>
  <c r="N19" i="20"/>
  <c r="H19" i="20"/>
  <c r="G19" i="20"/>
  <c r="M19" i="20"/>
  <c r="J19" i="20"/>
  <c r="F19" i="20"/>
  <c r="E19" i="20"/>
  <c r="O19" i="20" s="1"/>
  <c r="H26" i="20"/>
  <c r="C19" i="20"/>
  <c r="K26" i="20"/>
  <c r="M37" i="20"/>
  <c r="D37" i="20"/>
  <c r="C37" i="20"/>
  <c r="O37" i="20" s="1"/>
  <c r="N37" i="20"/>
  <c r="L37" i="20"/>
  <c r="K37" i="20"/>
  <c r="G37" i="20"/>
  <c r="F37" i="20"/>
  <c r="F16" i="20"/>
  <c r="E16" i="20"/>
  <c r="C16" i="20"/>
  <c r="O16" i="20"/>
  <c r="H16" i="20"/>
  <c r="G16" i="20"/>
  <c r="J16" i="20"/>
  <c r="L16" i="20"/>
  <c r="L27" i="20"/>
  <c r="K27" i="20"/>
  <c r="I27" i="20"/>
  <c r="J27" i="20"/>
  <c r="H27" i="20"/>
  <c r="C27" i="20"/>
  <c r="O27" i="20" s="1"/>
  <c r="E27" i="20"/>
  <c r="D27" i="20"/>
  <c r="N27" i="20"/>
  <c r="L3" i="20"/>
  <c r="K3" i="20"/>
  <c r="I3" i="20"/>
  <c r="C3" i="20"/>
  <c r="D3" i="20"/>
  <c r="D23" i="20"/>
  <c r="C23" i="20"/>
  <c r="N23" i="20"/>
  <c r="J23" i="20"/>
  <c r="M23" i="20"/>
  <c r="G23" i="20"/>
  <c r="F23" i="20"/>
  <c r="H25" i="20"/>
  <c r="G25" i="20"/>
  <c r="E25" i="20"/>
  <c r="J25" i="20"/>
  <c r="I25" i="20"/>
  <c r="F25" i="20"/>
  <c r="N25" i="20"/>
  <c r="C25" i="20"/>
  <c r="O25" i="20" s="1"/>
  <c r="M25" i="20"/>
  <c r="AK9" i="16"/>
  <c r="AH36" i="16" s="1"/>
  <c r="AH37" i="16" s="1"/>
  <c r="N10" i="19" s="1"/>
  <c r="BY9" i="16"/>
  <c r="AK25" i="16"/>
  <c r="BY25" i="16"/>
  <c r="E3" i="20"/>
  <c r="M5" i="20"/>
  <c r="O5" i="20" s="1"/>
  <c r="N5" i="20"/>
  <c r="F8" i="20"/>
  <c r="E8" i="20"/>
  <c r="C8" i="20"/>
  <c r="O8" i="20" s="1"/>
  <c r="K8" i="20"/>
  <c r="E23" i="20"/>
  <c r="D25" i="20"/>
  <c r="N28" i="20"/>
  <c r="M28" i="20"/>
  <c r="K28" i="20"/>
  <c r="F28" i="20"/>
  <c r="E28" i="20"/>
  <c r="D28" i="20"/>
  <c r="O28" i="20" s="1"/>
  <c r="L28" i="20"/>
  <c r="L23" i="20"/>
  <c r="I28" i="20"/>
  <c r="J28" i="20"/>
  <c r="O6" i="20"/>
  <c r="J18" i="20"/>
  <c r="I18" i="20"/>
  <c r="G18" i="20"/>
  <c r="K18" i="20"/>
  <c r="H18" i="20"/>
  <c r="F18" i="20"/>
  <c r="O18" i="20" s="1"/>
  <c r="H33" i="20"/>
  <c r="G33" i="20"/>
  <c r="E33" i="20"/>
  <c r="O33" i="20" s="1"/>
  <c r="N33" i="20"/>
  <c r="M33" i="20"/>
  <c r="L33" i="20"/>
  <c r="O22" i="20"/>
  <c r="J42" i="20"/>
  <c r="I42" i="20"/>
  <c r="G42" i="20"/>
  <c r="F42" i="20"/>
  <c r="E42" i="20"/>
  <c r="D42" i="20"/>
  <c r="N42" i="20"/>
  <c r="M42" i="20"/>
  <c r="L42" i="20"/>
  <c r="K42" i="20"/>
  <c r="H42" i="20"/>
  <c r="O14" i="20"/>
  <c r="N18" i="20"/>
  <c r="C42" i="20"/>
  <c r="J34" i="20"/>
  <c r="I34" i="20"/>
  <c r="G34" i="20"/>
  <c r="E34" i="20"/>
  <c r="D34" i="20"/>
  <c r="L34" i="20"/>
  <c r="H9" i="20"/>
  <c r="G9" i="20"/>
  <c r="E9" i="20"/>
  <c r="O9" i="20" s="1"/>
  <c r="N12" i="20"/>
  <c r="M12" i="20"/>
  <c r="K12" i="20"/>
  <c r="O12" i="20"/>
  <c r="M34" i="20"/>
  <c r="J10" i="20"/>
  <c r="I10" i="20"/>
  <c r="G10" i="20"/>
  <c r="O10" i="20" s="1"/>
  <c r="H17" i="20"/>
  <c r="G17" i="20"/>
  <c r="E17" i="20"/>
  <c r="O38" i="20"/>
  <c r="N20" i="20"/>
  <c r="M20" i="20"/>
  <c r="K20" i="20"/>
  <c r="O20" i="20" s="1"/>
  <c r="F24" i="20"/>
  <c r="E24" i="20"/>
  <c r="C24" i="20"/>
  <c r="O24" i="20" s="1"/>
  <c r="D31" i="20"/>
  <c r="C31" i="20"/>
  <c r="H31" i="20"/>
  <c r="I31" i="20"/>
  <c r="C41" i="20"/>
  <c r="D41" i="20"/>
  <c r="C40" i="20"/>
  <c r="E41" i="20"/>
  <c r="E40" i="20"/>
  <c r="G41" i="20"/>
  <c r="E70" i="18"/>
  <c r="F190" i="18"/>
  <c r="F352" i="18"/>
  <c r="F274" i="18"/>
  <c r="F38" i="18"/>
  <c r="F120" i="18"/>
  <c r="F31" i="18"/>
  <c r="F232" i="18"/>
  <c r="F107" i="18"/>
  <c r="F211" i="18"/>
  <c r="E315" i="18"/>
  <c r="F10" i="18"/>
  <c r="E36" i="18"/>
  <c r="E319" i="18"/>
  <c r="E313" i="18"/>
  <c r="F90" i="18"/>
  <c r="F258" i="18"/>
  <c r="F250" i="18"/>
  <c r="F337" i="18"/>
  <c r="E160" i="18"/>
  <c r="F79" i="18"/>
  <c r="F95" i="18"/>
  <c r="F276" i="18"/>
  <c r="F305" i="18"/>
  <c r="F240" i="18"/>
  <c r="F344" i="18"/>
  <c r="F30" i="18"/>
  <c r="E352" i="18"/>
  <c r="F252" i="18"/>
  <c r="E71" i="18"/>
  <c r="F227" i="18"/>
  <c r="F60" i="18"/>
  <c r="F130" i="18"/>
  <c r="F320" i="18"/>
  <c r="F199" i="18"/>
  <c r="E119" i="18"/>
  <c r="F347" i="18"/>
  <c r="F55" i="18"/>
  <c r="F40" i="18"/>
  <c r="F159" i="18"/>
  <c r="E357" i="18"/>
  <c r="E231" i="18"/>
  <c r="F396" i="18"/>
  <c r="F319" i="18"/>
  <c r="F148" i="18"/>
  <c r="F308" i="18"/>
  <c r="F170" i="18"/>
  <c r="F15" i="18"/>
  <c r="F395" i="18"/>
  <c r="F177" i="18"/>
  <c r="F350" i="18"/>
  <c r="E200" i="18"/>
  <c r="F72" i="18"/>
  <c r="E360" i="18"/>
  <c r="F375" i="18"/>
  <c r="F380" i="18"/>
  <c r="E37" i="18"/>
  <c r="F382" i="18"/>
  <c r="F372" i="18"/>
  <c r="E116" i="18"/>
  <c r="F214" i="18"/>
  <c r="F358" i="18"/>
  <c r="F295" i="18"/>
  <c r="E190" i="18"/>
  <c r="F185" i="18"/>
  <c r="F158" i="18"/>
  <c r="F183" i="18"/>
  <c r="E311" i="18"/>
  <c r="F192" i="18"/>
  <c r="F61" i="18"/>
  <c r="E350" i="18"/>
  <c r="F210" i="18"/>
  <c r="F390" i="18"/>
  <c r="E279" i="18"/>
  <c r="F302" i="18"/>
  <c r="E310" i="18"/>
  <c r="E199" i="18"/>
  <c r="F12" i="18"/>
  <c r="F221" i="18"/>
  <c r="F273" i="18"/>
  <c r="F103" i="18"/>
  <c r="E198" i="18"/>
  <c r="F106" i="18"/>
  <c r="E240" i="18"/>
  <c r="F340" i="18"/>
  <c r="F63" i="18"/>
  <c r="E80" i="18"/>
  <c r="E78" i="18"/>
  <c r="E239" i="18"/>
  <c r="F141" i="18"/>
  <c r="F263" i="18"/>
  <c r="E159" i="18"/>
  <c r="F335" i="18"/>
  <c r="F198" i="18"/>
  <c r="F224" i="18"/>
  <c r="F296" i="18"/>
  <c r="F160" i="18"/>
  <c r="E31" i="18"/>
  <c r="F156" i="18"/>
  <c r="F147" i="18"/>
  <c r="F118" i="18"/>
  <c r="F186" i="18"/>
  <c r="F262" i="18"/>
  <c r="F66" i="18"/>
  <c r="D161" i="18"/>
  <c r="F20" i="18"/>
  <c r="E76" i="18"/>
  <c r="F187" i="18"/>
  <c r="F269" i="18"/>
  <c r="F300" i="18"/>
  <c r="F330" i="18"/>
  <c r="F200" i="18"/>
  <c r="E192" i="18"/>
  <c r="F383" i="18"/>
  <c r="F23" i="18"/>
  <c r="F140" i="18"/>
  <c r="F223" i="18"/>
  <c r="F217" i="18"/>
  <c r="E278" i="18"/>
  <c r="F306" i="18"/>
  <c r="F143" i="18"/>
  <c r="E73" i="18"/>
  <c r="E312" i="18"/>
  <c r="F342" i="18"/>
  <c r="F75" i="18"/>
  <c r="E237" i="18"/>
  <c r="F310" i="18"/>
  <c r="F280" i="18"/>
  <c r="E38" i="18"/>
  <c r="F104" i="18"/>
  <c r="E351" i="18"/>
  <c r="F97" i="18"/>
  <c r="F27" i="18"/>
  <c r="F78" i="18"/>
  <c r="F359" i="18"/>
  <c r="F353" i="18"/>
  <c r="E39" i="18"/>
  <c r="E238" i="18"/>
  <c r="F119" i="18"/>
  <c r="E120" i="18"/>
  <c r="F22" i="18"/>
  <c r="F360" i="18"/>
  <c r="F253" i="18"/>
  <c r="F379" i="18"/>
  <c r="F399" i="18"/>
  <c r="E113" i="18"/>
  <c r="F59" i="18"/>
  <c r="F56" i="18"/>
  <c r="F216" i="18"/>
  <c r="E318" i="18"/>
  <c r="F384" i="18"/>
  <c r="F303" i="18"/>
  <c r="F343" i="18"/>
  <c r="F39" i="18"/>
  <c r="F24" i="18"/>
  <c r="F387" i="18"/>
  <c r="F357" i="18"/>
  <c r="F311" i="18"/>
  <c r="F316" i="18"/>
  <c r="F279" i="18"/>
  <c r="F64" i="18"/>
  <c r="F271" i="18"/>
  <c r="F67" i="18"/>
  <c r="F259" i="18"/>
  <c r="F80" i="18"/>
  <c r="E156" i="18"/>
  <c r="F275" i="18"/>
  <c r="F144" i="18"/>
  <c r="F400" i="18"/>
  <c r="F150" i="18"/>
  <c r="F17" i="18"/>
  <c r="F381" i="18"/>
  <c r="F174" i="18"/>
  <c r="E118" i="18"/>
  <c r="F220" i="18"/>
  <c r="F222" i="18"/>
  <c r="E32" i="18"/>
  <c r="E320" i="18"/>
  <c r="F370" i="18"/>
  <c r="F215" i="18"/>
  <c r="F180" i="18"/>
  <c r="F100" i="18"/>
  <c r="E355" i="18"/>
  <c r="F132" i="18"/>
  <c r="E79" i="18"/>
  <c r="F225" i="18"/>
  <c r="F238" i="18"/>
  <c r="E112" i="18"/>
  <c r="F278" i="18"/>
  <c r="F101" i="18"/>
  <c r="F151" i="18"/>
  <c r="F135" i="18"/>
  <c r="F33" i="18"/>
  <c r="F391" i="18"/>
  <c r="F50" i="18"/>
  <c r="F70" i="18"/>
  <c r="F294" i="18"/>
  <c r="F239" i="18"/>
  <c r="F19" i="18"/>
  <c r="F117" i="18"/>
  <c r="F393" i="18"/>
  <c r="E158" i="18"/>
  <c r="F94" i="18"/>
  <c r="AR37" i="6" l="1"/>
  <c r="D12" i="19" s="1"/>
  <c r="I37" i="6"/>
  <c r="D5" i="19" s="1"/>
  <c r="AW37" i="8"/>
  <c r="F13" i="19" s="1"/>
  <c r="N37" i="6"/>
  <c r="D6" i="19" s="1"/>
  <c r="DO36" i="16"/>
  <c r="DO37" i="16" s="1"/>
  <c r="N27" i="19" s="1"/>
  <c r="I36" i="9"/>
  <c r="I37" i="9" s="1"/>
  <c r="G5" i="19" s="1"/>
  <c r="AW36" i="12"/>
  <c r="AW37" i="12" s="1"/>
  <c r="J13" i="19" s="1"/>
  <c r="X37" i="7"/>
  <c r="E8" i="19" s="1"/>
  <c r="O7" i="19"/>
  <c r="BQ36" i="14"/>
  <c r="DY36" i="14"/>
  <c r="DY37" i="14" s="1"/>
  <c r="L29" i="19" s="1"/>
  <c r="CF36" i="7"/>
  <c r="CF37" i="7" s="1"/>
  <c r="E20" i="19" s="1"/>
  <c r="D36" i="13"/>
  <c r="D37" i="13" s="1"/>
  <c r="K4" i="19" s="1"/>
  <c r="CU37" i="11"/>
  <c r="I23" i="19" s="1"/>
  <c r="BG36" i="9"/>
  <c r="AH37" i="9"/>
  <c r="G10" i="19" s="1"/>
  <c r="AC36" i="11"/>
  <c r="AC37" i="11" s="1"/>
  <c r="I9" i="19" s="1"/>
  <c r="CU36" i="6"/>
  <c r="CU37" i="6" s="1"/>
  <c r="D23" i="19" s="1"/>
  <c r="CZ36" i="12"/>
  <c r="CZ37" i="12" s="1"/>
  <c r="J24" i="19" s="1"/>
  <c r="AC36" i="14"/>
  <c r="AC37" i="14" s="1"/>
  <c r="L9" i="19" s="1"/>
  <c r="AM36" i="7"/>
  <c r="AM37" i="7" s="1"/>
  <c r="E11" i="19" s="1"/>
  <c r="BQ37" i="5"/>
  <c r="C17" i="19" s="1"/>
  <c r="CA36" i="7"/>
  <c r="CA37" i="16"/>
  <c r="N19" i="19" s="1"/>
  <c r="CZ36" i="7"/>
  <c r="AH36" i="13"/>
  <c r="BQ36" i="9"/>
  <c r="BQ37" i="9" s="1"/>
  <c r="G17" i="19" s="1"/>
  <c r="DJ37" i="15"/>
  <c r="M26" i="19" s="1"/>
  <c r="BV36" i="15"/>
  <c r="BV37" i="15" s="1"/>
  <c r="M18" i="19" s="1"/>
  <c r="I37" i="16"/>
  <c r="N5" i="19" s="1"/>
  <c r="CZ36" i="9"/>
  <c r="CZ37" i="9" s="1"/>
  <c r="G24" i="19" s="1"/>
  <c r="ED37" i="13"/>
  <c r="K30" i="19" s="1"/>
  <c r="DO36" i="8"/>
  <c r="DO37" i="8" s="1"/>
  <c r="F27" i="19" s="1"/>
  <c r="D36" i="6"/>
  <c r="N43" i="20"/>
  <c r="AR36" i="15"/>
  <c r="AR37" i="15" s="1"/>
  <c r="M12" i="19" s="1"/>
  <c r="BQ37" i="15"/>
  <c r="M17" i="19" s="1"/>
  <c r="D37" i="16"/>
  <c r="N4" i="19" s="1"/>
  <c r="EN36" i="8"/>
  <c r="DT36" i="10"/>
  <c r="DT37" i="10" s="1"/>
  <c r="H28" i="19" s="1"/>
  <c r="BL36" i="9"/>
  <c r="BL37" i="9" s="1"/>
  <c r="G16" i="19" s="1"/>
  <c r="BQ37" i="14"/>
  <c r="L17" i="19" s="1"/>
  <c r="AH37" i="13"/>
  <c r="K10" i="19" s="1"/>
  <c r="DT36" i="11"/>
  <c r="DT37" i="11" s="1"/>
  <c r="I28" i="19" s="1"/>
  <c r="D36" i="8"/>
  <c r="D37" i="8" s="1"/>
  <c r="F4" i="19" s="1"/>
  <c r="AR36" i="6"/>
  <c r="BB37" i="14"/>
  <c r="L14" i="19" s="1"/>
  <c r="DY36" i="11"/>
  <c r="DY37" i="11" s="1"/>
  <c r="I29" i="19" s="1"/>
  <c r="BV37" i="9"/>
  <c r="G18" i="19" s="1"/>
  <c r="CU36" i="15"/>
  <c r="CU37" i="15" s="1"/>
  <c r="M23" i="19" s="1"/>
  <c r="BB36" i="5"/>
  <c r="CU36" i="13"/>
  <c r="CU37" i="13" s="1"/>
  <c r="K23" i="19" s="1"/>
  <c r="BL37" i="8"/>
  <c r="F16" i="19" s="1"/>
  <c r="N36" i="9"/>
  <c r="N37" i="9" s="1"/>
  <c r="G6" i="19" s="1"/>
  <c r="CP36" i="16"/>
  <c r="CP37" i="16" s="1"/>
  <c r="N22" i="19" s="1"/>
  <c r="CP37" i="15"/>
  <c r="M22" i="19" s="1"/>
  <c r="I35" i="5"/>
  <c r="I36" i="8"/>
  <c r="AM36" i="12"/>
  <c r="CF37" i="12"/>
  <c r="J20" i="19" s="1"/>
  <c r="H43" i="20"/>
  <c r="O11" i="20"/>
  <c r="L43" i="20"/>
  <c r="D36" i="15"/>
  <c r="D37" i="15" s="1"/>
  <c r="M4" i="19" s="1"/>
  <c r="N36" i="5"/>
  <c r="O30" i="19"/>
  <c r="AH36" i="15"/>
  <c r="AH37" i="15" s="1"/>
  <c r="M10" i="19" s="1"/>
  <c r="CF36" i="15"/>
  <c r="CF37" i="15" s="1"/>
  <c r="M20" i="19" s="1"/>
  <c r="N37" i="13"/>
  <c r="K6" i="19" s="1"/>
  <c r="CZ36" i="8"/>
  <c r="CZ37" i="8" s="1"/>
  <c r="F24" i="19" s="1"/>
  <c r="BB35" i="8"/>
  <c r="CF36" i="6"/>
  <c r="CF37" i="6" s="1"/>
  <c r="D20" i="19" s="1"/>
  <c r="CF37" i="9"/>
  <c r="G20" i="19" s="1"/>
  <c r="AC36" i="5"/>
  <c r="DE37" i="14"/>
  <c r="L25" i="19" s="1"/>
  <c r="BL37" i="12"/>
  <c r="J16" i="19" s="1"/>
  <c r="BL36" i="11"/>
  <c r="BL37" i="11" s="1"/>
  <c r="I16" i="19" s="1"/>
  <c r="EN36" i="6"/>
  <c r="EN37" i="6" s="1"/>
  <c r="D32" i="19" s="1"/>
  <c r="CF36" i="11"/>
  <c r="N36" i="15"/>
  <c r="N37" i="15" s="1"/>
  <c r="M6" i="19" s="1"/>
  <c r="ES37" i="15"/>
  <c r="M33" i="19" s="1"/>
  <c r="BG35" i="7"/>
  <c r="BG37" i="7" s="1"/>
  <c r="E15" i="19" s="1"/>
  <c r="CP36" i="5"/>
  <c r="O31" i="20"/>
  <c r="D36" i="16"/>
  <c r="O17" i="19"/>
  <c r="D36" i="12"/>
  <c r="D37" i="12" s="1"/>
  <c r="J4" i="19" s="1"/>
  <c r="O7" i="20"/>
  <c r="AH37" i="14"/>
  <c r="L10" i="19" s="1"/>
  <c r="DE36" i="13"/>
  <c r="DE37" i="13" s="1"/>
  <c r="K25" i="19" s="1"/>
  <c r="J43" i="20"/>
  <c r="CZ37" i="7"/>
  <c r="E24" i="19" s="1"/>
  <c r="O24" i="19"/>
  <c r="ED37" i="14"/>
  <c r="L30" i="19" s="1"/>
  <c r="O32" i="19"/>
  <c r="CK36" i="12"/>
  <c r="CK37" i="12" s="1"/>
  <c r="J21" i="19" s="1"/>
  <c r="T34" i="19"/>
  <c r="X36" i="5"/>
  <c r="ED37" i="16"/>
  <c r="N30" i="19" s="1"/>
  <c r="S36" i="12"/>
  <c r="S37" i="12" s="1"/>
  <c r="J7" i="19" s="1"/>
  <c r="DJ36" i="10"/>
  <c r="O39" i="20"/>
  <c r="EN36" i="5"/>
  <c r="DT36" i="6"/>
  <c r="DT37" i="6" s="1"/>
  <c r="D28" i="19" s="1"/>
  <c r="EI37" i="9"/>
  <c r="G31" i="19" s="1"/>
  <c r="EI36" i="11"/>
  <c r="EI37" i="11" s="1"/>
  <c r="I31" i="19" s="1"/>
  <c r="AC37" i="15"/>
  <c r="M9" i="19" s="1"/>
  <c r="AM35" i="6"/>
  <c r="AM37" i="6" s="1"/>
  <c r="D11" i="19" s="1"/>
  <c r="AW36" i="11"/>
  <c r="AW37" i="11" s="1"/>
  <c r="I13" i="19" s="1"/>
  <c r="BL36" i="15"/>
  <c r="EN36" i="15"/>
  <c r="EN37" i="15" s="1"/>
  <c r="M32" i="19" s="1"/>
  <c r="AR37" i="11"/>
  <c r="I12" i="19" s="1"/>
  <c r="DJ36" i="12"/>
  <c r="O32" i="20"/>
  <c r="BG36" i="14"/>
  <c r="BG37" i="14" s="1"/>
  <c r="L15" i="19" s="1"/>
  <c r="BB36" i="14"/>
  <c r="O16" i="19"/>
  <c r="CK37" i="11"/>
  <c r="I21" i="19" s="1"/>
  <c r="ED36" i="5"/>
  <c r="AR35" i="5"/>
  <c r="BL36" i="13"/>
  <c r="BL37" i="13" s="1"/>
  <c r="K16" i="19" s="1"/>
  <c r="BV36" i="16"/>
  <c r="BV37" i="16" s="1"/>
  <c r="N18" i="19" s="1"/>
  <c r="ES36" i="8"/>
  <c r="AR36" i="5"/>
  <c r="BB36" i="9"/>
  <c r="BB37" i="9" s="1"/>
  <c r="G14" i="19" s="1"/>
  <c r="EI36" i="16"/>
  <c r="EI37" i="16" s="1"/>
  <c r="N31" i="19" s="1"/>
  <c r="BQ36" i="11"/>
  <c r="BQ37" i="11" s="1"/>
  <c r="I17" i="19" s="1"/>
  <c r="CK37" i="10"/>
  <c r="H21" i="19" s="1"/>
  <c r="AR36" i="12"/>
  <c r="CP36" i="9"/>
  <c r="CP37" i="9" s="1"/>
  <c r="G22" i="19" s="1"/>
  <c r="AM37" i="9"/>
  <c r="G11" i="19" s="1"/>
  <c r="AC35" i="6"/>
  <c r="AC37" i="6" s="1"/>
  <c r="D9" i="19" s="1"/>
  <c r="ED36" i="9"/>
  <c r="ED37" i="9" s="1"/>
  <c r="G30" i="19" s="1"/>
  <c r="ED36" i="13"/>
  <c r="DY36" i="15"/>
  <c r="F43" i="20"/>
  <c r="AM36" i="15"/>
  <c r="AM36" i="16"/>
  <c r="AM37" i="16" s="1"/>
  <c r="N11" i="19" s="1"/>
  <c r="AC36" i="10"/>
  <c r="DY36" i="6"/>
  <c r="DY37" i="6" s="1"/>
  <c r="D29" i="19" s="1"/>
  <c r="DY37" i="15"/>
  <c r="M29" i="19" s="1"/>
  <c r="CA37" i="7"/>
  <c r="E19" i="19" s="1"/>
  <c r="CK37" i="15"/>
  <c r="M21" i="19" s="1"/>
  <c r="N37" i="16"/>
  <c r="N6" i="19" s="1"/>
  <c r="DT36" i="15"/>
  <c r="DT37" i="15" s="1"/>
  <c r="M28" i="19" s="1"/>
  <c r="R34" i="19"/>
  <c r="BG36" i="10"/>
  <c r="BG37" i="10" s="1"/>
  <c r="H15" i="19" s="1"/>
  <c r="BG37" i="8"/>
  <c r="F15" i="19" s="1"/>
  <c r="O25" i="19"/>
  <c r="ES36" i="14"/>
  <c r="ES37" i="14" s="1"/>
  <c r="L33" i="19" s="1"/>
  <c r="O28" i="19"/>
  <c r="I35" i="8"/>
  <c r="I37" i="8" s="1"/>
  <c r="F5" i="19" s="1"/>
  <c r="BB35" i="6"/>
  <c r="BB37" i="6" s="1"/>
  <c r="D14" i="19" s="1"/>
  <c r="CU36" i="10"/>
  <c r="CU37" i="10" s="1"/>
  <c r="H23" i="19" s="1"/>
  <c r="CA36" i="6"/>
  <c r="CA37" i="6" s="1"/>
  <c r="D19" i="19" s="1"/>
  <c r="AC36" i="16"/>
  <c r="AC37" i="16" s="1"/>
  <c r="N9" i="19" s="1"/>
  <c r="CP36" i="11"/>
  <c r="CP37" i="11" s="1"/>
  <c r="I22" i="19" s="1"/>
  <c r="BG36" i="15"/>
  <c r="BG37" i="15" s="1"/>
  <c r="M15" i="19" s="1"/>
  <c r="CZ36" i="6"/>
  <c r="CZ37" i="6" s="1"/>
  <c r="D24" i="19" s="1"/>
  <c r="BV36" i="12"/>
  <c r="D36" i="14"/>
  <c r="D37" i="14" s="1"/>
  <c r="L4" i="19" s="1"/>
  <c r="EI36" i="14"/>
  <c r="ES37" i="7"/>
  <c r="E33" i="19" s="1"/>
  <c r="AH36" i="5"/>
  <c r="CZ37" i="14"/>
  <c r="L24" i="19" s="1"/>
  <c r="CF37" i="8"/>
  <c r="F20" i="19" s="1"/>
  <c r="AM37" i="15"/>
  <c r="M11" i="19" s="1"/>
  <c r="AC37" i="9"/>
  <c r="G9" i="19" s="1"/>
  <c r="CA36" i="12"/>
  <c r="CA37" i="12" s="1"/>
  <c r="J19" i="19" s="1"/>
  <c r="AC37" i="10"/>
  <c r="H9" i="19" s="1"/>
  <c r="BQ36" i="13"/>
  <c r="BQ37" i="13" s="1"/>
  <c r="K17" i="19" s="1"/>
  <c r="ED36" i="11"/>
  <c r="ED37" i="11" s="1"/>
  <c r="I30" i="19" s="1"/>
  <c r="AR37" i="9"/>
  <c r="G12" i="19" s="1"/>
  <c r="CU36" i="5"/>
  <c r="BL36" i="7"/>
  <c r="BL37" i="7" s="1"/>
  <c r="E16" i="19" s="1"/>
  <c r="X37" i="15"/>
  <c r="M8" i="19" s="1"/>
  <c r="BB35" i="7"/>
  <c r="BB37" i="7" s="1"/>
  <c r="E14" i="19" s="1"/>
  <c r="BB36" i="16"/>
  <c r="BB37" i="16" s="1"/>
  <c r="N14" i="19" s="1"/>
  <c r="CF36" i="13"/>
  <c r="CF37" i="13" s="1"/>
  <c r="K20" i="19" s="1"/>
  <c r="ES36" i="13"/>
  <c r="ES37" i="13" s="1"/>
  <c r="K33" i="19" s="1"/>
  <c r="N36" i="11"/>
  <c r="N37" i="11" s="1"/>
  <c r="I6" i="19" s="1"/>
  <c r="BQ36" i="10"/>
  <c r="BQ37" i="10" s="1"/>
  <c r="H17" i="19" s="1"/>
  <c r="CK36" i="9"/>
  <c r="CK37" i="9" s="1"/>
  <c r="G21" i="19" s="1"/>
  <c r="CP36" i="10"/>
  <c r="AC36" i="9"/>
  <c r="DE36" i="9"/>
  <c r="DE37" i="9" s="1"/>
  <c r="G25" i="19" s="1"/>
  <c r="ES36" i="5"/>
  <c r="AR37" i="10"/>
  <c r="H12" i="19" s="1"/>
  <c r="I35" i="7"/>
  <c r="I37" i="7" s="1"/>
  <c r="E5" i="19" s="1"/>
  <c r="CU36" i="16"/>
  <c r="CU37" i="16" s="1"/>
  <c r="N23" i="19" s="1"/>
  <c r="X36" i="14"/>
  <c r="BG35" i="5"/>
  <c r="CF36" i="8"/>
  <c r="X37" i="12"/>
  <c r="J8" i="19" s="1"/>
  <c r="DE37" i="11"/>
  <c r="I25" i="19" s="1"/>
  <c r="CA36" i="8"/>
  <c r="CA37" i="8" s="1"/>
  <c r="F19" i="19" s="1"/>
  <c r="O40" i="20"/>
  <c r="O23" i="20"/>
  <c r="AC37" i="13"/>
  <c r="K9" i="19" s="1"/>
  <c r="DE36" i="7"/>
  <c r="DE37" i="7" s="1"/>
  <c r="E25" i="19" s="1"/>
  <c r="AC35" i="5"/>
  <c r="DE36" i="16"/>
  <c r="DO37" i="15"/>
  <c r="M27" i="19" s="1"/>
  <c r="DY36" i="13"/>
  <c r="DY37" i="13" s="1"/>
  <c r="K29" i="19" s="1"/>
  <c r="DY36" i="5"/>
  <c r="AC36" i="7"/>
  <c r="AC37" i="7" s="1"/>
  <c r="E9" i="19" s="1"/>
  <c r="BB36" i="8"/>
  <c r="O33" i="19"/>
  <c r="D36" i="11"/>
  <c r="D37" i="11" s="1"/>
  <c r="I4" i="19" s="1"/>
  <c r="DT37" i="9"/>
  <c r="G28" i="19" s="1"/>
  <c r="N35" i="5"/>
  <c r="S36" i="15"/>
  <c r="CZ36" i="15"/>
  <c r="CZ37" i="15" s="1"/>
  <c r="M24" i="19" s="1"/>
  <c r="BL36" i="12"/>
  <c r="AC36" i="12"/>
  <c r="DO36" i="14"/>
  <c r="DO37" i="14" s="1"/>
  <c r="L27" i="19" s="1"/>
  <c r="I36" i="14"/>
  <c r="I37" i="14" s="1"/>
  <c r="L5" i="19" s="1"/>
  <c r="O19" i="19"/>
  <c r="BQ36" i="16"/>
  <c r="BQ37" i="16" s="1"/>
  <c r="N17" i="19" s="1"/>
  <c r="BB36" i="13"/>
  <c r="BB37" i="13" s="1"/>
  <c r="K14" i="19" s="1"/>
  <c r="BB37" i="10"/>
  <c r="H14" i="19" s="1"/>
  <c r="CF36" i="5"/>
  <c r="CF37" i="5" s="1"/>
  <c r="C20" i="19" s="1"/>
  <c r="Q20" i="19" s="1"/>
  <c r="EI36" i="8"/>
  <c r="EI37" i="8" s="1"/>
  <c r="F31" i="19" s="1"/>
  <c r="CP36" i="6"/>
  <c r="CP37" i="6" s="1"/>
  <c r="D22" i="19" s="1"/>
  <c r="AM36" i="5"/>
  <c r="CZ36" i="5"/>
  <c r="M43" i="20"/>
  <c r="AW36" i="9"/>
  <c r="AW37" i="9" s="1"/>
  <c r="G13" i="19" s="1"/>
  <c r="CK36" i="5"/>
  <c r="EN36" i="11"/>
  <c r="I36" i="15"/>
  <c r="I37" i="15" s="1"/>
  <c r="M5" i="19" s="1"/>
  <c r="AW35" i="6"/>
  <c r="AH36" i="12"/>
  <c r="AH37" i="12" s="1"/>
  <c r="J10" i="19" s="1"/>
  <c r="BQ36" i="12"/>
  <c r="BQ37" i="12" s="1"/>
  <c r="J17" i="19" s="1"/>
  <c r="DJ36" i="14"/>
  <c r="DJ37" i="14" s="1"/>
  <c r="L26" i="19" s="1"/>
  <c r="AW36" i="14"/>
  <c r="AW37" i="14" s="1"/>
  <c r="L13" i="19" s="1"/>
  <c r="X35" i="5"/>
  <c r="EN37" i="9"/>
  <c r="G32" i="19" s="1"/>
  <c r="DT37" i="13"/>
  <c r="K28" i="19" s="1"/>
  <c r="P18" i="19"/>
  <c r="BV37" i="14"/>
  <c r="L18" i="19" s="1"/>
  <c r="EN36" i="7"/>
  <c r="EN37" i="7" s="1"/>
  <c r="E32" i="19" s="1"/>
  <c r="O18" i="19"/>
  <c r="AH36" i="7"/>
  <c r="AH37" i="7" s="1"/>
  <c r="E10" i="19" s="1"/>
  <c r="AM36" i="9"/>
  <c r="AW36" i="7"/>
  <c r="AW37" i="7" s="1"/>
  <c r="E13" i="19" s="1"/>
  <c r="AC36" i="13"/>
  <c r="CA36" i="14"/>
  <c r="CA37" i="14" s="1"/>
  <c r="L19" i="19" s="1"/>
  <c r="EI37" i="14"/>
  <c r="L31" i="19" s="1"/>
  <c r="EN36" i="13"/>
  <c r="EN37" i="13" s="1"/>
  <c r="K32" i="19" s="1"/>
  <c r="CZ36" i="13"/>
  <c r="CZ37" i="13" s="1"/>
  <c r="K24" i="19" s="1"/>
  <c r="N36" i="10"/>
  <c r="N37" i="10" s="1"/>
  <c r="H6" i="19" s="1"/>
  <c r="X35" i="6"/>
  <c r="D35" i="6"/>
  <c r="D37" i="6" s="1"/>
  <c r="D4" i="19" s="1"/>
  <c r="S36" i="5"/>
  <c r="BG36" i="11"/>
  <c r="BG37" i="11" s="1"/>
  <c r="I15" i="19" s="1"/>
  <c r="ED36" i="14"/>
  <c r="X37" i="9"/>
  <c r="G8" i="19" s="1"/>
  <c r="AW36" i="15"/>
  <c r="AW37" i="15" s="1"/>
  <c r="M13" i="19" s="1"/>
  <c r="X36" i="11"/>
  <c r="X37" i="11" s="1"/>
  <c r="I8" i="19" s="1"/>
  <c r="BL36" i="6"/>
  <c r="BL37" i="6" s="1"/>
  <c r="D16" i="19" s="1"/>
  <c r="EN36" i="14"/>
  <c r="EN37" i="14" s="1"/>
  <c r="L32" i="19" s="1"/>
  <c r="BL36" i="5"/>
  <c r="BL37" i="5" s="1"/>
  <c r="C16" i="19" s="1"/>
  <c r="AH35" i="5"/>
  <c r="O22" i="19"/>
  <c r="I36" i="13"/>
  <c r="I37" i="13" s="1"/>
  <c r="K5" i="19" s="1"/>
  <c r="K43" i="20"/>
  <c r="CA36" i="15"/>
  <c r="CA37" i="15" s="1"/>
  <c r="M19" i="19" s="1"/>
  <c r="DE36" i="15"/>
  <c r="DE37" i="15" s="1"/>
  <c r="M25" i="19" s="1"/>
  <c r="X36" i="9"/>
  <c r="S36" i="9"/>
  <c r="S37" i="9" s="1"/>
  <c r="G7" i="19" s="1"/>
  <c r="DE36" i="5"/>
  <c r="DE37" i="5" s="1"/>
  <c r="C25" i="19" s="1"/>
  <c r="Q25" i="19" s="1"/>
  <c r="O41" i="20"/>
  <c r="O42" i="20"/>
  <c r="E43" i="20"/>
  <c r="DT36" i="16"/>
  <c r="DT37" i="16" s="1"/>
  <c r="N28" i="19" s="1"/>
  <c r="BQ36" i="7"/>
  <c r="BQ37" i="7" s="1"/>
  <c r="E17" i="19" s="1"/>
  <c r="X36" i="16"/>
  <c r="X37" i="16" s="1"/>
  <c r="N8" i="19" s="1"/>
  <c r="EI36" i="13"/>
  <c r="EI37" i="13" s="1"/>
  <c r="K31" i="19" s="1"/>
  <c r="AM35" i="5"/>
  <c r="BV36" i="6"/>
  <c r="BV37" i="6" s="1"/>
  <c r="D18" i="19" s="1"/>
  <c r="O20" i="19"/>
  <c r="DO36" i="5"/>
  <c r="BG36" i="5"/>
  <c r="O27" i="19"/>
  <c r="DO37" i="5"/>
  <c r="C27" i="19" s="1"/>
  <c r="CZ36" i="16"/>
  <c r="CZ37" i="16" s="1"/>
  <c r="N24" i="19" s="1"/>
  <c r="S36" i="11"/>
  <c r="S37" i="11" s="1"/>
  <c r="I7" i="19" s="1"/>
  <c r="D37" i="10"/>
  <c r="H4" i="19" s="1"/>
  <c r="S36" i="6"/>
  <c r="S37" i="6" s="1"/>
  <c r="D7" i="19" s="1"/>
  <c r="CF37" i="16"/>
  <c r="N20" i="19" s="1"/>
  <c r="EI36" i="12"/>
  <c r="EI37" i="12" s="1"/>
  <c r="J31" i="19" s="1"/>
  <c r="DE36" i="12"/>
  <c r="DE37" i="12" s="1"/>
  <c r="J25" i="19" s="1"/>
  <c r="DT36" i="9"/>
  <c r="S36" i="14"/>
  <c r="S37" i="14" s="1"/>
  <c r="L7" i="19" s="1"/>
  <c r="CK36" i="14"/>
  <c r="CK37" i="14" s="1"/>
  <c r="L21" i="19" s="1"/>
  <c r="CZ37" i="11"/>
  <c r="I24" i="19" s="1"/>
  <c r="D35" i="5"/>
  <c r="O26" i="19"/>
  <c r="DJ37" i="5"/>
  <c r="C26" i="19" s="1"/>
  <c r="EI36" i="15"/>
  <c r="EI37" i="15" s="1"/>
  <c r="M31" i="19" s="1"/>
  <c r="DO36" i="9"/>
  <c r="DO37" i="9" s="1"/>
  <c r="G27" i="19" s="1"/>
  <c r="ED36" i="12"/>
  <c r="ED37" i="12" s="1"/>
  <c r="J30" i="19" s="1"/>
  <c r="X36" i="8"/>
  <c r="X37" i="8" s="1"/>
  <c r="F8" i="19" s="1"/>
  <c r="DJ36" i="13"/>
  <c r="DJ37" i="13" s="1"/>
  <c r="K26" i="19" s="1"/>
  <c r="CF36" i="10"/>
  <c r="CF37" i="10" s="1"/>
  <c r="H20" i="19" s="1"/>
  <c r="EI36" i="7"/>
  <c r="EN36" i="16"/>
  <c r="EN37" i="16" s="1"/>
  <c r="N32" i="19" s="1"/>
  <c r="BL36" i="14"/>
  <c r="D36" i="7"/>
  <c r="D37" i="7" s="1"/>
  <c r="E4" i="19" s="1"/>
  <c r="I36" i="10"/>
  <c r="I37" i="10" s="1"/>
  <c r="H5" i="19" s="1"/>
  <c r="N35" i="7"/>
  <c r="N37" i="7" s="1"/>
  <c r="E6" i="19" s="1"/>
  <c r="ED36" i="16"/>
  <c r="I36" i="16"/>
  <c r="X36" i="13"/>
  <c r="X37" i="13" s="1"/>
  <c r="K8" i="19" s="1"/>
  <c r="ED37" i="10"/>
  <c r="H30" i="19" s="1"/>
  <c r="I37" i="12"/>
  <c r="J5" i="19" s="1"/>
  <c r="ES36" i="6"/>
  <c r="ES37" i="6" s="1"/>
  <c r="D33" i="19" s="1"/>
  <c r="X37" i="14"/>
  <c r="L8" i="19" s="1"/>
  <c r="DE36" i="8"/>
  <c r="DE37" i="8" s="1"/>
  <c r="F25" i="19" s="1"/>
  <c r="AW36" i="6"/>
  <c r="DT37" i="12"/>
  <c r="J28" i="19" s="1"/>
  <c r="CK36" i="11"/>
  <c r="CA36" i="11"/>
  <c r="CA37" i="11" s="1"/>
  <c r="I19" i="19" s="1"/>
  <c r="S37" i="15"/>
  <c r="M7" i="19" s="1"/>
  <c r="DJ37" i="11"/>
  <c r="I26" i="19" s="1"/>
  <c r="CU36" i="12"/>
  <c r="CU37" i="12" s="1"/>
  <c r="J23" i="19" s="1"/>
  <c r="DE36" i="14"/>
  <c r="DO37" i="12"/>
  <c r="J27" i="19" s="1"/>
  <c r="AM36" i="10"/>
  <c r="AM37" i="10" s="1"/>
  <c r="H11" i="19" s="1"/>
  <c r="EN36" i="9"/>
  <c r="CF37" i="11"/>
  <c r="I20" i="19" s="1"/>
  <c r="DJ37" i="7"/>
  <c r="E26" i="19" s="1"/>
  <c r="CP36" i="13"/>
  <c r="CP37" i="13" s="1"/>
  <c r="K22" i="19" s="1"/>
  <c r="DJ37" i="10"/>
  <c r="H26" i="19" s="1"/>
  <c r="AC37" i="12"/>
  <c r="J9" i="19" s="1"/>
  <c r="N36" i="7"/>
  <c r="ES36" i="16"/>
  <c r="ES37" i="16" s="1"/>
  <c r="N33" i="19" s="1"/>
  <c r="AM36" i="11"/>
  <c r="AM37" i="11" s="1"/>
  <c r="I11" i="19" s="1"/>
  <c r="BL37" i="15"/>
  <c r="M16" i="19" s="1"/>
  <c r="D43" i="20"/>
  <c r="DJ36" i="8"/>
  <c r="DJ37" i="8" s="1"/>
  <c r="F26" i="19" s="1"/>
  <c r="AW36" i="10"/>
  <c r="AW37" i="10" s="1"/>
  <c r="H13" i="19" s="1"/>
  <c r="BL37" i="14"/>
  <c r="L16" i="19" s="1"/>
  <c r="DJ36" i="16"/>
  <c r="DJ37" i="16" s="1"/>
  <c r="N26" i="19" s="1"/>
  <c r="AW36" i="16"/>
  <c r="AW37" i="16" s="1"/>
  <c r="N13" i="19" s="1"/>
  <c r="BV36" i="13"/>
  <c r="BV37" i="13" s="1"/>
  <c r="K18" i="19" s="1"/>
  <c r="CP37" i="12"/>
  <c r="J22" i="19" s="1"/>
  <c r="DT36" i="8"/>
  <c r="DT37" i="8" s="1"/>
  <c r="F28" i="19" s="1"/>
  <c r="AC35" i="8"/>
  <c r="AC37" i="8" s="1"/>
  <c r="F9" i="19" s="1"/>
  <c r="EI36" i="6"/>
  <c r="EI37" i="6" s="1"/>
  <c r="D31" i="19" s="1"/>
  <c r="I36" i="11"/>
  <c r="I37" i="11" s="1"/>
  <c r="I5" i="19" s="1"/>
  <c r="DJ37" i="6"/>
  <c r="D26" i="19" s="1"/>
  <c r="ES36" i="9"/>
  <c r="ES37" i="9" s="1"/>
  <c r="G33" i="19" s="1"/>
  <c r="AM37" i="13"/>
  <c r="K11" i="19" s="1"/>
  <c r="BB36" i="11"/>
  <c r="BB37" i="11" s="1"/>
  <c r="I14" i="19" s="1"/>
  <c r="DO36" i="11"/>
  <c r="DO37" i="11" s="1"/>
  <c r="I27" i="19" s="1"/>
  <c r="EI37" i="7"/>
  <c r="E31" i="19" s="1"/>
  <c r="DJ37" i="12"/>
  <c r="J26" i="19" s="1"/>
  <c r="X36" i="6"/>
  <c r="BB36" i="12"/>
  <c r="BB37" i="12" s="1"/>
  <c r="J14" i="19" s="1"/>
  <c r="AM36" i="14"/>
  <c r="AM37" i="14" s="1"/>
  <c r="L11" i="19" s="1"/>
  <c r="AW36" i="5"/>
  <c r="BL36" i="8"/>
  <c r="BG36" i="16"/>
  <c r="BG37" i="16" s="1"/>
  <c r="N15" i="19" s="1"/>
  <c r="BG35" i="6"/>
  <c r="BG37" i="6" s="1"/>
  <c r="D15" i="19" s="1"/>
  <c r="AH36" i="6"/>
  <c r="AH37" i="6" s="1"/>
  <c r="D10" i="19" s="1"/>
  <c r="EN37" i="8"/>
  <c r="F32" i="19" s="1"/>
  <c r="BV36" i="11"/>
  <c r="BV37" i="11" s="1"/>
  <c r="I18" i="19" s="1"/>
  <c r="N36" i="14"/>
  <c r="N37" i="14" s="1"/>
  <c r="L6" i="19" s="1"/>
  <c r="CF36" i="14"/>
  <c r="CF37" i="14" s="1"/>
  <c r="L20" i="19" s="1"/>
  <c r="CK36" i="6"/>
  <c r="CK37" i="6" s="1"/>
  <c r="D21" i="19" s="1"/>
  <c r="DO37" i="7"/>
  <c r="E27" i="19" s="1"/>
  <c r="C43" i="20"/>
  <c r="O3" i="20"/>
  <c r="BV36" i="8"/>
  <c r="BV37" i="8" s="1"/>
  <c r="F18" i="19" s="1"/>
  <c r="CK36" i="10"/>
  <c r="DO36" i="10"/>
  <c r="DO37" i="10" s="1"/>
  <c r="H27" i="19" s="1"/>
  <c r="CU36" i="7"/>
  <c r="CU37" i="7" s="1"/>
  <c r="E23" i="19" s="1"/>
  <c r="S36" i="16"/>
  <c r="S37" i="16" s="1"/>
  <c r="N7" i="19" s="1"/>
  <c r="CK36" i="16"/>
  <c r="CK37" i="16" s="1"/>
  <c r="N21" i="19" s="1"/>
  <c r="DO36" i="13"/>
  <c r="DO37" i="13" s="1"/>
  <c r="K27" i="19" s="1"/>
  <c r="AM37" i="12"/>
  <c r="J11" i="19" s="1"/>
  <c r="DT36" i="5"/>
  <c r="ES37" i="8"/>
  <c r="F33" i="19" s="1"/>
  <c r="ED37" i="15"/>
  <c r="M30" i="19" s="1"/>
  <c r="AM35" i="8"/>
  <c r="AM37" i="8" s="1"/>
  <c r="F11" i="19" s="1"/>
  <c r="AC36" i="6"/>
  <c r="CA36" i="9"/>
  <c r="CA37" i="9" s="1"/>
  <c r="G19" i="19" s="1"/>
  <c r="AM36" i="6"/>
  <c r="DE36" i="11"/>
  <c r="S36" i="13"/>
  <c r="S37" i="13" s="1"/>
  <c r="K7" i="19" s="1"/>
  <c r="N36" i="6"/>
  <c r="BG36" i="12"/>
  <c r="BG37" i="12" s="1"/>
  <c r="J15" i="19" s="1"/>
  <c r="CU36" i="14"/>
  <c r="CU37" i="14" s="1"/>
  <c r="L23" i="19" s="1"/>
  <c r="DT36" i="14"/>
  <c r="DT37" i="14" s="1"/>
  <c r="L28" i="19" s="1"/>
  <c r="D36" i="5"/>
  <c r="BG37" i="9"/>
  <c r="G15" i="19" s="1"/>
  <c r="I36" i="5"/>
  <c r="BV37" i="12"/>
  <c r="J18" i="19" s="1"/>
  <c r="DO37" i="6"/>
  <c r="D27" i="19" s="1"/>
  <c r="BL37" i="16"/>
  <c r="N16" i="19" s="1"/>
  <c r="DE37" i="16"/>
  <c r="N25" i="19" s="1"/>
  <c r="AW36" i="13"/>
  <c r="AW37" i="13" s="1"/>
  <c r="K13" i="19" s="1"/>
  <c r="N36" i="12"/>
  <c r="N37" i="12" s="1"/>
  <c r="J6" i="19" s="1"/>
  <c r="I36" i="12"/>
  <c r="O34" i="20"/>
  <c r="I43" i="20"/>
  <c r="AH36" i="8"/>
  <c r="AH37" i="8" s="1"/>
  <c r="F10" i="19" s="1"/>
  <c r="EI36" i="10"/>
  <c r="EI37" i="10" s="1"/>
  <c r="H31" i="19" s="1"/>
  <c r="EN37" i="11"/>
  <c r="I32" i="19" s="1"/>
  <c r="DY36" i="10"/>
  <c r="DY37" i="10" s="1"/>
  <c r="H29" i="19" s="1"/>
  <c r="AR37" i="12"/>
  <c r="J12" i="19" s="1"/>
  <c r="X36" i="10"/>
  <c r="X37" i="10" s="1"/>
  <c r="H8" i="19" s="1"/>
  <c r="CP37" i="10"/>
  <c r="H22" i="19" s="1"/>
  <c r="N36" i="16"/>
  <c r="DY36" i="16"/>
  <c r="DY37" i="16" s="1"/>
  <c r="N29" i="19" s="1"/>
  <c r="AR36" i="13"/>
  <c r="AR37" i="13" s="1"/>
  <c r="K12" i="19" s="1"/>
  <c r="AR36" i="16"/>
  <c r="AR37" i="16" s="1"/>
  <c r="N12" i="19" s="1"/>
  <c r="DY36" i="12"/>
  <c r="DY37" i="12" s="1"/>
  <c r="J29" i="19" s="1"/>
  <c r="CA36" i="5"/>
  <c r="DJ36" i="6"/>
  <c r="P26" i="19" s="1"/>
  <c r="EN36" i="10"/>
  <c r="EN37" i="10" s="1"/>
  <c r="H32" i="19" s="1"/>
  <c r="AH36" i="11"/>
  <c r="AH37" i="11" s="1"/>
  <c r="I10" i="19" s="1"/>
  <c r="BQ36" i="6"/>
  <c r="BQ37" i="6" s="1"/>
  <c r="D17" i="19" s="1"/>
  <c r="DE37" i="10"/>
  <c r="H25" i="19" s="1"/>
  <c r="EN36" i="12"/>
  <c r="EN37" i="12" s="1"/>
  <c r="J32" i="19" s="1"/>
  <c r="AR36" i="14"/>
  <c r="AR37" i="14" s="1"/>
  <c r="L12" i="19" s="1"/>
  <c r="CP36" i="14"/>
  <c r="CP37" i="14" s="1"/>
  <c r="L22" i="19" s="1"/>
  <c r="EI36" i="5"/>
  <c r="O23" i="19"/>
  <c r="F161" i="18"/>
  <c r="D81" i="18"/>
  <c r="D241" i="18"/>
  <c r="D41" i="18"/>
  <c r="D361" i="18"/>
  <c r="F361" i="18"/>
  <c r="D281" i="18"/>
  <c r="F241" i="18"/>
  <c r="F401" i="18"/>
  <c r="F201" i="18"/>
  <c r="D321" i="18"/>
  <c r="F321" i="18"/>
  <c r="F41" i="18"/>
  <c r="D201" i="18"/>
  <c r="F281" i="18"/>
  <c r="D121" i="18"/>
  <c r="F81" i="18"/>
  <c r="F121" i="18"/>
  <c r="G34" i="19" l="1"/>
  <c r="M34" i="19"/>
  <c r="E34" i="19"/>
  <c r="Q18" i="19"/>
  <c r="Q16" i="19"/>
  <c r="I34" i="19"/>
  <c r="Q27" i="19"/>
  <c r="J34" i="19"/>
  <c r="P9" i="19"/>
  <c r="N34" i="19"/>
  <c r="Q26" i="19"/>
  <c r="AW37" i="6"/>
  <c r="D13" i="19" s="1"/>
  <c r="O13" i="19"/>
  <c r="P29" i="19"/>
  <c r="DY37" i="5"/>
  <c r="C29" i="19" s="1"/>
  <c r="Q29" i="19" s="1"/>
  <c r="O15" i="19"/>
  <c r="BG37" i="5"/>
  <c r="C15" i="19" s="1"/>
  <c r="Q15" i="19" s="1"/>
  <c r="P11" i="19"/>
  <c r="P13" i="19"/>
  <c r="AW37" i="5"/>
  <c r="P10" i="19"/>
  <c r="P19" i="19"/>
  <c r="CA37" i="5"/>
  <c r="C19" i="19" s="1"/>
  <c r="Q19" i="19" s="1"/>
  <c r="P15" i="19"/>
  <c r="O4" i="19"/>
  <c r="D37" i="5"/>
  <c r="P27" i="19"/>
  <c r="P21" i="19"/>
  <c r="CK37" i="5"/>
  <c r="C21" i="19" s="1"/>
  <c r="Q21" i="19" s="1"/>
  <c r="P12" i="19"/>
  <c r="P8" i="19"/>
  <c r="BB37" i="8"/>
  <c r="F14" i="19" s="1"/>
  <c r="F34" i="19" s="1"/>
  <c r="O14" i="19"/>
  <c r="P28" i="19"/>
  <c r="O10" i="19"/>
  <c r="AH37" i="5"/>
  <c r="P16" i="19"/>
  <c r="P14" i="19"/>
  <c r="K34" i="19"/>
  <c r="O43" i="20"/>
  <c r="O6" i="19"/>
  <c r="N37" i="5"/>
  <c r="P5" i="19"/>
  <c r="O12" i="19"/>
  <c r="AR37" i="5"/>
  <c r="P30" i="19"/>
  <c r="ED37" i="5"/>
  <c r="C30" i="19" s="1"/>
  <c r="Q30" i="19" s="1"/>
  <c r="P4" i="19"/>
  <c r="P6" i="19"/>
  <c r="P32" i="19"/>
  <c r="P7" i="19"/>
  <c r="O9" i="19"/>
  <c r="AC37" i="5"/>
  <c r="P33" i="19"/>
  <c r="ES37" i="5"/>
  <c r="C33" i="19" s="1"/>
  <c r="Q33" i="19" s="1"/>
  <c r="S37" i="5"/>
  <c r="P20" i="19"/>
  <c r="DT37" i="5"/>
  <c r="C28" i="19" s="1"/>
  <c r="Q28" i="19" s="1"/>
  <c r="P23" i="19"/>
  <c r="CU37" i="5"/>
  <c r="C23" i="19" s="1"/>
  <c r="Q23" i="19" s="1"/>
  <c r="P24" i="19"/>
  <c r="CZ37" i="5"/>
  <c r="C24" i="19" s="1"/>
  <c r="Q24" i="19" s="1"/>
  <c r="L34" i="19"/>
  <c r="EN37" i="5"/>
  <c r="C32" i="19" s="1"/>
  <c r="Q32" i="19" s="1"/>
  <c r="P22" i="19"/>
  <c r="CP37" i="5"/>
  <c r="C22" i="19" s="1"/>
  <c r="Q22" i="19" s="1"/>
  <c r="O5" i="19"/>
  <c r="I37" i="5"/>
  <c r="Q17" i="19"/>
  <c r="P31" i="19"/>
  <c r="EI37" i="5"/>
  <c r="C31" i="19" s="1"/>
  <c r="Q31" i="19" s="1"/>
  <c r="O8" i="19"/>
  <c r="X37" i="5"/>
  <c r="H34" i="19"/>
  <c r="P25" i="19"/>
  <c r="BB37" i="5"/>
  <c r="C14" i="19" s="1"/>
  <c r="Q14" i="19" s="1"/>
  <c r="O11" i="19"/>
  <c r="AM37" i="5"/>
  <c r="X37" i="6"/>
  <c r="D8" i="19" s="1"/>
  <c r="D34" i="19" s="1"/>
  <c r="P17" i="19"/>
  <c r="D42" i="18"/>
  <c r="D122" i="18"/>
  <c r="D242" i="18"/>
  <c r="D162" i="18"/>
  <c r="D82" i="18"/>
  <c r="D322" i="18"/>
  <c r="D282" i="18"/>
  <c r="D402" i="18"/>
  <c r="D202" i="18"/>
  <c r="D362" i="18"/>
  <c r="O34" i="19" l="1"/>
  <c r="C11" i="19"/>
  <c r="Q11" i="19" s="1"/>
  <c r="C5" i="19"/>
  <c r="Q5" i="19" s="1"/>
  <c r="C9" i="19"/>
  <c r="Q9" i="19" s="1"/>
  <c r="C10" i="19"/>
  <c r="Q10" i="19" s="1"/>
  <c r="C13" i="19"/>
  <c r="Q13" i="19" s="1"/>
  <c r="C12" i="19"/>
  <c r="Q12" i="19" s="1"/>
  <c r="C6" i="19"/>
  <c r="Q6" i="19" s="1"/>
  <c r="C7" i="19"/>
  <c r="Q7" i="19" s="1"/>
  <c r="C4" i="19"/>
  <c r="C8" i="19"/>
  <c r="Q8" i="19" s="1"/>
  <c r="P34" i="19"/>
  <c r="C34" i="19" l="1"/>
  <c r="Q4" i="19"/>
  <c r="Q34" i="19" s="1"/>
</calcChain>
</file>

<file path=xl/sharedStrings.xml><?xml version="1.0" encoding="utf-8"?>
<sst xmlns="http://schemas.openxmlformats.org/spreadsheetml/2006/main" count="3251" uniqueCount="176">
  <si>
    <t>建設業向け 出面表テンプレート</t>
  </si>
  <si>
    <r>
      <rPr>
        <b/>
        <sz val="12"/>
        <color rgb="FF1F4E78"/>
        <rFont val="Noto Sans CJK SC"/>
        <family val="2"/>
      </rPr>
      <t xml:space="preserve">祝日自動対応 </t>
    </r>
    <r>
      <rPr>
        <b/>
        <sz val="12"/>
        <color rgb="FF1F4E78"/>
        <rFont val="游ゴシック"/>
        <family val="3"/>
        <charset val="128"/>
      </rPr>
      <t xml:space="preserve">/ </t>
    </r>
    <r>
      <rPr>
        <b/>
        <sz val="12"/>
        <color rgb="FF1F4E78"/>
        <rFont val="Noto Sans CJK SC"/>
        <family val="2"/>
      </rPr>
      <t xml:space="preserve">年度切替機能 </t>
    </r>
    <r>
      <rPr>
        <b/>
        <sz val="12"/>
        <color rgb="FF1F4E78"/>
        <rFont val="游ゴシック"/>
        <family val="3"/>
        <charset val="128"/>
      </rPr>
      <t xml:space="preserve">/ </t>
    </r>
    <r>
      <rPr>
        <b/>
        <sz val="12"/>
        <color rgb="FF1F4E78"/>
        <rFont val="Noto Sans CJK SC"/>
        <family val="2"/>
      </rPr>
      <t xml:space="preserve">個人別印刷 </t>
    </r>
    <r>
      <rPr>
        <b/>
        <sz val="12"/>
        <color rgb="FF1F4E78"/>
        <rFont val="游ゴシック"/>
        <family val="3"/>
        <charset val="128"/>
      </rPr>
      <t xml:space="preserve">/ </t>
    </r>
    <r>
      <rPr>
        <b/>
        <sz val="12"/>
        <color rgb="FF1F4E78"/>
        <rFont val="Noto Sans CJK SC"/>
        <family val="2"/>
      </rPr>
      <t>年間・現場別集計</t>
    </r>
  </si>
  <si>
    <t>■ このテンプレートの特徴</t>
  </si>
  <si>
    <r>
      <rPr>
        <sz val="11"/>
        <rFont val="Noto Sans CJK SC"/>
        <family val="2"/>
      </rPr>
      <t>✅ 社員</t>
    </r>
    <r>
      <rPr>
        <sz val="11"/>
        <rFont val="游ゴシック"/>
        <family val="3"/>
        <charset val="128"/>
      </rPr>
      <t>30</t>
    </r>
    <r>
      <rPr>
        <sz val="11"/>
        <rFont val="Noto Sans CJK SC"/>
        <family val="2"/>
      </rPr>
      <t>名まで対応</t>
    </r>
  </si>
  <si>
    <r>
      <rPr>
        <sz val="11"/>
        <rFont val="游ゴシック"/>
        <family val="3"/>
        <charset val="128"/>
      </rPr>
      <t>✅ 1</t>
    </r>
    <r>
      <rPr>
        <sz val="11"/>
        <rFont val="Noto Sans CJK SC"/>
        <family val="2"/>
      </rPr>
      <t>月〜</t>
    </r>
    <r>
      <rPr>
        <sz val="11"/>
        <rFont val="游ゴシック"/>
        <family val="3"/>
        <charset val="128"/>
      </rPr>
      <t>12</t>
    </r>
    <r>
      <rPr>
        <sz val="11"/>
        <rFont val="Noto Sans CJK SC"/>
        <family val="2"/>
      </rPr>
      <t>月の</t>
    </r>
    <r>
      <rPr>
        <sz val="11"/>
        <rFont val="游ゴシック"/>
        <family val="3"/>
        <charset val="128"/>
      </rPr>
      <t>12</t>
    </r>
    <r>
      <rPr>
        <sz val="11"/>
        <rFont val="Noto Sans CJK SC"/>
        <family val="2"/>
      </rPr>
      <t>ヶ月分が</t>
    </r>
    <r>
      <rPr>
        <sz val="11"/>
        <rFont val="游ゴシック"/>
        <family val="3"/>
        <charset val="128"/>
      </rPr>
      <t>1</t>
    </r>
    <r>
      <rPr>
        <sz val="11"/>
        <rFont val="Noto Sans CJK SC"/>
        <family val="2"/>
      </rPr>
      <t>ファイルに収録</t>
    </r>
  </si>
  <si>
    <t>✅ 年度を変えるだけで全シートが自動切替</t>
  </si>
  <si>
    <r>
      <rPr>
        <sz val="11"/>
        <rFont val="Noto Sans CJK SC"/>
        <family val="2"/>
      </rPr>
      <t>✅ 祝日自動判定（</t>
    </r>
    <r>
      <rPr>
        <sz val="11"/>
        <rFont val="游ゴシック"/>
        <family val="3"/>
        <charset val="128"/>
      </rPr>
      <t>2026</t>
    </r>
    <r>
      <rPr>
        <sz val="11"/>
        <rFont val="Noto Sans CJK SC"/>
        <family val="2"/>
      </rPr>
      <t>〜</t>
    </r>
    <r>
      <rPr>
        <sz val="11"/>
        <rFont val="游ゴシック"/>
        <family val="3"/>
        <charset val="128"/>
      </rPr>
      <t>2030</t>
    </r>
    <r>
      <rPr>
        <sz val="11"/>
        <rFont val="Noto Sans CJK SC"/>
        <family val="2"/>
      </rPr>
      <t>年登録済み）</t>
    </r>
  </si>
  <si>
    <t>✅ 日勤・夜勤を分けて記録可能</t>
  </si>
  <si>
    <t>✅ 個人別出勤簿が自動生成</t>
  </si>
  <si>
    <t>✅ 全社員一括印刷機能</t>
  </si>
  <si>
    <t>✅ 年間・現場別集計機能</t>
  </si>
  <si>
    <t>■ 使い方</t>
  </si>
  <si>
    <t>①「設定」シートで対象年度・会社名・代表者を入力</t>
  </si>
  <si>
    <t>②「従業員マスタ」で社員名・役職を入力</t>
  </si>
  <si>
    <t>③「現場マスタ」で現場名を入力</t>
  </si>
  <si>
    <t>④ 各月シートで日ごとに現場・残業を入力</t>
  </si>
  <si>
    <t>⑤「個人別出勤簿」「年間集計」「現場別集計」で確認</t>
  </si>
  <si>
    <r>
      <rPr>
        <b/>
        <sz val="11"/>
        <color rgb="FFFFFFFF"/>
        <rFont val="Noto Sans CJK SC"/>
        <family val="2"/>
      </rPr>
      <t>【このテンプレートについて】
運営：有限会社 水越設備（神奈川県横浜市鶴見区向井町</t>
    </r>
    <r>
      <rPr>
        <b/>
        <sz val="11"/>
        <color rgb="FFFFFFFF"/>
        <rFont val="游ゴシック"/>
        <family val="3"/>
        <charset val="128"/>
      </rPr>
      <t>3-79-16</t>
    </r>
    <r>
      <rPr>
        <b/>
        <sz val="11"/>
        <color rgb="FFFFFFFF"/>
        <rFont val="Noto Sans CJK SC"/>
        <family val="2"/>
      </rPr>
      <t>）
配管・消火設備・スプリンクラー工事を手掛ける現場会社が、
実務で使っている出面表を汎用化して無料公開しています。</t>
    </r>
  </si>
  <si>
    <t>⚙ 出面表設定</t>
  </si>
  <si>
    <t>📅 複数年 祝日リスト</t>
  </si>
  <si>
    <t>対象年度</t>
  </si>
  <si>
    <t>例: 2026</t>
  </si>
  <si>
    <t>日付</t>
  </si>
  <si>
    <t>祝日名</t>
  </si>
  <si>
    <t>年</t>
  </si>
  <si>
    <t>開始月</t>
  </si>
  <si>
    <t>例: 1</t>
  </si>
  <si>
    <t>元日</t>
  </si>
  <si>
    <t>月数</t>
  </si>
  <si>
    <t>例: 12</t>
  </si>
  <si>
    <t>成人の日</t>
  </si>
  <si>
    <t>最大社員数</t>
  </si>
  <si>
    <t>予備枠含む（現在30名まで対応）</t>
  </si>
  <si>
    <t>建国記念の日</t>
  </si>
  <si>
    <t>会社名</t>
  </si>
  <si>
    <t>○○建設 株式会社</t>
  </si>
  <si>
    <t>天皇誕生日</t>
  </si>
  <si>
    <t>代表者</t>
  </si>
  <si>
    <t>代表者名</t>
  </si>
  <si>
    <t>春分の日</t>
  </si>
  <si>
    <t>昭和の日</t>
  </si>
  <si>
    <t>憲法記念日</t>
  </si>
  <si>
    <t>📘 使い方</t>
  </si>
  <si>
    <t>みどりの日</t>
  </si>
  <si>
    <t>①</t>
  </si>
  <si>
    <t>社員の追加・削除は「従業員マスタ」で行います。名前を書くだけで各月シートに自動反映。</t>
  </si>
  <si>
    <t>こどもの日</t>
  </si>
  <si>
    <t>②</t>
  </si>
  <si>
    <t>現場の追加・削除は「現場マスタ」で行います。プルダウンに即反映。</t>
  </si>
  <si>
    <t>振替休日</t>
  </si>
  <si>
    <t>③</t>
  </si>
  <si>
    <t>各月シート（1月〜12月）で出勤・現場・残業・遅刻早退を入力します。</t>
  </si>
  <si>
    <t>海の日</t>
  </si>
  <si>
    <t>④</t>
  </si>
  <si>
    <t>「個人別出勤簿」で社員と月を選ぶと、印刷用レイアウトが自動表示されます。</t>
  </si>
  <si>
    <t>山の日</t>
  </si>
  <si>
    <t>⑤</t>
  </si>
  <si>
    <t>「全社員一括印刷」で全員分を一度に印刷できます（1人1ページ）。</t>
  </si>
  <si>
    <t>敬老の日</t>
  </si>
  <si>
    <t>⑥</t>
  </si>
  <si>
    <t>「年間集計」と「現場別集計」で一年の状況が一目で分かります。</t>
  </si>
  <si>
    <t>国民の休日</t>
  </si>
  <si>
    <t>💡 年度変更について</t>
  </si>
  <si>
    <t>秋分の日</t>
  </si>
  <si>
    <t>「対象年度」のセル（C3）を変更すると、全シートが自動で切り替わります。</t>
  </si>
  <si>
    <t>スポーツの日</t>
  </si>
  <si>
    <t>祝日リストは 2026〜2030年 を事前登録済です。</t>
  </si>
  <si>
    <t>文化の日</t>
  </si>
  <si>
    <t>年度を変更する前に、その年度のデータを別ファイルにバックアップしてください。</t>
  </si>
  <si>
    <t>勤労感謝の日</t>
  </si>
  <si>
    <r>
      <rPr>
        <sz val="10"/>
        <color rgb="FF000000"/>
        <rFont val="Yu Gothic"/>
        <family val="3"/>
        <charset val="128"/>
      </rPr>
      <t>2031</t>
    </r>
    <r>
      <rPr>
        <sz val="10"/>
        <color rgb="FF000000"/>
        <rFont val="Noto Sans CJK SC"/>
        <family val="2"/>
      </rPr>
      <t>年以降を使う場合は、</t>
    </r>
    <r>
      <rPr>
        <sz val="10"/>
        <color rgb="FF000000"/>
        <rFont val="Yu Gothic"/>
        <family val="3"/>
        <charset val="128"/>
      </rPr>
      <t>F</t>
    </r>
    <r>
      <rPr>
        <sz val="10"/>
        <color rgb="FF000000"/>
        <rFont val="Noto Sans CJK SC"/>
        <family val="2"/>
      </rPr>
      <t>列の祝日リストに追加してください。</t>
    </r>
  </si>
  <si>
    <t>👥 従業員マスタ</t>
  </si>
  <si>
    <t>No.</t>
  </si>
  <si>
    <t>氏名</t>
  </si>
  <si>
    <t>役職</t>
  </si>
  <si>
    <t>備考</t>
  </si>
  <si>
    <t>代表 太郎</t>
  </si>
  <si>
    <t>代表取締役</t>
  </si>
  <si>
    <t>専務 次郎</t>
  </si>
  <si>
    <t>専務取締役</t>
  </si>
  <si>
    <t>山田 一郎</t>
  </si>
  <si>
    <t>現場監督</t>
  </si>
  <si>
    <t>鈴木 二郎</t>
  </si>
  <si>
    <t>現場リーダー</t>
  </si>
  <si>
    <t>佐藤 三郎</t>
  </si>
  <si>
    <t>職長</t>
  </si>
  <si>
    <t>高橋 四郎</t>
  </si>
  <si>
    <t>職人</t>
  </si>
  <si>
    <t>田中 五郎</t>
  </si>
  <si>
    <t>伊藤 六郎</t>
  </si>
  <si>
    <t>渡辺 七郎</t>
  </si>
  <si>
    <t>中村 八郎</t>
  </si>
  <si>
    <t>小林 九郎</t>
  </si>
  <si>
    <t>加藤 十郎</t>
  </si>
  <si>
    <t>見習い</t>
  </si>
  <si>
    <t>🏗 現場マスタ</t>
  </si>
  <si>
    <t>現場名</t>
  </si>
  <si>
    <t>A現場（事務所ビル新築）</t>
  </si>
  <si>
    <t>B現場（マンション改修）</t>
  </si>
  <si>
    <t>C現場（工場増築）</t>
  </si>
  <si>
    <t>D現場（病院増改築）</t>
  </si>
  <si>
    <t>E現場（商業施設）</t>
  </si>
  <si>
    <t>F現場（ホテル新築）</t>
  </si>
  <si>
    <t>G現場（夜勤作業）</t>
  </si>
  <si>
    <t>事務所</t>
  </si>
  <si>
    <t>有給</t>
  </si>
  <si>
    <t>休業</t>
  </si>
  <si>
    <t>研修</t>
  </si>
  <si>
    <t>日</t>
  </si>
  <si>
    <t>曜</t>
  </si>
  <si>
    <t>祝</t>
  </si>
  <si>
    <t>日勤現場</t>
  </si>
  <si>
    <t>夜勤現場</t>
  </si>
  <si>
    <t>出勤</t>
  </si>
  <si>
    <t>夜勤</t>
  </si>
  <si>
    <t>残業h</t>
  </si>
  <si>
    <t>新宿</t>
  </si>
  <si>
    <t>新宿-大貫</t>
  </si>
  <si>
    <t>六本木</t>
  </si>
  <si>
    <t>渋谷</t>
  </si>
  <si>
    <t>出勤日数</t>
  </si>
  <si>
    <t>夜勤日数</t>
  </si>
  <si>
    <t>総日数</t>
  </si>
  <si>
    <t>残業時間</t>
  </si>
  <si>
    <t>愛宕</t>
  </si>
  <si>
    <t>渋谷-夜勤</t>
  </si>
  <si>
    <t>三軒茶屋－夜勤</t>
  </si>
  <si>
    <t>六本木ー夜勤</t>
  </si>
  <si>
    <t>錦糸町</t>
  </si>
  <si>
    <t>三軒茶屋</t>
  </si>
  <si>
    <t>荻窪</t>
  </si>
  <si>
    <t>本駒込</t>
  </si>
  <si>
    <t>荻窪ー夜勤</t>
  </si>
  <si>
    <t>出勤簿（Time Sheet）</t>
  </si>
  <si>
    <t>有限会社 水越設備</t>
  </si>
  <si>
    <t>対象年月</t>
  </si>
  <si>
    <t>氏 名</t>
  </si>
  <si>
    <t>水越 誠</t>
  </si>
  <si>
    <t>月を選択→</t>
  </si>
  <si>
    <t>月</t>
  </si>
  <si>
    <t>社印</t>
  </si>
  <si>
    <t>管理者印</t>
  </si>
  <si>
    <t>本人印</t>
  </si>
  <si>
    <t>提出日</t>
  </si>
  <si>
    <t>集計</t>
  </si>
  <si>
    <t>📄 全社員一括印刷（月を選んでから印刷）</t>
  </si>
  <si>
    <t>対象月</t>
  </si>
  <si>
    <t>認 印</t>
  </si>
  <si>
    <t>社　印</t>
  </si>
  <si>
    <t>月 別 総 日 数</t>
  </si>
  <si>
    <t>年 間 集 計</t>
  </si>
  <si>
    <r>
      <rPr>
        <b/>
        <sz val="10"/>
        <color rgb="FFFFFFFF"/>
        <rFont val="Yu Gothic"/>
        <family val="3"/>
        <charset val="128"/>
      </rPr>
      <t>1</t>
    </r>
    <r>
      <rPr>
        <b/>
        <sz val="10"/>
        <color rgb="FFFFFFFF"/>
        <rFont val="Noto Sans CJK SC"/>
        <family val="2"/>
      </rPr>
      <t>月</t>
    </r>
  </si>
  <si>
    <r>
      <rPr>
        <b/>
        <sz val="10"/>
        <color rgb="FFFFFFFF"/>
        <rFont val="Yu Gothic"/>
        <family val="3"/>
        <charset val="128"/>
      </rPr>
      <t>2</t>
    </r>
    <r>
      <rPr>
        <b/>
        <sz val="10"/>
        <color rgb="FFFFFFFF"/>
        <rFont val="Noto Sans CJK SC"/>
        <family val="2"/>
      </rPr>
      <t>月</t>
    </r>
  </si>
  <si>
    <r>
      <rPr>
        <b/>
        <sz val="10"/>
        <color rgb="FFFFFFFF"/>
        <rFont val="Yu Gothic"/>
        <family val="3"/>
        <charset val="128"/>
      </rPr>
      <t>3</t>
    </r>
    <r>
      <rPr>
        <b/>
        <sz val="10"/>
        <color rgb="FFFFFFFF"/>
        <rFont val="Noto Sans CJK SC"/>
        <family val="2"/>
      </rPr>
      <t>月</t>
    </r>
  </si>
  <si>
    <r>
      <rPr>
        <b/>
        <sz val="10"/>
        <color rgb="FFFFFFFF"/>
        <rFont val="Yu Gothic"/>
        <family val="3"/>
        <charset val="128"/>
      </rPr>
      <t>4</t>
    </r>
    <r>
      <rPr>
        <b/>
        <sz val="10"/>
        <color rgb="FFFFFFFF"/>
        <rFont val="Noto Sans CJK SC"/>
        <family val="2"/>
      </rPr>
      <t>月</t>
    </r>
  </si>
  <si>
    <r>
      <rPr>
        <b/>
        <sz val="10"/>
        <color rgb="FFFFFFFF"/>
        <rFont val="Yu Gothic"/>
        <family val="3"/>
        <charset val="128"/>
      </rPr>
      <t>5</t>
    </r>
    <r>
      <rPr>
        <b/>
        <sz val="10"/>
        <color rgb="FFFFFFFF"/>
        <rFont val="Noto Sans CJK SC"/>
        <family val="2"/>
      </rPr>
      <t>月</t>
    </r>
  </si>
  <si>
    <r>
      <rPr>
        <b/>
        <sz val="10"/>
        <color rgb="FFFFFFFF"/>
        <rFont val="Yu Gothic"/>
        <family val="3"/>
        <charset val="128"/>
      </rPr>
      <t>6</t>
    </r>
    <r>
      <rPr>
        <b/>
        <sz val="10"/>
        <color rgb="FFFFFFFF"/>
        <rFont val="Noto Sans CJK SC"/>
        <family val="2"/>
      </rPr>
      <t>月</t>
    </r>
  </si>
  <si>
    <r>
      <rPr>
        <b/>
        <sz val="10"/>
        <color rgb="FFFFFFFF"/>
        <rFont val="Yu Gothic"/>
        <family val="3"/>
        <charset val="128"/>
      </rPr>
      <t>7</t>
    </r>
    <r>
      <rPr>
        <b/>
        <sz val="10"/>
        <color rgb="FFFFFFFF"/>
        <rFont val="Noto Sans CJK SC"/>
        <family val="2"/>
      </rPr>
      <t>月</t>
    </r>
  </si>
  <si>
    <r>
      <rPr>
        <b/>
        <sz val="10"/>
        <color rgb="FFFFFFFF"/>
        <rFont val="Yu Gothic"/>
        <family val="3"/>
        <charset val="128"/>
      </rPr>
      <t>8</t>
    </r>
    <r>
      <rPr>
        <b/>
        <sz val="10"/>
        <color rgb="FFFFFFFF"/>
        <rFont val="Noto Sans CJK SC"/>
        <family val="2"/>
      </rPr>
      <t>月</t>
    </r>
  </si>
  <si>
    <r>
      <rPr>
        <b/>
        <sz val="10"/>
        <color rgb="FFFFFFFF"/>
        <rFont val="Yu Gothic"/>
        <family val="3"/>
        <charset val="128"/>
      </rPr>
      <t>9</t>
    </r>
    <r>
      <rPr>
        <b/>
        <sz val="10"/>
        <color rgb="FFFFFFFF"/>
        <rFont val="Noto Sans CJK SC"/>
        <family val="2"/>
      </rPr>
      <t>月</t>
    </r>
  </si>
  <si>
    <r>
      <rPr>
        <b/>
        <sz val="10"/>
        <color rgb="FFFFFFFF"/>
        <rFont val="Yu Gothic"/>
        <family val="3"/>
        <charset val="128"/>
      </rPr>
      <t>10</t>
    </r>
    <r>
      <rPr>
        <b/>
        <sz val="10"/>
        <color rgb="FFFFFFFF"/>
        <rFont val="Noto Sans CJK SC"/>
        <family val="2"/>
      </rPr>
      <t>月</t>
    </r>
  </si>
  <si>
    <r>
      <rPr>
        <b/>
        <sz val="10"/>
        <color rgb="FFFFFFFF"/>
        <rFont val="Yu Gothic"/>
        <family val="3"/>
        <charset val="128"/>
      </rPr>
      <t>11</t>
    </r>
    <r>
      <rPr>
        <b/>
        <sz val="10"/>
        <color rgb="FFFFFFFF"/>
        <rFont val="Noto Sans CJK SC"/>
        <family val="2"/>
      </rPr>
      <t>月</t>
    </r>
  </si>
  <si>
    <r>
      <rPr>
        <b/>
        <sz val="10"/>
        <color rgb="FFFFFFFF"/>
        <rFont val="Yu Gothic"/>
        <family val="3"/>
        <charset val="128"/>
      </rPr>
      <t>12</t>
    </r>
    <r>
      <rPr>
        <b/>
        <sz val="10"/>
        <color rgb="FFFFFFFF"/>
        <rFont val="Noto Sans CJK SC"/>
        <family val="2"/>
      </rPr>
      <t>月</t>
    </r>
  </si>
  <si>
    <t>年計</t>
  </si>
  <si>
    <t>═══════════════════════════════════════</t>
  </si>
  <si>
    <r>
      <t>【</t>
    </r>
    <r>
      <rPr>
        <sz val="11"/>
        <color theme="1"/>
        <rFont val="Calibri"/>
        <family val="2"/>
        <charset val="1"/>
      </rPr>
      <t xml:space="preserve"> </t>
    </r>
    <r>
      <rPr>
        <sz val="11"/>
        <color theme="1"/>
        <rFont val="ＭＳ Ｐゴシック"/>
        <family val="3"/>
        <charset val="128"/>
      </rPr>
      <t>著作権・ライセンス情報</t>
    </r>
    <r>
      <rPr>
        <sz val="11"/>
        <color theme="1"/>
        <rFont val="Calibri"/>
        <family val="2"/>
        <charset val="1"/>
      </rPr>
      <t xml:space="preserve"> </t>
    </r>
    <r>
      <rPr>
        <sz val="11"/>
        <color theme="1"/>
        <rFont val="ＭＳ Ｐゴシック"/>
        <family val="3"/>
        <charset val="128"/>
      </rPr>
      <t>】</t>
    </r>
  </si>
  <si>
    <r>
      <t>プロダクト名：</t>
    </r>
    <r>
      <rPr>
        <sz val="11"/>
        <color theme="1"/>
        <rFont val="Calibri"/>
        <family val="2"/>
        <charset val="1"/>
      </rPr>
      <t xml:space="preserve">MIZUKOSHI </t>
    </r>
    <r>
      <rPr>
        <sz val="11"/>
        <color theme="1"/>
        <rFont val="ＭＳ Ｐゴシック"/>
        <family val="3"/>
        <charset val="128"/>
      </rPr>
      <t>出面表</t>
    </r>
    <r>
      <rPr>
        <sz val="11"/>
        <color theme="1"/>
        <rFont val="Calibri"/>
        <family val="2"/>
        <charset val="1"/>
      </rPr>
      <t xml:space="preserve"> v1.0</t>
    </r>
  </si>
  <si>
    <r>
      <t>著作権者：有限会社</t>
    </r>
    <r>
      <rPr>
        <sz val="11"/>
        <color theme="1"/>
        <rFont val="Calibri"/>
        <family val="2"/>
        <charset val="1"/>
      </rPr>
      <t xml:space="preserve"> </t>
    </r>
    <r>
      <rPr>
        <sz val="11"/>
        <color theme="1"/>
        <rFont val="ＭＳ Ｐゴシック"/>
        <family val="3"/>
        <charset val="128"/>
      </rPr>
      <t>水越設備</t>
    </r>
  </si>
  <si>
    <r>
      <t>公開</t>
    </r>
    <r>
      <rPr>
        <sz val="11"/>
        <color theme="1"/>
        <rFont val="Calibri"/>
        <family val="2"/>
        <charset val="1"/>
      </rPr>
      <t>URL</t>
    </r>
    <r>
      <rPr>
        <sz val="11"/>
        <color theme="1"/>
        <rFont val="ＭＳ Ｐゴシック"/>
        <family val="3"/>
        <charset val="128"/>
      </rPr>
      <t>：</t>
    </r>
    <r>
      <rPr>
        <sz val="11"/>
        <color theme="1"/>
        <rFont val="Calibri"/>
        <family val="2"/>
        <charset val="1"/>
      </rPr>
      <t>https://www.sp-mizukoshi.jp/tools/demen.html</t>
    </r>
  </si>
  <si>
    <r>
      <t>公開日：</t>
    </r>
    <r>
      <rPr>
        <sz val="11"/>
        <color theme="1"/>
        <rFont val="Calibri"/>
        <family val="2"/>
        <charset val="1"/>
      </rPr>
      <t>2026</t>
    </r>
    <r>
      <rPr>
        <sz val="11"/>
        <color theme="1"/>
        <rFont val="ＭＳ Ｐゴシック"/>
        <family val="3"/>
        <charset val="128"/>
      </rPr>
      <t>年</t>
    </r>
    <r>
      <rPr>
        <sz val="11"/>
        <color theme="1"/>
        <rFont val="Calibri"/>
        <family val="2"/>
        <charset val="1"/>
      </rPr>
      <t>4</t>
    </r>
    <r>
      <rPr>
        <sz val="11"/>
        <color theme="1"/>
        <rFont val="ＭＳ Ｐゴシック"/>
        <family val="3"/>
        <charset val="128"/>
      </rPr>
      <t>月</t>
    </r>
    <r>
      <rPr>
        <sz val="11"/>
        <color theme="1"/>
        <rFont val="Calibri"/>
        <family val="2"/>
        <charset val="1"/>
      </rPr>
      <t>25</t>
    </r>
    <r>
      <rPr>
        <sz val="11"/>
        <color theme="1"/>
        <rFont val="ＭＳ Ｐゴシック"/>
        <family val="3"/>
        <charset val="128"/>
      </rPr>
      <t>日</t>
    </r>
  </si>
  <si>
    <t>このテンプレートの著作権は有限会社水越設備に帰属します。</t>
  </si>
  <si>
    <r>
      <t>■</t>
    </r>
    <r>
      <rPr>
        <sz val="11"/>
        <color theme="1"/>
        <rFont val="Calibri"/>
        <family val="2"/>
        <charset val="1"/>
      </rPr>
      <t xml:space="preserve"> </t>
    </r>
    <r>
      <rPr>
        <sz val="11"/>
        <color theme="1"/>
        <rFont val="ＭＳ Ｐゴシック"/>
        <family val="3"/>
        <charset val="128"/>
      </rPr>
      <t>自社業務での使用：自由</t>
    </r>
  </si>
  <si>
    <r>
      <t>■</t>
    </r>
    <r>
      <rPr>
        <sz val="11"/>
        <color theme="1"/>
        <rFont val="Calibri"/>
        <family val="2"/>
        <charset val="1"/>
      </rPr>
      <t xml:space="preserve"> </t>
    </r>
    <r>
      <rPr>
        <sz val="11"/>
        <color theme="1"/>
        <rFont val="ＭＳ Ｐゴシック"/>
        <family val="3"/>
        <charset val="128"/>
      </rPr>
      <t>再配布・販売・改変販売：禁止</t>
    </r>
  </si>
  <si>
    <r>
      <t>■</t>
    </r>
    <r>
      <rPr>
        <sz val="11"/>
        <color theme="1"/>
        <rFont val="Calibri"/>
        <family val="2"/>
        <charset val="1"/>
      </rPr>
      <t xml:space="preserve"> </t>
    </r>
    <r>
      <rPr>
        <sz val="11"/>
        <color theme="1"/>
        <rFont val="ＭＳ Ｐゴシック"/>
        <family val="3"/>
        <charset val="128"/>
      </rPr>
      <t>著作権表示の削除：禁止</t>
    </r>
  </si>
  <si>
    <t>詳細はダウンロードページの利用規約をご確認ください。</t>
  </si>
  <si>
    <r>
      <t xml:space="preserve">© 2026 </t>
    </r>
    <r>
      <rPr>
        <sz val="11"/>
        <color theme="1"/>
        <rFont val="ＭＳ Ｐゴシック"/>
        <family val="3"/>
        <charset val="128"/>
      </rPr>
      <t>有限会社水越設備</t>
    </r>
    <r>
      <rPr>
        <sz val="11"/>
        <color theme="1"/>
        <rFont val="Calibri"/>
        <family val="2"/>
        <charset val="1"/>
      </rPr>
      <t xml:space="preserve"> All Rights Reserved.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</si>
</sst>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m/d\(aaa\)"/>
    <numFmt numFmtId="177" formatCode="yyyy/m/d\(aaa\)"/>
  </numFmts>
  <fonts count="53">
    <font>
      <sz val="11"/>
      <color theme="1"/>
      <name val="Calibri"/>
      <family val="2"/>
      <charset val="1"/>
    </font>
    <font>
      <b/>
      <sz val="22"/>
      <color rgb="FFFFFFFF"/>
      <name val="Noto Sans CJK SC"/>
      <family val="2"/>
    </font>
    <font>
      <b/>
      <sz val="12"/>
      <color rgb="FF1F4E78"/>
      <name val="Noto Sans CJK SC"/>
      <family val="2"/>
    </font>
    <font>
      <b/>
      <sz val="12"/>
      <color rgb="FF1F4E78"/>
      <name val="游ゴシック"/>
      <family val="3"/>
      <charset val="128"/>
    </font>
    <font>
      <b/>
      <sz val="14"/>
      <color rgb="FF1F4E78"/>
      <name val="Noto Sans CJK SC"/>
      <family val="2"/>
    </font>
    <font>
      <sz val="11"/>
      <name val="Noto Sans CJK SC"/>
      <family val="2"/>
    </font>
    <font>
      <sz val="11"/>
      <name val="游ゴシック"/>
      <family val="3"/>
      <charset val="128"/>
    </font>
    <font>
      <b/>
      <sz val="11"/>
      <color rgb="FFFFFFFF"/>
      <name val="Noto Sans CJK SC"/>
      <family val="2"/>
    </font>
    <font>
      <b/>
      <sz val="11"/>
      <color rgb="FFFFFFFF"/>
      <name val="游ゴシック"/>
      <family val="3"/>
      <charset val="128"/>
    </font>
    <font>
      <b/>
      <sz val="14"/>
      <color rgb="FFFFFFFF"/>
      <name val="Noto Sans CJK SC"/>
      <family val="2"/>
      <charset val="1"/>
    </font>
    <font>
      <b/>
      <sz val="11"/>
      <color rgb="FFFFFFFF"/>
      <name val="Noto Sans CJK SC"/>
      <family val="2"/>
      <charset val="1"/>
    </font>
    <font>
      <b/>
      <sz val="10"/>
      <color rgb="FF1C2D4A"/>
      <name val="Noto Sans CJK SC"/>
      <family val="2"/>
      <charset val="1"/>
    </font>
    <font>
      <b/>
      <sz val="10"/>
      <color rgb="FF1C2D4A"/>
      <name val="Yu Gothic"/>
      <family val="3"/>
      <charset val="128"/>
    </font>
    <font>
      <sz val="9"/>
      <color rgb="FF808080"/>
      <name val="Noto Sans CJK SC"/>
      <family val="2"/>
      <charset val="1"/>
    </font>
    <font>
      <b/>
      <sz val="10"/>
      <color rgb="FFFFFFFF"/>
      <name val="Noto Sans CJK SC"/>
      <family val="2"/>
      <charset val="1"/>
    </font>
    <font>
      <sz val="10"/>
      <color rgb="FFCC0000"/>
      <name val="Yu Gothic"/>
      <family val="3"/>
      <charset val="128"/>
    </font>
    <font>
      <sz val="10"/>
      <color rgb="FF000000"/>
      <name val="Noto Sans CJK SC"/>
      <family val="2"/>
      <charset val="1"/>
    </font>
    <font>
      <b/>
      <sz val="10"/>
      <color rgb="FF0033CC"/>
      <name val="Yu Gothic"/>
      <family val="3"/>
      <charset val="128"/>
    </font>
    <font>
      <b/>
      <sz val="12"/>
      <color rgb="FFFFFFFF"/>
      <name val="Noto Sans CJK SC"/>
      <family val="2"/>
      <charset val="1"/>
    </font>
    <font>
      <b/>
      <sz val="10"/>
      <color rgb="FF1F3864"/>
      <name val="Yu Gothic"/>
      <family val="3"/>
      <charset val="128"/>
    </font>
    <font>
      <sz val="10"/>
      <color rgb="FF000000"/>
      <name val="Yu Gothic"/>
      <family val="3"/>
      <charset val="128"/>
    </font>
    <font>
      <sz val="10"/>
      <color rgb="FF000000"/>
      <name val="Noto Sans CJK SC"/>
      <family val="2"/>
    </font>
    <font>
      <b/>
      <sz val="10"/>
      <color rgb="FFFFFFFF"/>
      <name val="Yu Gothic"/>
      <family val="3"/>
      <charset val="128"/>
    </font>
    <font>
      <b/>
      <sz val="10"/>
      <color rgb="FF000000"/>
      <name val="Yu Gothic"/>
      <family val="3"/>
      <charset val="128"/>
    </font>
    <font>
      <b/>
      <sz val="18"/>
      <color rgb="FFFFFFFF"/>
      <name val="Yu Gothic"/>
      <family val="3"/>
      <charset val="128"/>
    </font>
    <font>
      <b/>
      <sz val="11"/>
      <color rgb="FF1C2D4A"/>
      <name val="Yu Gothic"/>
      <family val="3"/>
      <charset val="128"/>
    </font>
    <font>
      <sz val="9"/>
      <color rgb="FF000000"/>
      <name val="Yu Gothic"/>
      <family val="3"/>
      <charset val="128"/>
    </font>
    <font>
      <b/>
      <sz val="9"/>
      <color rgb="FF1F3864"/>
      <name val="Yu Gothic"/>
      <family val="3"/>
      <charset val="128"/>
    </font>
    <font>
      <b/>
      <sz val="9"/>
      <color rgb="FF6B5B8C"/>
      <name val="Yu Gothic"/>
      <family val="3"/>
      <charset val="128"/>
    </font>
    <font>
      <sz val="9"/>
      <color rgb="FF000000"/>
      <name val="Noto Sans CJK SC"/>
      <family val="2"/>
      <charset val="1"/>
    </font>
    <font>
      <b/>
      <sz val="10"/>
      <color rgb="FF6B5B8C"/>
      <name val="Noto Sans CJK SC"/>
      <family val="2"/>
      <charset val="1"/>
    </font>
    <font>
      <b/>
      <sz val="10"/>
      <color rgb="FF6B5B8C"/>
      <name val="Yu Gothic"/>
      <family val="3"/>
      <charset val="128"/>
    </font>
    <font>
      <b/>
      <sz val="10"/>
      <color rgb="FF1F4E8C"/>
      <name val="Noto Sans CJK SC"/>
      <family val="2"/>
      <charset val="1"/>
    </font>
    <font>
      <b/>
      <sz val="12"/>
      <color rgb="FF1F4E8C"/>
      <name val="Yu Gothic"/>
      <family val="3"/>
      <charset val="128"/>
    </font>
    <font>
      <b/>
      <sz val="10"/>
      <color rgb="FF5B8A5A"/>
      <name val="Noto Sans CJK SC"/>
      <family val="2"/>
      <charset val="1"/>
    </font>
    <font>
      <b/>
      <sz val="10"/>
      <color rgb="FF5B8A5A"/>
      <name val="Yu Gothic"/>
      <family val="3"/>
      <charset val="128"/>
    </font>
    <font>
      <b/>
      <sz val="10"/>
      <color rgb="FFB8504A"/>
      <name val="Noto Sans CJK SC"/>
      <family val="2"/>
      <charset val="1"/>
    </font>
    <font>
      <b/>
      <sz val="10"/>
      <color rgb="FFB8504A"/>
      <name val="Yu Gothic"/>
      <family val="3"/>
      <charset val="128"/>
    </font>
    <font>
      <b/>
      <sz val="10"/>
      <color rgb="FF000000"/>
      <name val="Noto Sans CJK SC"/>
      <family val="2"/>
      <charset val="1"/>
    </font>
    <font>
      <b/>
      <sz val="12"/>
      <color rgb="FF1C2D4A"/>
      <name val="Noto Sans CJK SC"/>
      <family val="2"/>
      <charset val="1"/>
    </font>
    <font>
      <b/>
      <sz val="9"/>
      <color rgb="FF000000"/>
      <name val="Noto Sans CJK SC"/>
      <family val="2"/>
      <charset val="1"/>
    </font>
    <font>
      <b/>
      <sz val="9"/>
      <color rgb="FF2C2C2C"/>
      <name val="Noto Sans CJK SC"/>
      <family val="2"/>
      <charset val="1"/>
    </font>
    <font>
      <b/>
      <sz val="12"/>
      <color rgb="FFFFFFFF"/>
      <name val="Yu Gothic"/>
      <family val="3"/>
      <charset val="128"/>
    </font>
    <font>
      <b/>
      <sz val="9"/>
      <color rgb="FF5B8A5A"/>
      <name val="Noto Sans CJK SC"/>
      <family val="2"/>
      <charset val="1"/>
    </font>
    <font>
      <b/>
      <sz val="9"/>
      <color rgb="FFB8504A"/>
      <name val="Noto Sans CJK SC"/>
      <family val="2"/>
      <charset val="1"/>
    </font>
    <font>
      <b/>
      <sz val="13"/>
      <color rgb="FFFFFFFF"/>
      <name val="Noto Sans CJK SC"/>
      <family val="2"/>
      <charset val="1"/>
    </font>
    <font>
      <b/>
      <sz val="12"/>
      <color rgb="FF1C2D4A"/>
      <name val="Yu Gothic"/>
      <family val="3"/>
      <charset val="128"/>
    </font>
    <font>
      <b/>
      <sz val="9"/>
      <color rgb="FFFFFFFF"/>
      <name val="Noto Sans CJK SC"/>
      <family val="2"/>
      <charset val="1"/>
    </font>
    <font>
      <b/>
      <sz val="14"/>
      <color rgb="FFFFFFFF"/>
      <name val="Yu Gothic"/>
      <family val="3"/>
      <charset val="128"/>
    </font>
    <font>
      <b/>
      <sz val="10"/>
      <color rgb="FFFFFFFF"/>
      <name val="Noto Sans CJK SC"/>
      <family val="2"/>
    </font>
    <font>
      <b/>
      <sz val="11"/>
      <color rgb="FFFFFFFF"/>
      <name val="Yu Gothic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</font>
  </fonts>
  <fills count="18">
    <fill>
      <patternFill patternType="none"/>
    </fill>
    <fill>
      <patternFill patternType="gray125"/>
    </fill>
    <fill>
      <patternFill patternType="solid">
        <fgColor rgb="FF1F4E78"/>
        <bgColor rgb="FF1F4E8C"/>
      </patternFill>
    </fill>
    <fill>
      <patternFill patternType="solid">
        <fgColor rgb="FFD9E1F2"/>
        <bgColor rgb="FFDDE3D5"/>
      </patternFill>
    </fill>
    <fill>
      <patternFill patternType="solid">
        <fgColor rgb="FFC00000"/>
        <bgColor rgb="FFCC0000"/>
      </patternFill>
    </fill>
    <fill>
      <patternFill patternType="solid">
        <fgColor rgb="FF1C2D4A"/>
        <bgColor rgb="FF1F3864"/>
      </patternFill>
    </fill>
    <fill>
      <patternFill patternType="solid">
        <fgColor rgb="FFF5F3EF"/>
        <bgColor rgb="FFEEEBE5"/>
      </patternFill>
    </fill>
    <fill>
      <patternFill patternType="solid">
        <fgColor rgb="FFF5ECD9"/>
        <bgColor rgb="FFEEEBE5"/>
      </patternFill>
    </fill>
    <fill>
      <patternFill patternType="solid">
        <fgColor rgb="FF2C3E5D"/>
        <bgColor rgb="FF1F3864"/>
      </patternFill>
    </fill>
    <fill>
      <patternFill patternType="solid">
        <fgColor rgb="FF4A6B8C"/>
        <bgColor rgb="FF606060"/>
      </patternFill>
    </fill>
    <fill>
      <patternFill patternType="solid">
        <fgColor rgb="FFB89968"/>
        <bgColor rgb="FFA89F8E"/>
      </patternFill>
    </fill>
    <fill>
      <patternFill patternType="solid">
        <fgColor rgb="FFFFF4B8"/>
        <bgColor rgb="FFF5ECD9"/>
      </patternFill>
    </fill>
    <fill>
      <patternFill patternType="solid">
        <fgColor rgb="FFD4CFC4"/>
        <bgColor rgb="FFDDE3D5"/>
      </patternFill>
    </fill>
    <fill>
      <patternFill patternType="solid">
        <fgColor rgb="FFA89F8E"/>
        <bgColor rgb="FFA0A0A0"/>
      </patternFill>
    </fill>
    <fill>
      <patternFill patternType="solid">
        <fgColor rgb="FFEEEBE5"/>
        <bgColor rgb="FFF5E8E8"/>
      </patternFill>
    </fill>
    <fill>
      <patternFill patternType="solid">
        <fgColor rgb="FFEDE4D8"/>
        <bgColor rgb="FFE8E3DB"/>
      </patternFill>
    </fill>
    <fill>
      <patternFill patternType="solid">
        <fgColor rgb="FFDDE3D5"/>
        <bgColor rgb="FFE8E3DB"/>
      </patternFill>
    </fill>
    <fill>
      <patternFill patternType="solid">
        <fgColor rgb="FFE8E3DB"/>
        <bgColor rgb="FFEDE4D8"/>
      </patternFill>
    </fill>
  </fills>
  <borders count="22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A0A0A0"/>
      </left>
      <right style="thin">
        <color rgb="FFA0A0A0"/>
      </right>
      <top style="thin">
        <color rgb="FFA0A0A0"/>
      </top>
      <bottom style="thin">
        <color rgb="FFA0A0A0"/>
      </bottom>
      <diagonal/>
    </border>
    <border>
      <left style="thin">
        <color rgb="FFA0A0A0"/>
      </left>
      <right style="thin">
        <color rgb="FFA0A0A0"/>
      </right>
      <top style="thin">
        <color rgb="FFA0A0A0"/>
      </top>
      <bottom style="thick">
        <color rgb="FF1C2D4A"/>
      </bottom>
      <diagonal/>
    </border>
    <border>
      <left style="thick">
        <color rgb="FF1F3864"/>
      </left>
      <right style="thick">
        <color rgb="FF1F3864"/>
      </right>
      <top style="thick">
        <color rgb="FF1F3864"/>
      </top>
      <bottom style="thick">
        <color rgb="FF1C2D4A"/>
      </bottom>
      <diagonal/>
    </border>
    <border>
      <left style="thin">
        <color rgb="FF404040"/>
      </left>
      <right style="thin">
        <color rgb="FF404040"/>
      </right>
      <top style="thick">
        <color rgb="FF1C2D4A"/>
      </top>
      <bottom style="thick">
        <color rgb="FF1C2D4A"/>
      </bottom>
      <diagonal/>
    </border>
    <border>
      <left style="thick">
        <color rgb="FF1F3864"/>
      </left>
      <right style="thin">
        <color rgb="FF404040"/>
      </right>
      <top style="thick">
        <color rgb="FF1C2D4A"/>
      </top>
      <bottom style="thick">
        <color rgb="FF1C2D4A"/>
      </bottom>
      <diagonal/>
    </border>
    <border>
      <left style="thin">
        <color rgb="FF404040"/>
      </left>
      <right style="thick">
        <color rgb="FF1F3864"/>
      </right>
      <top style="thick">
        <color rgb="FF1C2D4A"/>
      </top>
      <bottom style="thick">
        <color rgb="FF1C2D4A"/>
      </bottom>
      <diagonal/>
    </border>
    <border>
      <left style="thin">
        <color rgb="FFA0A0A0"/>
      </left>
      <right style="thin">
        <color rgb="FFA0A0A0"/>
      </right>
      <top style="thick">
        <color rgb="FF1C2D4A"/>
      </top>
      <bottom style="thin">
        <color rgb="FFA0A0A0"/>
      </bottom>
      <diagonal/>
    </border>
    <border>
      <left style="thick">
        <color rgb="FF1F3864"/>
      </left>
      <right style="thin">
        <color rgb="FFA0A0A0"/>
      </right>
      <top style="thick">
        <color rgb="FF1C2D4A"/>
      </top>
      <bottom style="thin">
        <color rgb="FFA0A0A0"/>
      </bottom>
      <diagonal/>
    </border>
    <border>
      <left style="thin">
        <color rgb="FFA0A0A0"/>
      </left>
      <right style="thick">
        <color rgb="FF1F3864"/>
      </right>
      <top style="thick">
        <color rgb="FF1C2D4A"/>
      </top>
      <bottom style="thin">
        <color rgb="FFA0A0A0"/>
      </bottom>
      <diagonal/>
    </border>
    <border>
      <left style="thick">
        <color rgb="FF1F3864"/>
      </left>
      <right style="thin">
        <color rgb="FFA0A0A0"/>
      </right>
      <top style="thin">
        <color rgb="FFA0A0A0"/>
      </top>
      <bottom style="thin">
        <color rgb="FFA0A0A0"/>
      </bottom>
      <diagonal/>
    </border>
    <border>
      <left style="thin">
        <color rgb="FFA0A0A0"/>
      </left>
      <right style="thick">
        <color rgb="FF1F3864"/>
      </right>
      <top style="thin">
        <color rgb="FFA0A0A0"/>
      </top>
      <bottom style="thin">
        <color rgb="FFA0A0A0"/>
      </bottom>
      <diagonal/>
    </border>
    <border>
      <left style="thick">
        <color rgb="FF1F3864"/>
      </left>
      <right style="thin">
        <color rgb="FFA0A0A0"/>
      </right>
      <top style="thin">
        <color rgb="FFA0A0A0"/>
      </top>
      <bottom style="thick">
        <color rgb="FF1C2D4A"/>
      </bottom>
      <diagonal/>
    </border>
    <border>
      <left style="thin">
        <color rgb="FFA0A0A0"/>
      </left>
      <right style="thick">
        <color rgb="FF1F3864"/>
      </right>
      <top style="thin">
        <color rgb="FFA0A0A0"/>
      </top>
      <bottom style="thick">
        <color rgb="FF1C2D4A"/>
      </bottom>
      <diagonal/>
    </border>
    <border>
      <left style="thin">
        <color rgb="FF404040"/>
      </left>
      <right style="thin">
        <color rgb="FF404040"/>
      </right>
      <top style="thick">
        <color rgb="FF1C2D4A"/>
      </top>
      <bottom style="thin">
        <color rgb="FF404040"/>
      </bottom>
      <diagonal/>
    </border>
    <border>
      <left style="thick">
        <color rgb="FF1F3864"/>
      </left>
      <right style="thin">
        <color rgb="FF404040"/>
      </right>
      <top style="thick">
        <color rgb="FF1C2D4A"/>
      </top>
      <bottom style="thin">
        <color rgb="FF404040"/>
      </bottom>
      <diagonal/>
    </border>
    <border>
      <left style="thin">
        <color rgb="FF404040"/>
      </left>
      <right style="thin">
        <color rgb="FF404040"/>
      </right>
      <top style="thin">
        <color rgb="FF404040"/>
      </top>
      <bottom style="thin">
        <color rgb="FF404040"/>
      </bottom>
      <diagonal/>
    </border>
    <border>
      <left style="thick">
        <color rgb="FF1F3864"/>
      </left>
      <right style="thin">
        <color rgb="FF404040"/>
      </right>
      <top style="thin">
        <color rgb="FF404040"/>
      </top>
      <bottom style="thin">
        <color rgb="FF404040"/>
      </bottom>
      <diagonal/>
    </border>
    <border>
      <left style="thick">
        <color rgb="FF1F3864"/>
      </left>
      <right style="thin">
        <color rgb="FF404040"/>
      </right>
      <top style="thin">
        <color rgb="FF404040"/>
      </top>
      <bottom style="thick">
        <color rgb="FF1F3864"/>
      </bottom>
      <diagonal/>
    </border>
    <border>
      <left style="thin">
        <color rgb="FF606060"/>
      </left>
      <right style="thin">
        <color rgb="FF606060"/>
      </right>
      <top style="thin">
        <color rgb="FF606060"/>
      </top>
      <bottom style="thin">
        <color rgb="FF606060"/>
      </bottom>
      <diagonal/>
    </border>
    <border>
      <left style="medium">
        <color rgb="FF1F3864"/>
      </left>
      <right style="medium">
        <color rgb="FF1F3864"/>
      </right>
      <top style="medium">
        <color rgb="FF1F3864"/>
      </top>
      <bottom style="medium">
        <color rgb="FF1F3864"/>
      </bottom>
      <diagonal/>
    </border>
  </borders>
  <cellStyleXfs count="1">
    <xf numFmtId="0" fontId="0" fillId="0" borderId="0"/>
  </cellStyleXfs>
  <cellXfs count="126">
    <xf numFmtId="0" fontId="0" fillId="0" borderId="0" xfId="0"/>
    <xf numFmtId="0" fontId="11" fillId="6" borderId="1" xfId="0" applyFont="1" applyFill="1" applyBorder="1"/>
    <xf numFmtId="0" fontId="12" fillId="7" borderId="1" xfId="0" applyFont="1" applyFill="1" applyBorder="1" applyAlignment="1">
      <alignment horizontal="center" vertical="center" wrapText="1"/>
    </xf>
    <xf numFmtId="0" fontId="13" fillId="0" borderId="0" xfId="0" applyFont="1"/>
    <xf numFmtId="176" fontId="14" fillId="8" borderId="2" xfId="0" applyNumberFormat="1" applyFont="1" applyFill="1" applyBorder="1" applyAlignment="1">
      <alignment horizontal="center" vertical="center" wrapText="1"/>
    </xf>
    <xf numFmtId="0" fontId="14" fillId="8" borderId="2" xfId="0" applyFont="1" applyFill="1" applyBorder="1" applyAlignment="1">
      <alignment horizontal="center" vertical="center" wrapText="1"/>
    </xf>
    <xf numFmtId="177" fontId="15" fillId="0" borderId="2" xfId="0" applyNumberFormat="1" applyFont="1" applyBorder="1" applyAlignment="1">
      <alignment horizontal="center" vertical="center" wrapText="1"/>
    </xf>
    <xf numFmtId="0" fontId="16" fillId="0" borderId="2" xfId="0" applyFont="1" applyBorder="1" applyAlignment="1">
      <alignment horizontal="left" vertical="center" indent="1"/>
    </xf>
    <xf numFmtId="0" fontId="17" fillId="0" borderId="2" xfId="0" applyFont="1" applyBorder="1" applyAlignment="1">
      <alignment horizontal="center" vertical="center" wrapText="1"/>
    </xf>
    <xf numFmtId="0" fontId="11" fillId="7" borderId="1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177" fontId="15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22" fillId="8" borderId="1" xfId="0" applyFont="1" applyFill="1" applyBorder="1" applyAlignment="1">
      <alignment horizontal="center" vertical="center" wrapText="1"/>
    </xf>
    <xf numFmtId="0" fontId="14" fillId="8" borderId="1" xfId="0" applyFont="1" applyFill="1" applyBorder="1" applyAlignment="1">
      <alignment horizontal="center" vertical="center" wrapText="1"/>
    </xf>
    <xf numFmtId="0" fontId="23" fillId="6" borderId="1" xfId="0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left" vertical="center"/>
    </xf>
    <xf numFmtId="0" fontId="0" fillId="6" borderId="1" xfId="0" applyFill="1" applyBorder="1" applyAlignment="1">
      <alignment horizontal="left" vertical="center"/>
    </xf>
    <xf numFmtId="0" fontId="23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11" borderId="3" xfId="0" applyFill="1" applyBorder="1"/>
    <xf numFmtId="0" fontId="11" fillId="12" borderId="5" xfId="0" applyFont="1" applyFill="1" applyBorder="1" applyAlignment="1">
      <alignment horizontal="center" vertical="center" wrapText="1"/>
    </xf>
    <xf numFmtId="0" fontId="11" fillId="12" borderId="6" xfId="0" applyFont="1" applyFill="1" applyBorder="1" applyAlignment="1">
      <alignment horizontal="center" vertical="center" wrapText="1"/>
    </xf>
    <xf numFmtId="0" fontId="14" fillId="13" borderId="5" xfId="0" applyFont="1" applyFill="1" applyBorder="1" applyAlignment="1">
      <alignment horizontal="center" vertical="center" wrapText="1"/>
    </xf>
    <xf numFmtId="0" fontId="11" fillId="12" borderId="7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6" fillId="0" borderId="9" xfId="0" applyFont="1" applyBorder="1" applyAlignment="1">
      <alignment horizontal="center" vertical="center" wrapText="1"/>
    </xf>
    <xf numFmtId="0" fontId="26" fillId="14" borderId="8" xfId="0" applyFont="1" applyFill="1" applyBorder="1" applyAlignment="1">
      <alignment horizontal="center" vertical="center" wrapText="1"/>
    </xf>
    <xf numFmtId="0" fontId="27" fillId="0" borderId="8" xfId="0" applyFont="1" applyBorder="1" applyAlignment="1">
      <alignment horizontal="center" vertical="center" wrapText="1"/>
    </xf>
    <xf numFmtId="0" fontId="28" fillId="14" borderId="8" xfId="0" applyFont="1" applyFill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 wrapText="1"/>
    </xf>
    <xf numFmtId="0" fontId="26" fillId="14" borderId="2" xfId="0" applyFont="1" applyFill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28" fillId="14" borderId="2" xfId="0" applyFont="1" applyFill="1" applyBorder="1" applyAlignment="1">
      <alignment horizontal="center" vertical="center" wrapText="1"/>
    </xf>
    <xf numFmtId="0" fontId="26" fillId="0" borderId="12" xfId="0" applyFont="1" applyBorder="1" applyAlignment="1">
      <alignment horizontal="center" vertical="center" wrapText="1"/>
    </xf>
    <xf numFmtId="0" fontId="29" fillId="0" borderId="11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6" fillId="0" borderId="13" xfId="0" applyFont="1" applyBorder="1" applyAlignment="1">
      <alignment horizontal="center" vertical="center" wrapText="1"/>
    </xf>
    <xf numFmtId="0" fontId="26" fillId="14" borderId="3" xfId="0" applyFont="1" applyFill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28" fillId="14" borderId="3" xfId="0" applyFont="1" applyFill="1" applyBorder="1" applyAlignment="1">
      <alignment horizontal="center" vertical="center" wrapText="1"/>
    </xf>
    <xf numFmtId="0" fontId="26" fillId="0" borderId="14" xfId="0" applyFont="1" applyBorder="1" applyAlignment="1">
      <alignment horizontal="center" vertical="center" wrapText="1"/>
    </xf>
    <xf numFmtId="0" fontId="29" fillId="0" borderId="13" xfId="0" applyFont="1" applyBorder="1" applyAlignment="1">
      <alignment horizontal="center" vertical="center" wrapText="1"/>
    </xf>
    <xf numFmtId="0" fontId="29" fillId="14" borderId="2" xfId="0" applyFont="1" applyFill="1" applyBorder="1" applyAlignment="1">
      <alignment horizontal="center" vertical="center" wrapText="1"/>
    </xf>
    <xf numFmtId="0" fontId="29" fillId="14" borderId="3" xfId="0" applyFont="1" applyFill="1" applyBorder="1" applyAlignment="1">
      <alignment horizontal="center" vertical="center" wrapText="1"/>
    </xf>
    <xf numFmtId="0" fontId="29" fillId="0" borderId="9" xfId="0" applyFont="1" applyBorder="1" applyAlignment="1">
      <alignment horizontal="center" vertical="center" wrapText="1"/>
    </xf>
    <xf numFmtId="0" fontId="38" fillId="16" borderId="20" xfId="0" applyFont="1" applyFill="1" applyBorder="1" applyAlignment="1">
      <alignment horizontal="center" vertical="center" wrapText="1"/>
    </xf>
    <xf numFmtId="0" fontId="40" fillId="6" borderId="20" xfId="0" applyFont="1" applyFill="1" applyBorder="1" applyAlignment="1">
      <alignment horizontal="right" vertical="center"/>
    </xf>
    <xf numFmtId="0" fontId="25" fillId="6" borderId="20" xfId="0" applyFont="1" applyFill="1" applyBorder="1" applyAlignment="1">
      <alignment horizontal="center" vertical="center" wrapText="1"/>
    </xf>
    <xf numFmtId="0" fontId="38" fillId="6" borderId="20" xfId="0" applyFont="1" applyFill="1" applyBorder="1" applyAlignment="1">
      <alignment horizontal="left" vertical="center"/>
    </xf>
    <xf numFmtId="0" fontId="40" fillId="17" borderId="20" xfId="0" applyFont="1" applyFill="1" applyBorder="1" applyAlignment="1">
      <alignment horizontal="center" vertical="center" wrapText="1"/>
    </xf>
    <xf numFmtId="0" fontId="0" fillId="6" borderId="20" xfId="0" applyFill="1" applyBorder="1"/>
    <xf numFmtId="0" fontId="11" fillId="12" borderId="20" xfId="0" applyFont="1" applyFill="1" applyBorder="1" applyAlignment="1">
      <alignment horizontal="center" vertical="center" wrapText="1"/>
    </xf>
    <xf numFmtId="0" fontId="14" fillId="13" borderId="20" xfId="0" applyFont="1" applyFill="1" applyBorder="1" applyAlignment="1">
      <alignment horizontal="center" vertical="center" wrapText="1"/>
    </xf>
    <xf numFmtId="0" fontId="26" fillId="0" borderId="20" xfId="0" applyFont="1" applyBorder="1" applyAlignment="1">
      <alignment horizontal="center" vertical="center" wrapText="1"/>
    </xf>
    <xf numFmtId="0" fontId="26" fillId="14" borderId="20" xfId="0" applyFont="1" applyFill="1" applyBorder="1" applyAlignment="1">
      <alignment horizontal="center" vertical="center" wrapText="1"/>
    </xf>
    <xf numFmtId="0" fontId="28" fillId="14" borderId="20" xfId="0" applyFont="1" applyFill="1" applyBorder="1" applyAlignment="1">
      <alignment horizontal="center" vertical="center" wrapText="1"/>
    </xf>
    <xf numFmtId="0" fontId="14" fillId="8" borderId="20" xfId="0" applyFont="1" applyFill="1" applyBorder="1" applyAlignment="1">
      <alignment horizontal="center" vertical="center" wrapText="1"/>
    </xf>
    <xf numFmtId="0" fontId="41" fillId="15" borderId="20" xfId="0" applyFont="1" applyFill="1" applyBorder="1" applyAlignment="1">
      <alignment horizontal="center" vertical="center" wrapText="1"/>
    </xf>
    <xf numFmtId="0" fontId="12" fillId="15" borderId="20" xfId="0" applyFont="1" applyFill="1" applyBorder="1" applyAlignment="1">
      <alignment horizontal="center" vertical="center" wrapText="1"/>
    </xf>
    <xf numFmtId="0" fontId="41" fillId="14" borderId="20" xfId="0" applyFont="1" applyFill="1" applyBorder="1" applyAlignment="1">
      <alignment horizontal="center" vertical="center" wrapText="1"/>
    </xf>
    <xf numFmtId="0" fontId="31" fillId="14" borderId="20" xfId="0" applyFont="1" applyFill="1" applyBorder="1" applyAlignment="1">
      <alignment horizontal="center" vertical="center" wrapText="1"/>
    </xf>
    <xf numFmtId="0" fontId="14" fillId="10" borderId="20" xfId="0" applyFont="1" applyFill="1" applyBorder="1" applyAlignment="1">
      <alignment horizontal="center" vertical="center" wrapText="1"/>
    </xf>
    <xf numFmtId="0" fontId="42" fillId="10" borderId="20" xfId="0" applyFont="1" applyFill="1" applyBorder="1" applyAlignment="1">
      <alignment horizontal="center" vertical="center" wrapText="1"/>
    </xf>
    <xf numFmtId="0" fontId="43" fillId="15" borderId="20" xfId="0" applyFont="1" applyFill="1" applyBorder="1" applyAlignment="1">
      <alignment horizontal="center" vertical="center" wrapText="1"/>
    </xf>
    <xf numFmtId="0" fontId="35" fillId="15" borderId="20" xfId="0" applyFont="1" applyFill="1" applyBorder="1" applyAlignment="1">
      <alignment horizontal="center" vertical="center" wrapText="1"/>
    </xf>
    <xf numFmtId="0" fontId="44" fillId="15" borderId="20" xfId="0" applyFont="1" applyFill="1" applyBorder="1" applyAlignment="1">
      <alignment horizontal="center" vertical="center" wrapText="1"/>
    </xf>
    <xf numFmtId="0" fontId="37" fillId="15" borderId="20" xfId="0" applyFont="1" applyFill="1" applyBorder="1" applyAlignment="1">
      <alignment horizontal="center" vertical="center" wrapText="1"/>
    </xf>
    <xf numFmtId="0" fontId="38" fillId="6" borderId="20" xfId="0" applyFont="1" applyFill="1" applyBorder="1" applyAlignment="1">
      <alignment horizontal="center" vertical="center" wrapText="1"/>
    </xf>
    <xf numFmtId="0" fontId="46" fillId="6" borderId="20" xfId="0" applyFont="1" applyFill="1" applyBorder="1" applyAlignment="1">
      <alignment horizontal="center" vertical="center" wrapText="1"/>
    </xf>
    <xf numFmtId="0" fontId="47" fillId="8" borderId="20" xfId="0" applyFont="1" applyFill="1" applyBorder="1" applyAlignment="1">
      <alignment horizontal="center" vertical="center" wrapText="1"/>
    </xf>
    <xf numFmtId="0" fontId="0" fillId="17" borderId="20" xfId="0" applyFill="1" applyBorder="1"/>
    <xf numFmtId="0" fontId="22" fillId="8" borderId="20" xfId="0" applyFont="1" applyFill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11" fillId="6" borderId="20" xfId="0" applyFont="1" applyFill="1" applyBorder="1" applyAlignment="1">
      <alignment horizontal="left" vertical="center" indent="1"/>
    </xf>
    <xf numFmtId="0" fontId="12" fillId="6" borderId="20" xfId="0" applyFont="1" applyFill="1" applyBorder="1" applyAlignment="1">
      <alignment horizontal="center" vertical="center" wrapText="1"/>
    </xf>
    <xf numFmtId="0" fontId="50" fillId="10" borderId="20" xfId="0" applyFont="1" applyFill="1" applyBorder="1" applyAlignment="1">
      <alignment horizontal="center" vertical="center" wrapText="1"/>
    </xf>
    <xf numFmtId="0" fontId="35" fillId="6" borderId="20" xfId="0" applyFont="1" applyFill="1" applyBorder="1" applyAlignment="1">
      <alignment horizontal="center" vertical="center" wrapText="1"/>
    </xf>
    <xf numFmtId="0" fontId="37" fillId="6" borderId="20" xfId="0" applyFont="1" applyFill="1" applyBorder="1" applyAlignment="1">
      <alignment horizontal="center" vertical="center" wrapText="1"/>
    </xf>
    <xf numFmtId="0" fontId="22" fillId="5" borderId="21" xfId="0" applyFont="1" applyFill="1" applyBorder="1" applyAlignment="1">
      <alignment horizontal="center" vertical="center" wrapText="1"/>
    </xf>
    <xf numFmtId="0" fontId="52" fillId="0" borderId="0" xfId="0" applyFont="1"/>
    <xf numFmtId="0" fontId="1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0" borderId="0" xfId="0" applyFont="1"/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4" borderId="0" xfId="0" applyFont="1" applyFill="1" applyAlignment="1">
      <alignment horizontal="center" vertical="center" wrapText="1"/>
    </xf>
    <xf numFmtId="0" fontId="9" fillId="5" borderId="0" xfId="0" applyFont="1" applyFill="1" applyAlignment="1">
      <alignment horizontal="center" vertical="center" wrapText="1"/>
    </xf>
    <xf numFmtId="0" fontId="10" fillId="5" borderId="0" xfId="0" applyFont="1" applyFill="1" applyAlignment="1">
      <alignment horizontal="center" vertical="center" wrapText="1"/>
    </xf>
    <xf numFmtId="0" fontId="18" fillId="9" borderId="0" xfId="0" applyFont="1" applyFill="1" applyAlignment="1">
      <alignment horizontal="center" vertical="center" wrapText="1"/>
    </xf>
    <xf numFmtId="0" fontId="16" fillId="0" borderId="0" xfId="0" applyFont="1"/>
    <xf numFmtId="0" fontId="20" fillId="0" borderId="0" xfId="0" applyFont="1"/>
    <xf numFmtId="0" fontId="18" fillId="10" borderId="0" xfId="0" applyFont="1" applyFill="1" applyAlignment="1">
      <alignment horizontal="center" vertical="center" wrapText="1"/>
    </xf>
    <xf numFmtId="0" fontId="24" fillId="5" borderId="0" xfId="0" applyFont="1" applyFill="1" applyAlignment="1">
      <alignment horizontal="center" vertical="center"/>
    </xf>
    <xf numFmtId="0" fontId="25" fillId="11" borderId="4" xfId="0" applyFont="1" applyFill="1" applyBorder="1" applyAlignment="1">
      <alignment horizontal="center" vertical="center" wrapText="1"/>
    </xf>
    <xf numFmtId="0" fontId="11" fillId="15" borderId="15" xfId="0" applyFont="1" applyFill="1" applyBorder="1" applyAlignment="1">
      <alignment horizontal="center" vertical="center" wrapText="1"/>
    </xf>
    <xf numFmtId="0" fontId="12" fillId="15" borderId="16" xfId="0" applyFont="1" applyFill="1" applyBorder="1" applyAlignment="1">
      <alignment horizontal="center" vertical="center" wrapText="1"/>
    </xf>
    <xf numFmtId="0" fontId="30" fillId="15" borderId="17" xfId="0" applyFont="1" applyFill="1" applyBorder="1" applyAlignment="1">
      <alignment horizontal="center" vertical="center" wrapText="1"/>
    </xf>
    <xf numFmtId="0" fontId="31" fillId="15" borderId="18" xfId="0" applyFont="1" applyFill="1" applyBorder="1" applyAlignment="1">
      <alignment horizontal="center" vertical="center" wrapText="1"/>
    </xf>
    <xf numFmtId="0" fontId="32" fillId="10" borderId="17" xfId="0" applyFont="1" applyFill="1" applyBorder="1" applyAlignment="1">
      <alignment horizontal="center" vertical="center" wrapText="1"/>
    </xf>
    <xf numFmtId="0" fontId="33" fillId="10" borderId="18" xfId="0" applyFont="1" applyFill="1" applyBorder="1" applyAlignment="1">
      <alignment horizontal="center" vertical="center" wrapText="1"/>
    </xf>
    <xf numFmtId="0" fontId="11" fillId="15" borderId="17" xfId="0" applyFont="1" applyFill="1" applyBorder="1" applyAlignment="1">
      <alignment horizontal="center" vertical="center" wrapText="1"/>
    </xf>
    <xf numFmtId="0" fontId="12" fillId="15" borderId="18" xfId="0" applyFont="1" applyFill="1" applyBorder="1" applyAlignment="1">
      <alignment horizontal="center" vertical="center" wrapText="1"/>
    </xf>
    <xf numFmtId="0" fontId="34" fillId="15" borderId="17" xfId="0" applyFont="1" applyFill="1" applyBorder="1" applyAlignment="1">
      <alignment horizontal="center" vertical="center" wrapText="1"/>
    </xf>
    <xf numFmtId="0" fontId="35" fillId="15" borderId="18" xfId="0" applyFont="1" applyFill="1" applyBorder="1" applyAlignment="1">
      <alignment horizontal="center" vertical="center" wrapText="1"/>
    </xf>
    <xf numFmtId="0" fontId="36" fillId="15" borderId="17" xfId="0" applyFont="1" applyFill="1" applyBorder="1" applyAlignment="1">
      <alignment horizontal="center" vertical="center" wrapText="1"/>
    </xf>
    <xf numFmtId="0" fontId="37" fillId="15" borderId="19" xfId="0" applyFont="1" applyFill="1" applyBorder="1" applyAlignment="1">
      <alignment horizontal="center" vertical="center" wrapText="1"/>
    </xf>
    <xf numFmtId="0" fontId="0" fillId="6" borderId="20" xfId="0" applyFill="1" applyBorder="1"/>
    <xf numFmtId="0" fontId="14" fillId="8" borderId="20" xfId="0" applyFont="1" applyFill="1" applyBorder="1" applyAlignment="1">
      <alignment horizontal="center" vertical="center" wrapText="1"/>
    </xf>
    <xf numFmtId="0" fontId="0" fillId="15" borderId="20" xfId="0" applyFill="1" applyBorder="1"/>
    <xf numFmtId="0" fontId="38" fillId="0" borderId="0" xfId="0" applyFont="1" applyAlignment="1">
      <alignment horizontal="right" vertical="center"/>
    </xf>
    <xf numFmtId="0" fontId="25" fillId="16" borderId="20" xfId="0" applyFont="1" applyFill="1" applyBorder="1" applyAlignment="1">
      <alignment horizontal="center" vertical="center" wrapText="1"/>
    </xf>
    <xf numFmtId="0" fontId="39" fillId="16" borderId="20" xfId="0" applyFont="1" applyFill="1" applyBorder="1" applyAlignment="1">
      <alignment horizontal="center" vertical="center" wrapText="1"/>
    </xf>
    <xf numFmtId="0" fontId="40" fillId="6" borderId="20" xfId="0" applyFont="1" applyFill="1" applyBorder="1" applyAlignment="1">
      <alignment horizontal="center" vertical="center" wrapText="1"/>
    </xf>
    <xf numFmtId="0" fontId="45" fillId="5" borderId="0" xfId="0" applyFont="1" applyFill="1" applyAlignment="1">
      <alignment horizontal="center" vertical="center" wrapText="1"/>
    </xf>
    <xf numFmtId="0" fontId="19" fillId="6" borderId="20" xfId="0" applyFont="1" applyFill="1" applyBorder="1" applyAlignment="1">
      <alignment horizontal="left" vertical="center" indent="1"/>
    </xf>
    <xf numFmtId="0" fontId="40" fillId="17" borderId="20" xfId="0" applyFont="1" applyFill="1" applyBorder="1" applyAlignment="1">
      <alignment horizontal="center" vertical="center" wrapText="1"/>
    </xf>
    <xf numFmtId="0" fontId="0" fillId="5" borderId="21" xfId="0" applyFill="1" applyBorder="1"/>
    <xf numFmtId="0" fontId="48" fillId="5" borderId="0" xfId="0" applyFont="1" applyFill="1" applyAlignment="1">
      <alignment horizontal="center" vertical="center" wrapText="1"/>
    </xf>
    <xf numFmtId="0" fontId="22" fillId="8" borderId="20" xfId="0" applyFont="1" applyFill="1" applyBorder="1" applyAlignment="1">
      <alignment horizontal="center" vertical="center" wrapText="1"/>
    </xf>
    <xf numFmtId="0" fontId="10" fillId="8" borderId="20" xfId="0" applyFont="1" applyFill="1" applyBorder="1" applyAlignment="1">
      <alignment horizontal="center" vertical="center" wrapText="1"/>
    </xf>
    <xf numFmtId="0" fontId="10" fillId="10" borderId="20" xfId="0" applyFont="1" applyFill="1" applyBorder="1" applyAlignment="1">
      <alignment horizontal="center" vertical="center" wrapText="1"/>
    </xf>
    <xf numFmtId="0" fontId="22" fillId="5" borderId="21" xfId="0" applyFont="1" applyFill="1" applyBorder="1"/>
  </cellXfs>
  <cellStyles count="1">
    <cellStyle name="標準" xfId="0" builtinId="0"/>
  </cellStyles>
  <dxfs count="821">
    <dxf>
      <font>
        <color rgb="FF2C2C2C"/>
        <name val="Yu Gothic"/>
        <charset val="1"/>
      </font>
      <fill>
        <patternFill>
          <bgColor rgb="FFE8EEF5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color rgb="FF2C2C2C"/>
        <name val="Yu Gothic"/>
        <charset val="1"/>
      </font>
      <fill>
        <patternFill>
          <bgColor rgb="FFE8EEF5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color rgb="FF2C2C2C"/>
        <name val="Yu Gothic"/>
        <charset val="1"/>
      </font>
      <fill>
        <patternFill>
          <bgColor rgb="FFE8EEF5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color rgb="FF2C2C2C"/>
        <name val="Yu Gothic"/>
        <charset val="1"/>
      </font>
      <fill>
        <patternFill>
          <bgColor rgb="FFE8EEF5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color rgb="FF2C2C2C"/>
        <name val="Yu Gothic"/>
        <charset val="1"/>
      </font>
      <fill>
        <patternFill>
          <bgColor rgb="FFE8EEF5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color rgb="FF2C2C2C"/>
        <name val="Yu Gothic"/>
        <charset val="1"/>
      </font>
      <fill>
        <patternFill>
          <bgColor rgb="FFE8EEF5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color rgb="FF2C2C2C"/>
        <name val="Yu Gothic"/>
        <charset val="1"/>
      </font>
      <fill>
        <patternFill>
          <bgColor rgb="FFE8EEF5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color rgb="FF2C2C2C"/>
        <name val="Yu Gothic"/>
        <charset val="1"/>
      </font>
      <fill>
        <patternFill>
          <bgColor rgb="FFE8EEF5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color rgb="FF2C2C2C"/>
        <name val="Yu Gothic"/>
        <charset val="1"/>
      </font>
      <fill>
        <patternFill>
          <bgColor rgb="FFE8EEF5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color rgb="FF2C2C2C"/>
        <name val="Yu Gothic"/>
        <charset val="1"/>
      </font>
      <fill>
        <patternFill>
          <bgColor rgb="FFE8EEF5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color rgb="FF2C2C2C"/>
        <name val="Yu Gothic"/>
        <charset val="1"/>
      </font>
      <fill>
        <patternFill>
          <bgColor rgb="FFE8EEF5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color rgb="FF2C2C2C"/>
        <name val="Yu Gothic"/>
        <charset val="1"/>
      </font>
      <fill>
        <patternFill>
          <bgColor rgb="FFE8EEF5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color rgb="FF2C2C2C"/>
        <name val="Yu Gothic"/>
        <charset val="1"/>
      </font>
      <fill>
        <patternFill>
          <bgColor rgb="FFE8EEF5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color rgb="FF2C2C2C"/>
        <name val="Yu Gothic"/>
        <charset val="1"/>
      </font>
      <fill>
        <patternFill>
          <bgColor rgb="FFE8EEF5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color rgb="FF2C2C2C"/>
        <name val="Yu Gothic"/>
        <charset val="1"/>
      </font>
      <fill>
        <patternFill>
          <bgColor rgb="FFE8EEF5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color rgb="FF2C2C2C"/>
        <name val="Yu Gothic"/>
        <charset val="1"/>
      </font>
      <fill>
        <patternFill>
          <bgColor rgb="FFE8EEF5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color rgb="FF2C2C2C"/>
        <name val="Yu Gothic"/>
        <charset val="1"/>
      </font>
      <fill>
        <patternFill>
          <bgColor rgb="FFE8EEF5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color rgb="FF2C2C2C"/>
        <name val="Yu Gothic"/>
        <charset val="1"/>
      </font>
      <fill>
        <patternFill>
          <bgColor rgb="FFE8EEF5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color rgb="FF2C2C2C"/>
        <name val="Yu Gothic"/>
        <charset val="1"/>
      </font>
      <fill>
        <patternFill>
          <bgColor rgb="FFE8EEF5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color rgb="FF2C2C2C"/>
        <name val="Yu Gothic"/>
        <charset val="1"/>
      </font>
      <fill>
        <patternFill>
          <bgColor rgb="FFE8EEF5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color rgb="FF2C2C2C"/>
        <name val="Yu Gothic"/>
        <charset val="1"/>
      </font>
      <fill>
        <patternFill>
          <bgColor rgb="FFE8EEF5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color rgb="FF2C2C2C"/>
        <name val="Yu Gothic"/>
        <charset val="1"/>
      </font>
      <fill>
        <patternFill>
          <bgColor rgb="FFE8EEF5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color rgb="FF2C2C2C"/>
        <name val="Yu Gothic"/>
        <charset val="1"/>
      </font>
      <fill>
        <patternFill>
          <bgColor rgb="FFE8EEF5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color rgb="FF2C2C2C"/>
        <name val="Yu Gothic"/>
        <charset val="1"/>
      </font>
      <fill>
        <patternFill>
          <bgColor rgb="FFE8EEF5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5B8A5A"/>
        <name val="Yu Gothic"/>
        <charset val="1"/>
      </font>
    </dxf>
    <dxf>
      <font>
        <b/>
        <color rgb="FFB8504A"/>
        <name val="Yu Gothic"/>
        <charset val="1"/>
      </font>
    </dxf>
    <dxf>
      <font>
        <color rgb="FF2C2C2C"/>
        <name val="Yu Gothic"/>
        <charset val="1"/>
      </font>
      <fill>
        <patternFill>
          <bgColor rgb="FFF5E8E8"/>
        </patternFill>
      </fill>
    </dxf>
    <dxf>
      <font>
        <color rgb="FF2C2C2C"/>
        <name val="Yu Gothic"/>
        <charset val="1"/>
      </font>
      <fill>
        <patternFill>
          <bgColor rgb="FFE8EEF5"/>
        </patternFill>
      </fill>
    </dxf>
    <dxf>
      <font>
        <color rgb="FF2C2C2C"/>
        <name val="Yu Gothic"/>
        <charset val="1"/>
      </font>
      <fill>
        <patternFill>
          <bgColor rgb="FFF5E8E8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CC0000"/>
      <rgbColor rgb="FF00FF00"/>
      <rgbColor rgb="FF0033CC"/>
      <rgbColor rgb="FFFFFF00"/>
      <rgbColor rgb="FFFF00FF"/>
      <rgbColor rgb="FF00FFFF"/>
      <rgbColor rgb="FFC00000"/>
      <rgbColor rgb="FF008000"/>
      <rgbColor rgb="FF000080"/>
      <rgbColor rgb="FF606060"/>
      <rgbColor rgb="FF800080"/>
      <rgbColor rgb="FF1F4E78"/>
      <rgbColor rgb="FFD4CFC4"/>
      <rgbColor rgb="FF808080"/>
      <rgbColor rgb="FFA89F8E"/>
      <rgbColor rgb="FFB8504A"/>
      <rgbColor rgb="FFFFF4B8"/>
      <rgbColor rgb="FFE8EEF5"/>
      <rgbColor rgb="FF660066"/>
      <rgbColor rgb="FFB89968"/>
      <rgbColor rgb="FF1F4E8C"/>
      <rgbColor rgb="FFD9E1F2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F5F3EF"/>
      <rgbColor rgb="FFDDE3D5"/>
      <rgbColor rgb="FFF5ECD9"/>
      <rgbColor rgb="FFE8E3DB"/>
      <rgbColor rgb="FFF5E8E8"/>
      <rgbColor rgb="FFEEEBE5"/>
      <rgbColor rgb="FFEDE4D8"/>
      <rgbColor rgb="FF4A6B8C"/>
      <rgbColor rgb="FF33CCCC"/>
      <rgbColor rgb="FF99CC00"/>
      <rgbColor rgb="FFFFCC00"/>
      <rgbColor rgb="FFFF9900"/>
      <rgbColor rgb="FFFF6600"/>
      <rgbColor rgb="FF6B5B8C"/>
      <rgbColor rgb="FFA0A0A0"/>
      <rgbColor rgb="FF1F3864"/>
      <rgbColor rgb="FF5B8A5A"/>
      <rgbColor rgb="FF1C2D4A"/>
      <rgbColor rgb="FF404040"/>
      <rgbColor rgb="FF993300"/>
      <rgbColor rgb="FF993366"/>
      <rgbColor rgb="FF2C3E5D"/>
      <rgbColor rgb="FF2C2C2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2"/>
  <sheetViews>
    <sheetView showGridLines="0" tabSelected="1" zoomScaleNormal="100" workbookViewId="0">
      <selection activeCell="A9" sqref="A9:H9"/>
    </sheetView>
  </sheetViews>
  <sheetFormatPr defaultColWidth="8.7109375" defaultRowHeight="15"/>
  <cols>
    <col min="1" max="1" width="5" customWidth="1"/>
    <col min="2" max="8" width="13" customWidth="1"/>
  </cols>
  <sheetData>
    <row r="1" spans="1:8">
      <c r="A1" s="84" t="s">
        <v>0</v>
      </c>
      <c r="B1" s="84"/>
      <c r="C1" s="84"/>
      <c r="D1" s="84"/>
      <c r="E1" s="84"/>
      <c r="F1" s="84"/>
      <c r="G1" s="84"/>
      <c r="H1" s="84"/>
    </row>
    <row r="2" spans="1:8">
      <c r="A2" s="84"/>
      <c r="B2" s="84"/>
      <c r="C2" s="84"/>
      <c r="D2" s="84"/>
      <c r="E2" s="84"/>
      <c r="F2" s="84"/>
      <c r="G2" s="84"/>
      <c r="H2" s="84"/>
    </row>
    <row r="3" spans="1:8">
      <c r="A3" s="84"/>
      <c r="B3" s="84"/>
      <c r="C3" s="84"/>
      <c r="D3" s="84"/>
      <c r="E3" s="84"/>
      <c r="F3" s="84"/>
      <c r="G3" s="84"/>
      <c r="H3" s="84"/>
    </row>
    <row r="4" spans="1:8" ht="19.5">
      <c r="A4" s="85" t="s">
        <v>1</v>
      </c>
      <c r="B4" s="85"/>
      <c r="C4" s="85"/>
      <c r="D4" s="85"/>
      <c r="E4" s="85"/>
      <c r="F4" s="85"/>
      <c r="G4" s="85"/>
      <c r="H4" s="85"/>
    </row>
    <row r="6" spans="1:8" ht="18">
      <c r="A6" s="86" t="s">
        <v>2</v>
      </c>
      <c r="B6" s="86"/>
      <c r="C6" s="86"/>
      <c r="D6" s="86"/>
      <c r="E6" s="86"/>
      <c r="F6" s="86"/>
      <c r="G6" s="86"/>
      <c r="H6" s="86"/>
    </row>
    <row r="7" spans="1:8" ht="21.75" customHeight="1">
      <c r="A7" s="87" t="s">
        <v>3</v>
      </c>
      <c r="B7" s="87"/>
      <c r="C7" s="87"/>
      <c r="D7" s="87"/>
      <c r="E7" s="87"/>
      <c r="F7" s="87"/>
      <c r="G7" s="87"/>
      <c r="H7" s="87"/>
    </row>
    <row r="8" spans="1:8" ht="21.75" customHeight="1">
      <c r="A8" s="88" t="s">
        <v>4</v>
      </c>
      <c r="B8" s="88"/>
      <c r="C8" s="88"/>
      <c r="D8" s="88"/>
      <c r="E8" s="88"/>
      <c r="F8" s="88"/>
      <c r="G8" s="88"/>
      <c r="H8" s="88"/>
    </row>
    <row r="9" spans="1:8" ht="21.75" customHeight="1">
      <c r="A9" s="87" t="s">
        <v>5</v>
      </c>
      <c r="B9" s="87"/>
      <c r="C9" s="87"/>
      <c r="D9" s="87"/>
      <c r="E9" s="87"/>
      <c r="F9" s="87"/>
      <c r="G9" s="87"/>
      <c r="H9" s="87"/>
    </row>
    <row r="10" spans="1:8" ht="21.75" customHeight="1">
      <c r="A10" s="87" t="s">
        <v>6</v>
      </c>
      <c r="B10" s="87"/>
      <c r="C10" s="87"/>
      <c r="D10" s="87"/>
      <c r="E10" s="87"/>
      <c r="F10" s="87"/>
      <c r="G10" s="87"/>
      <c r="H10" s="87"/>
    </row>
    <row r="11" spans="1:8" ht="21.75" customHeight="1">
      <c r="A11" s="87" t="s">
        <v>7</v>
      </c>
      <c r="B11" s="87"/>
      <c r="C11" s="87"/>
      <c r="D11" s="87"/>
      <c r="E11" s="87"/>
      <c r="F11" s="87"/>
      <c r="G11" s="87"/>
      <c r="H11" s="87"/>
    </row>
    <row r="12" spans="1:8" ht="21.75" customHeight="1">
      <c r="A12" s="87" t="s">
        <v>8</v>
      </c>
      <c r="B12" s="87"/>
      <c r="C12" s="87"/>
      <c r="D12" s="87"/>
      <c r="E12" s="87"/>
      <c r="F12" s="87"/>
      <c r="G12" s="87"/>
      <c r="H12" s="87"/>
    </row>
    <row r="13" spans="1:8" ht="21.75" customHeight="1">
      <c r="A13" s="87" t="s">
        <v>9</v>
      </c>
      <c r="B13" s="87"/>
      <c r="C13" s="87"/>
      <c r="D13" s="87"/>
      <c r="E13" s="87"/>
      <c r="F13" s="87"/>
      <c r="G13" s="87"/>
      <c r="H13" s="87"/>
    </row>
    <row r="14" spans="1:8" ht="21.75" customHeight="1">
      <c r="A14" s="87" t="s">
        <v>10</v>
      </c>
      <c r="B14" s="87"/>
      <c r="C14" s="87"/>
      <c r="D14" s="87"/>
      <c r="E14" s="87"/>
      <c r="F14" s="87"/>
      <c r="G14" s="87"/>
      <c r="H14" s="87"/>
    </row>
    <row r="16" spans="1:8" ht="18">
      <c r="A16" s="86" t="s">
        <v>11</v>
      </c>
      <c r="B16" s="86"/>
      <c r="C16" s="86"/>
      <c r="D16" s="86"/>
      <c r="E16" s="86"/>
      <c r="F16" s="86"/>
      <c r="G16" s="86"/>
      <c r="H16" s="86"/>
    </row>
    <row r="17" spans="1:8" ht="21.75" customHeight="1">
      <c r="A17" s="87" t="s">
        <v>12</v>
      </c>
      <c r="B17" s="87"/>
      <c r="C17" s="87"/>
      <c r="D17" s="87"/>
      <c r="E17" s="87"/>
      <c r="F17" s="87"/>
      <c r="G17" s="87"/>
      <c r="H17" s="87"/>
    </row>
    <row r="18" spans="1:8" ht="21.75" customHeight="1">
      <c r="A18" s="87" t="s">
        <v>13</v>
      </c>
      <c r="B18" s="87"/>
      <c r="C18" s="87"/>
      <c r="D18" s="87"/>
      <c r="E18" s="87"/>
      <c r="F18" s="87"/>
      <c r="G18" s="87"/>
      <c r="H18" s="87"/>
    </row>
    <row r="19" spans="1:8" ht="21.75" customHeight="1">
      <c r="A19" s="87" t="s">
        <v>14</v>
      </c>
      <c r="B19" s="87"/>
      <c r="C19" s="87"/>
      <c r="D19" s="87"/>
      <c r="E19" s="87"/>
      <c r="F19" s="87"/>
      <c r="G19" s="87"/>
      <c r="H19" s="87"/>
    </row>
    <row r="20" spans="1:8" ht="21.75" customHeight="1">
      <c r="A20" s="87" t="s">
        <v>15</v>
      </c>
      <c r="B20" s="87"/>
      <c r="C20" s="87"/>
      <c r="D20" s="87"/>
      <c r="E20" s="87"/>
      <c r="F20" s="87"/>
      <c r="G20" s="87"/>
      <c r="H20" s="87"/>
    </row>
    <row r="21" spans="1:8" ht="21.75" customHeight="1">
      <c r="A21" s="87" t="s">
        <v>16</v>
      </c>
      <c r="B21" s="87"/>
      <c r="C21" s="87"/>
      <c r="D21" s="87"/>
      <c r="E21" s="87"/>
      <c r="F21" s="87"/>
      <c r="G21" s="87"/>
      <c r="H21" s="87"/>
    </row>
    <row r="24" spans="1:8" ht="15" customHeight="1">
      <c r="A24" s="89" t="s">
        <v>17</v>
      </c>
      <c r="B24" s="89"/>
      <c r="C24" s="89"/>
      <c r="D24" s="89"/>
      <c r="E24" s="89"/>
      <c r="F24" s="89"/>
      <c r="G24" s="89"/>
      <c r="H24" s="89"/>
    </row>
    <row r="25" spans="1:8">
      <c r="A25" s="89"/>
      <c r="B25" s="89"/>
      <c r="C25" s="89"/>
      <c r="D25" s="89"/>
      <c r="E25" s="89"/>
      <c r="F25" s="89"/>
      <c r="G25" s="89"/>
      <c r="H25" s="89"/>
    </row>
    <row r="26" spans="1:8">
      <c r="A26" s="89"/>
      <c r="B26" s="89"/>
      <c r="C26" s="89"/>
      <c r="D26" s="89"/>
      <c r="E26" s="89"/>
      <c r="F26" s="89"/>
      <c r="G26" s="89"/>
      <c r="H26" s="89"/>
    </row>
    <row r="27" spans="1:8">
      <c r="A27" s="89"/>
      <c r="B27" s="89"/>
      <c r="C27" s="89"/>
      <c r="D27" s="89"/>
      <c r="E27" s="89"/>
      <c r="F27" s="89"/>
      <c r="G27" s="89"/>
      <c r="H27" s="89"/>
    </row>
    <row r="29" spans="1:8">
      <c r="B29" s="83" t="s">
        <v>164</v>
      </c>
    </row>
    <row r="30" spans="1:8">
      <c r="B30" s="83" t="s">
        <v>165</v>
      </c>
    </row>
    <row r="31" spans="1:8">
      <c r="B31" s="83" t="s">
        <v>166</v>
      </c>
    </row>
    <row r="32" spans="1:8">
      <c r="B32" s="83" t="s">
        <v>167</v>
      </c>
    </row>
    <row r="33" spans="2:2">
      <c r="B33" s="83" t="s">
        <v>168</v>
      </c>
    </row>
    <row r="34" spans="2:2">
      <c r="B34" s="83" t="s">
        <v>169</v>
      </c>
    </row>
    <row r="36" spans="2:2">
      <c r="B36" s="83" t="s">
        <v>170</v>
      </c>
    </row>
    <row r="37" spans="2:2">
      <c r="B37" s="83" t="s">
        <v>171</v>
      </c>
    </row>
    <row r="38" spans="2:2">
      <c r="B38" s="83" t="s">
        <v>172</v>
      </c>
    </row>
    <row r="39" spans="2:2">
      <c r="B39" s="83" t="s">
        <v>173</v>
      </c>
    </row>
    <row r="40" spans="2:2">
      <c r="B40" s="83" t="s">
        <v>174</v>
      </c>
    </row>
    <row r="41" spans="2:2">
      <c r="B41" t="s">
        <v>175</v>
      </c>
    </row>
    <row r="42" spans="2:2">
      <c r="B42" s="83" t="s">
        <v>164</v>
      </c>
    </row>
  </sheetData>
  <sheetProtection sheet="1" objects="1" scenarios="1"/>
  <mergeCells count="18">
    <mergeCell ref="A20:H20"/>
    <mergeCell ref="A21:H21"/>
    <mergeCell ref="A24:H27"/>
    <mergeCell ref="A14:H14"/>
    <mergeCell ref="A16:H16"/>
    <mergeCell ref="A17:H17"/>
    <mergeCell ref="A18:H18"/>
    <mergeCell ref="A19:H19"/>
    <mergeCell ref="A9:H9"/>
    <mergeCell ref="A10:H10"/>
    <mergeCell ref="A11:H11"/>
    <mergeCell ref="A12:H12"/>
    <mergeCell ref="A13:H13"/>
    <mergeCell ref="A1:H3"/>
    <mergeCell ref="A4:H4"/>
    <mergeCell ref="A6:H6"/>
    <mergeCell ref="A7:H7"/>
    <mergeCell ref="A8:H8"/>
  </mergeCells>
  <phoneticPr fontId="51"/>
  <pageMargins left="0.74803149606299213" right="0.74803149606299213" top="0.98425196850393704" bottom="0.98425196850393704" header="0.51181102362204722" footer="0.51181102362204722"/>
  <pageSetup paperSize="9" orientation="portrait" horizontalDpi="300" verticalDpi="300" r:id="rId1"/>
  <headerFooter>
    <oddFooter>&amp;C&amp;"ＭＳ Ｐゴシック,標準"制作：有限会社水越設備&amp;Rsp-mizukoshi.jp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EW40"/>
  <sheetViews>
    <sheetView zoomScaleNormal="100" workbookViewId="0">
      <pane xSplit="3" ySplit="3" topLeftCell="D4" activePane="bottomRight" state="frozen"/>
      <selection sqref="A1:EW1"/>
      <selection pane="topRight" sqref="A1:EW1"/>
      <selection pane="bottomLeft" sqref="A1:EW1"/>
      <selection pane="bottomRight" sqref="A1:EW1"/>
    </sheetView>
  </sheetViews>
  <sheetFormatPr defaultColWidth="8.7109375" defaultRowHeight="15"/>
  <cols>
    <col min="1" max="1" width="5" customWidth="1"/>
    <col min="2" max="3" width="4" customWidth="1"/>
    <col min="4" max="5" width="13" customWidth="1"/>
    <col min="6" max="7" width="6" customWidth="1"/>
    <col min="8" max="8" width="7" customWidth="1"/>
    <col min="9" max="10" width="13" customWidth="1"/>
    <col min="11" max="12" width="6" customWidth="1"/>
    <col min="13" max="13" width="7" customWidth="1"/>
    <col min="14" max="15" width="13" customWidth="1"/>
    <col min="16" max="17" width="6" customWidth="1"/>
    <col min="18" max="18" width="7" customWidth="1"/>
    <col min="19" max="20" width="13" customWidth="1"/>
    <col min="21" max="22" width="6" customWidth="1"/>
    <col min="23" max="23" width="7" customWidth="1"/>
    <col min="24" max="25" width="13" customWidth="1"/>
    <col min="26" max="27" width="6" customWidth="1"/>
    <col min="28" max="28" width="7" customWidth="1"/>
    <col min="29" max="30" width="13" customWidth="1"/>
    <col min="31" max="32" width="6" customWidth="1"/>
    <col min="33" max="33" width="7" customWidth="1"/>
    <col min="34" max="35" width="13" customWidth="1"/>
    <col min="36" max="37" width="6" customWidth="1"/>
    <col min="38" max="38" width="7" customWidth="1"/>
    <col min="39" max="40" width="13" customWidth="1"/>
    <col min="41" max="42" width="6" customWidth="1"/>
    <col min="43" max="43" width="7" customWidth="1"/>
    <col min="44" max="45" width="13" customWidth="1"/>
    <col min="46" max="47" width="6" customWidth="1"/>
    <col min="48" max="48" width="7" customWidth="1"/>
    <col min="49" max="50" width="13" customWidth="1"/>
    <col min="51" max="52" width="6" customWidth="1"/>
    <col min="53" max="53" width="7" customWidth="1"/>
    <col min="54" max="55" width="13" customWidth="1"/>
    <col min="56" max="57" width="6" customWidth="1"/>
    <col min="58" max="58" width="7" customWidth="1"/>
    <col min="59" max="60" width="13" customWidth="1"/>
    <col min="61" max="62" width="6" customWidth="1"/>
    <col min="63" max="63" width="7" customWidth="1"/>
    <col min="64" max="65" width="13" customWidth="1"/>
    <col min="66" max="67" width="6" customWidth="1"/>
    <col min="68" max="68" width="7" customWidth="1"/>
    <col min="69" max="70" width="13" customWidth="1"/>
    <col min="71" max="72" width="6" customWidth="1"/>
    <col min="73" max="73" width="7" customWidth="1"/>
    <col min="74" max="75" width="13" customWidth="1"/>
    <col min="76" max="77" width="6" customWidth="1"/>
    <col min="78" max="78" width="7" customWidth="1"/>
    <col min="79" max="80" width="13" customWidth="1"/>
    <col min="81" max="82" width="6" customWidth="1"/>
    <col min="83" max="83" width="7" customWidth="1"/>
    <col min="84" max="85" width="13" customWidth="1"/>
    <col min="86" max="87" width="6" customWidth="1"/>
    <col min="88" max="88" width="7" customWidth="1"/>
    <col min="89" max="90" width="13" customWidth="1"/>
    <col min="91" max="92" width="6" customWidth="1"/>
    <col min="93" max="93" width="7" customWidth="1"/>
    <col min="94" max="95" width="13" customWidth="1"/>
    <col min="96" max="97" width="6" customWidth="1"/>
    <col min="98" max="98" width="7" customWidth="1"/>
    <col min="99" max="100" width="13" customWidth="1"/>
    <col min="101" max="102" width="6" customWidth="1"/>
    <col min="103" max="103" width="7" customWidth="1"/>
    <col min="104" max="105" width="13" customWidth="1"/>
    <col min="106" max="107" width="6" customWidth="1"/>
    <col min="108" max="108" width="7" customWidth="1"/>
    <col min="109" max="110" width="13" customWidth="1"/>
    <col min="111" max="112" width="6" customWidth="1"/>
    <col min="113" max="113" width="7" customWidth="1"/>
    <col min="114" max="115" width="13" customWidth="1"/>
    <col min="116" max="117" width="6" customWidth="1"/>
    <col min="118" max="118" width="7" customWidth="1"/>
    <col min="119" max="120" width="13" customWidth="1"/>
    <col min="121" max="122" width="6" customWidth="1"/>
    <col min="123" max="123" width="7" customWidth="1"/>
    <col min="124" max="125" width="13" customWidth="1"/>
    <col min="126" max="127" width="6" customWidth="1"/>
    <col min="128" max="128" width="7" customWidth="1"/>
    <col min="129" max="130" width="13" customWidth="1"/>
    <col min="131" max="132" width="6" customWidth="1"/>
    <col min="133" max="133" width="7" customWidth="1"/>
    <col min="134" max="135" width="13" customWidth="1"/>
    <col min="136" max="137" width="6" customWidth="1"/>
    <col min="138" max="138" width="7" customWidth="1"/>
    <col min="139" max="140" width="13" customWidth="1"/>
    <col min="141" max="142" width="6" customWidth="1"/>
    <col min="143" max="143" width="7" customWidth="1"/>
    <col min="144" max="145" width="13" customWidth="1"/>
    <col min="146" max="147" width="6" customWidth="1"/>
    <col min="148" max="148" width="7" customWidth="1"/>
    <col min="149" max="150" width="13" customWidth="1"/>
    <col min="151" max="152" width="6" customWidth="1"/>
    <col min="153" max="153" width="7" customWidth="1"/>
  </cols>
  <sheetData>
    <row r="1" spans="1:153" ht="36" customHeight="1">
      <c r="A1" s="96" t="str">
        <f>" "&amp;対象年度&amp;"年 6月分　出面表　"</f>
        <v xml:space="preserve"> 2026年 6月分　出面表　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Y1" s="96"/>
      <c r="BZ1" s="96"/>
      <c r="CA1" s="96"/>
      <c r="CB1" s="96"/>
      <c r="CC1" s="96"/>
      <c r="CD1" s="96"/>
      <c r="CE1" s="96"/>
      <c r="CF1" s="96"/>
      <c r="CG1" s="96"/>
      <c r="CH1" s="96"/>
      <c r="CI1" s="96"/>
      <c r="CJ1" s="96"/>
      <c r="CK1" s="96"/>
      <c r="CL1" s="96"/>
      <c r="CM1" s="96"/>
      <c r="CN1" s="96"/>
      <c r="CO1" s="96"/>
      <c r="CP1" s="96"/>
      <c r="CQ1" s="96"/>
      <c r="CR1" s="96"/>
      <c r="CS1" s="96"/>
      <c r="CT1" s="96"/>
      <c r="CU1" s="96"/>
      <c r="CV1" s="96"/>
      <c r="CW1" s="96"/>
      <c r="CX1" s="96"/>
      <c r="CY1" s="96"/>
      <c r="CZ1" s="96"/>
      <c r="DA1" s="96"/>
      <c r="DB1" s="96"/>
      <c r="DC1" s="96"/>
      <c r="DD1" s="96"/>
      <c r="DE1" s="96"/>
      <c r="DF1" s="96"/>
      <c r="DG1" s="96"/>
      <c r="DH1" s="96"/>
      <c r="DI1" s="96"/>
      <c r="DJ1" s="96"/>
      <c r="DK1" s="96"/>
      <c r="DL1" s="96"/>
      <c r="DM1" s="96"/>
      <c r="DN1" s="96"/>
      <c r="DO1" s="96"/>
      <c r="DP1" s="96"/>
      <c r="DQ1" s="96"/>
      <c r="DR1" s="96"/>
      <c r="DS1" s="96"/>
      <c r="DT1" s="96"/>
      <c r="DU1" s="96"/>
      <c r="DV1" s="96"/>
      <c r="DW1" s="96"/>
      <c r="DX1" s="96"/>
      <c r="DY1" s="96"/>
      <c r="DZ1" s="96"/>
      <c r="EA1" s="96"/>
      <c r="EB1" s="96"/>
      <c r="EC1" s="96"/>
      <c r="ED1" s="96"/>
      <c r="EE1" s="96"/>
      <c r="EF1" s="96"/>
      <c r="EG1" s="96"/>
      <c r="EH1" s="96"/>
      <c r="EI1" s="96"/>
      <c r="EJ1" s="96"/>
      <c r="EK1" s="96"/>
      <c r="EL1" s="96"/>
      <c r="EM1" s="96"/>
      <c r="EN1" s="96"/>
      <c r="EO1" s="96"/>
      <c r="EP1" s="96"/>
      <c r="EQ1" s="96"/>
      <c r="ER1" s="96"/>
      <c r="ES1" s="96"/>
      <c r="ET1" s="96"/>
      <c r="EU1" s="96"/>
      <c r="EV1" s="96"/>
      <c r="EW1" s="96"/>
    </row>
    <row r="2" spans="1:153" ht="25.5" customHeight="1">
      <c r="A2" s="21"/>
      <c r="B2" s="21"/>
      <c r="C2" s="21"/>
      <c r="D2" s="97" t="str">
        <f>IFERROR(IF(従業員マスタ!$C$4="","",対象年度&amp;"年6月　"&amp;従業員マスタ!$C$4),"")</f>
        <v>2026年6月　代表 太郎</v>
      </c>
      <c r="E2" s="97"/>
      <c r="F2" s="97"/>
      <c r="G2" s="97"/>
      <c r="H2" s="97"/>
      <c r="I2" s="97" t="str">
        <f>IFERROR(IF(従業員マスタ!$C$5="","",対象年度&amp;"年6月　"&amp;従業員マスタ!$C$5),"")</f>
        <v>2026年6月　専務 次郎</v>
      </c>
      <c r="J2" s="97"/>
      <c r="K2" s="97"/>
      <c r="L2" s="97"/>
      <c r="M2" s="97"/>
      <c r="N2" s="97" t="str">
        <f>IFERROR(IF(従業員マスタ!$C$6="","",対象年度&amp;"年6月　"&amp;従業員マスタ!$C$6),"")</f>
        <v>2026年6月　山田 一郎</v>
      </c>
      <c r="O2" s="97"/>
      <c r="P2" s="97"/>
      <c r="Q2" s="97"/>
      <c r="R2" s="97"/>
      <c r="S2" s="97" t="str">
        <f>IFERROR(IF(従業員マスタ!$C$7="","",対象年度&amp;"年6月　"&amp;従業員マスタ!$C$7),"")</f>
        <v>2026年6月　鈴木 二郎</v>
      </c>
      <c r="T2" s="97"/>
      <c r="U2" s="97"/>
      <c r="V2" s="97"/>
      <c r="W2" s="97"/>
      <c r="X2" s="97" t="str">
        <f>IFERROR(IF(従業員マスタ!$C$8="","",対象年度&amp;"年6月　"&amp;従業員マスタ!$C$8),"")</f>
        <v>2026年6月　佐藤 三郎</v>
      </c>
      <c r="Y2" s="97"/>
      <c r="Z2" s="97"/>
      <c r="AA2" s="97"/>
      <c r="AB2" s="97"/>
      <c r="AC2" s="97" t="str">
        <f>IFERROR(IF(従業員マスタ!$C$9="","",対象年度&amp;"年6月　"&amp;従業員マスタ!$C$9),"")</f>
        <v>2026年6月　高橋 四郎</v>
      </c>
      <c r="AD2" s="97"/>
      <c r="AE2" s="97"/>
      <c r="AF2" s="97"/>
      <c r="AG2" s="97"/>
      <c r="AH2" s="97" t="str">
        <f>IFERROR(IF(従業員マスタ!$C$10="","",対象年度&amp;"年6月　"&amp;従業員マスタ!$C$10),"")</f>
        <v>2026年6月　田中 五郎</v>
      </c>
      <c r="AI2" s="97"/>
      <c r="AJ2" s="97"/>
      <c r="AK2" s="97"/>
      <c r="AL2" s="97"/>
      <c r="AM2" s="97" t="str">
        <f>IFERROR(IF(従業員マスタ!$C$11="","",対象年度&amp;"年6月　"&amp;従業員マスタ!$C$11),"")</f>
        <v>2026年6月　伊藤 六郎</v>
      </c>
      <c r="AN2" s="97"/>
      <c r="AO2" s="97"/>
      <c r="AP2" s="97"/>
      <c r="AQ2" s="97"/>
      <c r="AR2" s="97" t="str">
        <f>IFERROR(IF(従業員マスタ!$C$12="","",対象年度&amp;"年6月　"&amp;従業員マスタ!$C$12),"")</f>
        <v>2026年6月　渡辺 七郎</v>
      </c>
      <c r="AS2" s="97"/>
      <c r="AT2" s="97"/>
      <c r="AU2" s="97"/>
      <c r="AV2" s="97"/>
      <c r="AW2" s="97" t="str">
        <f>IFERROR(IF(従業員マスタ!$C$13="","",対象年度&amp;"年6月　"&amp;従業員マスタ!$C$13),"")</f>
        <v>2026年6月　中村 八郎</v>
      </c>
      <c r="AX2" s="97"/>
      <c r="AY2" s="97"/>
      <c r="AZ2" s="97"/>
      <c r="BA2" s="97"/>
      <c r="BB2" s="97" t="str">
        <f>IFERROR(IF(従業員マスタ!$C$14="","",対象年度&amp;"年6月　"&amp;従業員マスタ!$C$14),"")</f>
        <v>2026年6月　小林 九郎</v>
      </c>
      <c r="BC2" s="97"/>
      <c r="BD2" s="97"/>
      <c r="BE2" s="97"/>
      <c r="BF2" s="97"/>
      <c r="BG2" s="97" t="str">
        <f>IFERROR(IF(従業員マスタ!$C$15="","",対象年度&amp;"年6月　"&amp;従業員マスタ!$C$15),"")</f>
        <v>2026年6月　加藤 十郎</v>
      </c>
      <c r="BH2" s="97"/>
      <c r="BI2" s="97"/>
      <c r="BJ2" s="97"/>
      <c r="BK2" s="97"/>
      <c r="BL2" s="97" t="str">
        <f>IFERROR(IF(従業員マスタ!$C$16="","",対象年度&amp;"年6月　"&amp;従業員マスタ!$C$16),"")</f>
        <v/>
      </c>
      <c r="BM2" s="97"/>
      <c r="BN2" s="97"/>
      <c r="BO2" s="97"/>
      <c r="BP2" s="97"/>
      <c r="BQ2" s="97" t="str">
        <f>IFERROR(IF(従業員マスタ!$C$17="","",対象年度&amp;"年6月　"&amp;従業員マスタ!$C$17),"")</f>
        <v/>
      </c>
      <c r="BR2" s="97"/>
      <c r="BS2" s="97"/>
      <c r="BT2" s="97"/>
      <c r="BU2" s="97"/>
      <c r="BV2" s="97" t="str">
        <f>IFERROR(IF(従業員マスタ!$C$18="","",対象年度&amp;"年6月　"&amp;従業員マスタ!$C$18),"")</f>
        <v/>
      </c>
      <c r="BW2" s="97"/>
      <c r="BX2" s="97"/>
      <c r="BY2" s="97"/>
      <c r="BZ2" s="97"/>
      <c r="CA2" s="97" t="str">
        <f>IFERROR(IF(従業員マスタ!$C$19="","",対象年度&amp;"年6月　"&amp;従業員マスタ!$C$19),"")</f>
        <v/>
      </c>
      <c r="CB2" s="97"/>
      <c r="CC2" s="97"/>
      <c r="CD2" s="97"/>
      <c r="CE2" s="97"/>
      <c r="CF2" s="97" t="str">
        <f>IFERROR(IF(従業員マスタ!$C$20="","",対象年度&amp;"年6月　"&amp;従業員マスタ!$C$20),"")</f>
        <v/>
      </c>
      <c r="CG2" s="97"/>
      <c r="CH2" s="97"/>
      <c r="CI2" s="97"/>
      <c r="CJ2" s="97"/>
      <c r="CK2" s="97" t="str">
        <f>IFERROR(IF(従業員マスタ!$C$21="","",対象年度&amp;"年6月　"&amp;従業員マスタ!$C$21),"")</f>
        <v/>
      </c>
      <c r="CL2" s="97"/>
      <c r="CM2" s="97"/>
      <c r="CN2" s="97"/>
      <c r="CO2" s="97"/>
      <c r="CP2" s="97" t="str">
        <f>IFERROR(IF(従業員マスタ!$C$22="","",対象年度&amp;"年6月　"&amp;従業員マスタ!$C$22),"")</f>
        <v/>
      </c>
      <c r="CQ2" s="97"/>
      <c r="CR2" s="97"/>
      <c r="CS2" s="97"/>
      <c r="CT2" s="97"/>
      <c r="CU2" s="97" t="str">
        <f>IFERROR(IF(従業員マスタ!$C$23="","",対象年度&amp;"年6月　"&amp;従業員マスタ!$C$23),"")</f>
        <v/>
      </c>
      <c r="CV2" s="97"/>
      <c r="CW2" s="97"/>
      <c r="CX2" s="97"/>
      <c r="CY2" s="97"/>
      <c r="CZ2" s="97" t="str">
        <f>IFERROR(IF(従業員マスタ!$C$24="","",対象年度&amp;"年6月　"&amp;従業員マスタ!$C$24),"")</f>
        <v/>
      </c>
      <c r="DA2" s="97"/>
      <c r="DB2" s="97"/>
      <c r="DC2" s="97"/>
      <c r="DD2" s="97"/>
      <c r="DE2" s="97" t="str">
        <f>IFERROR(IF(従業員マスタ!$C$25="","",対象年度&amp;"年6月　"&amp;従業員マスタ!$C$25),"")</f>
        <v/>
      </c>
      <c r="DF2" s="97"/>
      <c r="DG2" s="97"/>
      <c r="DH2" s="97"/>
      <c r="DI2" s="97"/>
      <c r="DJ2" s="97" t="str">
        <f>IFERROR(IF(従業員マスタ!$C$26="","",対象年度&amp;"年6月　"&amp;従業員マスタ!$C$26),"")</f>
        <v/>
      </c>
      <c r="DK2" s="97"/>
      <c r="DL2" s="97"/>
      <c r="DM2" s="97"/>
      <c r="DN2" s="97"/>
      <c r="DO2" s="97" t="str">
        <f>IFERROR(IF(従業員マスタ!$C$27="","",対象年度&amp;"年6月　"&amp;従業員マスタ!$C$27),"")</f>
        <v/>
      </c>
      <c r="DP2" s="97"/>
      <c r="DQ2" s="97"/>
      <c r="DR2" s="97"/>
      <c r="DS2" s="97"/>
      <c r="DT2" s="97" t="str">
        <f>IFERROR(IF(従業員マスタ!$C$28="","",対象年度&amp;"年6月　"&amp;従業員マスタ!$C$28),"")</f>
        <v/>
      </c>
      <c r="DU2" s="97"/>
      <c r="DV2" s="97"/>
      <c r="DW2" s="97"/>
      <c r="DX2" s="97"/>
      <c r="DY2" s="97" t="str">
        <f>IFERROR(IF(従業員マスタ!$C$29="","",対象年度&amp;"年6月　"&amp;従業員マスタ!$C$29),"")</f>
        <v/>
      </c>
      <c r="DZ2" s="97"/>
      <c r="EA2" s="97"/>
      <c r="EB2" s="97"/>
      <c r="EC2" s="97"/>
      <c r="ED2" s="97" t="str">
        <f>IFERROR(IF(従業員マスタ!$C$30="","",対象年度&amp;"年6月　"&amp;従業員マスタ!$C$30),"")</f>
        <v/>
      </c>
      <c r="EE2" s="97"/>
      <c r="EF2" s="97"/>
      <c r="EG2" s="97"/>
      <c r="EH2" s="97"/>
      <c r="EI2" s="97" t="str">
        <f>IFERROR(IF(従業員マスタ!$C$31="","",対象年度&amp;"年6月　"&amp;従業員マスタ!$C$31),"")</f>
        <v/>
      </c>
      <c r="EJ2" s="97"/>
      <c r="EK2" s="97"/>
      <c r="EL2" s="97"/>
      <c r="EM2" s="97"/>
      <c r="EN2" s="97" t="str">
        <f>IFERROR(IF(従業員マスタ!$C$32="","",対象年度&amp;"年6月　"&amp;従業員マスタ!$C$32),"")</f>
        <v/>
      </c>
      <c r="EO2" s="97"/>
      <c r="EP2" s="97"/>
      <c r="EQ2" s="97"/>
      <c r="ER2" s="97"/>
      <c r="ES2" s="97" t="str">
        <f>IFERROR(IF(従業員マスタ!$C$33="","",対象年度&amp;"年6月　"&amp;従業員マスタ!$C$33),"")</f>
        <v/>
      </c>
      <c r="ET2" s="97"/>
      <c r="EU2" s="97"/>
      <c r="EV2" s="97"/>
      <c r="EW2" s="97"/>
    </row>
    <row r="3" spans="1:153" ht="24" customHeight="1">
      <c r="A3" s="22" t="s">
        <v>108</v>
      </c>
      <c r="B3" s="22" t="s">
        <v>109</v>
      </c>
      <c r="C3" s="22" t="s">
        <v>110</v>
      </c>
      <c r="D3" s="23" t="s">
        <v>111</v>
      </c>
      <c r="E3" s="24" t="s">
        <v>112</v>
      </c>
      <c r="F3" s="22" t="s">
        <v>113</v>
      </c>
      <c r="G3" s="22" t="s">
        <v>114</v>
      </c>
      <c r="H3" s="25" t="s">
        <v>115</v>
      </c>
      <c r="I3" s="23" t="s">
        <v>111</v>
      </c>
      <c r="J3" s="24" t="s">
        <v>112</v>
      </c>
      <c r="K3" s="22" t="s">
        <v>113</v>
      </c>
      <c r="L3" s="22" t="s">
        <v>114</v>
      </c>
      <c r="M3" s="25" t="s">
        <v>115</v>
      </c>
      <c r="N3" s="23" t="s">
        <v>111</v>
      </c>
      <c r="O3" s="24" t="s">
        <v>112</v>
      </c>
      <c r="P3" s="22" t="s">
        <v>113</v>
      </c>
      <c r="Q3" s="22" t="s">
        <v>114</v>
      </c>
      <c r="R3" s="25" t="s">
        <v>115</v>
      </c>
      <c r="S3" s="23" t="s">
        <v>111</v>
      </c>
      <c r="T3" s="24" t="s">
        <v>112</v>
      </c>
      <c r="U3" s="22" t="s">
        <v>113</v>
      </c>
      <c r="V3" s="22" t="s">
        <v>114</v>
      </c>
      <c r="W3" s="25" t="s">
        <v>115</v>
      </c>
      <c r="X3" s="23" t="s">
        <v>111</v>
      </c>
      <c r="Y3" s="24" t="s">
        <v>112</v>
      </c>
      <c r="Z3" s="22" t="s">
        <v>113</v>
      </c>
      <c r="AA3" s="22" t="s">
        <v>114</v>
      </c>
      <c r="AB3" s="25" t="s">
        <v>115</v>
      </c>
      <c r="AC3" s="23" t="s">
        <v>111</v>
      </c>
      <c r="AD3" s="24" t="s">
        <v>112</v>
      </c>
      <c r="AE3" s="22" t="s">
        <v>113</v>
      </c>
      <c r="AF3" s="22" t="s">
        <v>114</v>
      </c>
      <c r="AG3" s="25" t="s">
        <v>115</v>
      </c>
      <c r="AH3" s="23" t="s">
        <v>111</v>
      </c>
      <c r="AI3" s="24" t="s">
        <v>112</v>
      </c>
      <c r="AJ3" s="22" t="s">
        <v>113</v>
      </c>
      <c r="AK3" s="22" t="s">
        <v>114</v>
      </c>
      <c r="AL3" s="25" t="s">
        <v>115</v>
      </c>
      <c r="AM3" s="23" t="s">
        <v>111</v>
      </c>
      <c r="AN3" s="24" t="s">
        <v>112</v>
      </c>
      <c r="AO3" s="22" t="s">
        <v>113</v>
      </c>
      <c r="AP3" s="22" t="s">
        <v>114</v>
      </c>
      <c r="AQ3" s="25" t="s">
        <v>115</v>
      </c>
      <c r="AR3" s="23" t="s">
        <v>111</v>
      </c>
      <c r="AS3" s="24" t="s">
        <v>112</v>
      </c>
      <c r="AT3" s="22" t="s">
        <v>113</v>
      </c>
      <c r="AU3" s="22" t="s">
        <v>114</v>
      </c>
      <c r="AV3" s="25" t="s">
        <v>115</v>
      </c>
      <c r="AW3" s="23" t="s">
        <v>111</v>
      </c>
      <c r="AX3" s="24" t="s">
        <v>112</v>
      </c>
      <c r="AY3" s="22" t="s">
        <v>113</v>
      </c>
      <c r="AZ3" s="22" t="s">
        <v>114</v>
      </c>
      <c r="BA3" s="25" t="s">
        <v>115</v>
      </c>
      <c r="BB3" s="23" t="s">
        <v>111</v>
      </c>
      <c r="BC3" s="24" t="s">
        <v>112</v>
      </c>
      <c r="BD3" s="22" t="s">
        <v>113</v>
      </c>
      <c r="BE3" s="22" t="s">
        <v>114</v>
      </c>
      <c r="BF3" s="25" t="s">
        <v>115</v>
      </c>
      <c r="BG3" s="23" t="s">
        <v>111</v>
      </c>
      <c r="BH3" s="24" t="s">
        <v>112</v>
      </c>
      <c r="BI3" s="22" t="s">
        <v>113</v>
      </c>
      <c r="BJ3" s="22" t="s">
        <v>114</v>
      </c>
      <c r="BK3" s="25" t="s">
        <v>115</v>
      </c>
      <c r="BL3" s="23" t="s">
        <v>111</v>
      </c>
      <c r="BM3" s="24" t="s">
        <v>112</v>
      </c>
      <c r="BN3" s="22" t="s">
        <v>113</v>
      </c>
      <c r="BO3" s="22" t="s">
        <v>114</v>
      </c>
      <c r="BP3" s="25" t="s">
        <v>115</v>
      </c>
      <c r="BQ3" s="23" t="s">
        <v>111</v>
      </c>
      <c r="BR3" s="24" t="s">
        <v>112</v>
      </c>
      <c r="BS3" s="22" t="s">
        <v>113</v>
      </c>
      <c r="BT3" s="22" t="s">
        <v>114</v>
      </c>
      <c r="BU3" s="25" t="s">
        <v>115</v>
      </c>
      <c r="BV3" s="23" t="s">
        <v>111</v>
      </c>
      <c r="BW3" s="24" t="s">
        <v>112</v>
      </c>
      <c r="BX3" s="22" t="s">
        <v>113</v>
      </c>
      <c r="BY3" s="22" t="s">
        <v>114</v>
      </c>
      <c r="BZ3" s="25" t="s">
        <v>115</v>
      </c>
      <c r="CA3" s="23" t="s">
        <v>111</v>
      </c>
      <c r="CB3" s="24" t="s">
        <v>112</v>
      </c>
      <c r="CC3" s="22" t="s">
        <v>113</v>
      </c>
      <c r="CD3" s="22" t="s">
        <v>114</v>
      </c>
      <c r="CE3" s="25" t="s">
        <v>115</v>
      </c>
      <c r="CF3" s="23" t="s">
        <v>111</v>
      </c>
      <c r="CG3" s="24" t="s">
        <v>112</v>
      </c>
      <c r="CH3" s="22" t="s">
        <v>113</v>
      </c>
      <c r="CI3" s="22" t="s">
        <v>114</v>
      </c>
      <c r="CJ3" s="25" t="s">
        <v>115</v>
      </c>
      <c r="CK3" s="23" t="s">
        <v>111</v>
      </c>
      <c r="CL3" s="24" t="s">
        <v>112</v>
      </c>
      <c r="CM3" s="22" t="s">
        <v>113</v>
      </c>
      <c r="CN3" s="22" t="s">
        <v>114</v>
      </c>
      <c r="CO3" s="25" t="s">
        <v>115</v>
      </c>
      <c r="CP3" s="23" t="s">
        <v>111</v>
      </c>
      <c r="CQ3" s="24" t="s">
        <v>112</v>
      </c>
      <c r="CR3" s="22" t="s">
        <v>113</v>
      </c>
      <c r="CS3" s="22" t="s">
        <v>114</v>
      </c>
      <c r="CT3" s="25" t="s">
        <v>115</v>
      </c>
      <c r="CU3" s="23" t="s">
        <v>111</v>
      </c>
      <c r="CV3" s="24" t="s">
        <v>112</v>
      </c>
      <c r="CW3" s="22" t="s">
        <v>113</v>
      </c>
      <c r="CX3" s="22" t="s">
        <v>114</v>
      </c>
      <c r="CY3" s="25" t="s">
        <v>115</v>
      </c>
      <c r="CZ3" s="23" t="s">
        <v>111</v>
      </c>
      <c r="DA3" s="24" t="s">
        <v>112</v>
      </c>
      <c r="DB3" s="22" t="s">
        <v>113</v>
      </c>
      <c r="DC3" s="22" t="s">
        <v>114</v>
      </c>
      <c r="DD3" s="25" t="s">
        <v>115</v>
      </c>
      <c r="DE3" s="23" t="s">
        <v>111</v>
      </c>
      <c r="DF3" s="24" t="s">
        <v>112</v>
      </c>
      <c r="DG3" s="22" t="s">
        <v>113</v>
      </c>
      <c r="DH3" s="22" t="s">
        <v>114</v>
      </c>
      <c r="DI3" s="25" t="s">
        <v>115</v>
      </c>
      <c r="DJ3" s="23" t="s">
        <v>111</v>
      </c>
      <c r="DK3" s="24" t="s">
        <v>112</v>
      </c>
      <c r="DL3" s="22" t="s">
        <v>113</v>
      </c>
      <c r="DM3" s="22" t="s">
        <v>114</v>
      </c>
      <c r="DN3" s="25" t="s">
        <v>115</v>
      </c>
      <c r="DO3" s="23" t="s">
        <v>111</v>
      </c>
      <c r="DP3" s="24" t="s">
        <v>112</v>
      </c>
      <c r="DQ3" s="22" t="s">
        <v>113</v>
      </c>
      <c r="DR3" s="22" t="s">
        <v>114</v>
      </c>
      <c r="DS3" s="25" t="s">
        <v>115</v>
      </c>
      <c r="DT3" s="23" t="s">
        <v>111</v>
      </c>
      <c r="DU3" s="24" t="s">
        <v>112</v>
      </c>
      <c r="DV3" s="22" t="s">
        <v>113</v>
      </c>
      <c r="DW3" s="22" t="s">
        <v>114</v>
      </c>
      <c r="DX3" s="25" t="s">
        <v>115</v>
      </c>
      <c r="DY3" s="23" t="s">
        <v>111</v>
      </c>
      <c r="DZ3" s="24" t="s">
        <v>112</v>
      </c>
      <c r="EA3" s="22" t="s">
        <v>113</v>
      </c>
      <c r="EB3" s="22" t="s">
        <v>114</v>
      </c>
      <c r="EC3" s="25" t="s">
        <v>115</v>
      </c>
      <c r="ED3" s="23" t="s">
        <v>111</v>
      </c>
      <c r="EE3" s="24" t="s">
        <v>112</v>
      </c>
      <c r="EF3" s="22" t="s">
        <v>113</v>
      </c>
      <c r="EG3" s="22" t="s">
        <v>114</v>
      </c>
      <c r="EH3" s="25" t="s">
        <v>115</v>
      </c>
      <c r="EI3" s="23" t="s">
        <v>111</v>
      </c>
      <c r="EJ3" s="24" t="s">
        <v>112</v>
      </c>
      <c r="EK3" s="22" t="s">
        <v>113</v>
      </c>
      <c r="EL3" s="22" t="s">
        <v>114</v>
      </c>
      <c r="EM3" s="25" t="s">
        <v>115</v>
      </c>
      <c r="EN3" s="23" t="s">
        <v>111</v>
      </c>
      <c r="EO3" s="24" t="s">
        <v>112</v>
      </c>
      <c r="EP3" s="22" t="s">
        <v>113</v>
      </c>
      <c r="EQ3" s="22" t="s">
        <v>114</v>
      </c>
      <c r="ER3" s="25" t="s">
        <v>115</v>
      </c>
      <c r="ES3" s="23" t="s">
        <v>111</v>
      </c>
      <c r="ET3" s="24" t="s">
        <v>112</v>
      </c>
      <c r="EU3" s="22" t="s">
        <v>113</v>
      </c>
      <c r="EV3" s="22" t="s">
        <v>114</v>
      </c>
      <c r="EW3" s="25" t="s">
        <v>115</v>
      </c>
    </row>
    <row r="4" spans="1:153" ht="19.5" customHeight="1">
      <c r="A4" s="26">
        <f>IF(DAY(DATE(対象年度,6,1))&lt;&gt;1,"",1)</f>
        <v>1</v>
      </c>
      <c r="B4" s="26" t="str">
        <f>IF(DAY(DATE(対象年度,6,1))&lt;&gt;1,"",CHOOSE(WEEKDAY(DATE(対象年度,6,1),2),"月","火","水","木","金","土","日"))</f>
        <v>月</v>
      </c>
      <c r="C4" s="26" t="str">
        <f>IF(DAY(DATE(対象年度,6,1))&lt;&gt;1,"",IF(ISNUMBER(MATCH(DATE(対象年度,6,1),祝日リスト,0)),"祝",""))</f>
        <v/>
      </c>
      <c r="D4" s="27"/>
      <c r="E4" s="28"/>
      <c r="F4" s="29" t="str">
        <f t="shared" ref="F4:F34" si="0">IF(D4="","",IF(ISNUMBER(SEARCH("夜勤",D4)),"",IF(A4="","","○")))</f>
        <v/>
      </c>
      <c r="G4" s="30" t="str">
        <f t="shared" ref="G4:G34" si="1">IF(A4="","",IF(OR(AND(E4&lt;&gt;"",NOT(OR(E4="有給",E4="休業"))),ISNUMBER(SEARCH("夜勤",D4))),"○",""))</f>
        <v/>
      </c>
      <c r="H4" s="31"/>
      <c r="I4" s="27"/>
      <c r="J4" s="28"/>
      <c r="K4" s="29" t="str">
        <f t="shared" ref="K4:K34" si="2">IF(I4="","",IF(ISNUMBER(SEARCH("夜勤",I4)),"",IF(A4="","","○")))</f>
        <v/>
      </c>
      <c r="L4" s="30" t="str">
        <f t="shared" ref="L4:L34" si="3">IF(A4="","",IF(OR(AND(J4&lt;&gt;"",NOT(OR(J4="有給",J4="休業"))),ISNUMBER(SEARCH("夜勤",I4))),"○",""))</f>
        <v/>
      </c>
      <c r="M4" s="31"/>
      <c r="N4" s="27"/>
      <c r="O4" s="28"/>
      <c r="P4" s="29" t="str">
        <f t="shared" ref="P4:P34" si="4">IF(N4="","",IF(ISNUMBER(SEARCH("夜勤",N4)),"",IF(A4="","","○")))</f>
        <v/>
      </c>
      <c r="Q4" s="30" t="str">
        <f t="shared" ref="Q4:Q34" si="5">IF(A4="","",IF(OR(AND(O4&lt;&gt;"",NOT(OR(O4="有給",O4="休業"))),ISNUMBER(SEARCH("夜勤",N4))),"○",""))</f>
        <v/>
      </c>
      <c r="R4" s="31"/>
      <c r="S4" s="27"/>
      <c r="T4" s="28"/>
      <c r="U4" s="29" t="str">
        <f t="shared" ref="U4:U34" si="6">IF(S4="","",IF(ISNUMBER(SEARCH("夜勤",S4)),"",IF(A4="","","○")))</f>
        <v/>
      </c>
      <c r="V4" s="30" t="str">
        <f t="shared" ref="V4:V34" si="7">IF(A4="","",IF(OR(AND(T4&lt;&gt;"",NOT(OR(T4="有給",T4="休業"))),ISNUMBER(SEARCH("夜勤",S4))),"○",""))</f>
        <v/>
      </c>
      <c r="W4" s="31"/>
      <c r="X4" s="27"/>
      <c r="Y4" s="28"/>
      <c r="Z4" s="29" t="str">
        <f t="shared" ref="Z4:Z34" si="8">IF(X4="","",IF(ISNUMBER(SEARCH("夜勤",X4)),"",IF(A4="","","○")))</f>
        <v/>
      </c>
      <c r="AA4" s="30" t="str">
        <f t="shared" ref="AA4:AA34" si="9">IF(A4="","",IF(OR(AND(Y4&lt;&gt;"",NOT(OR(Y4="有給",Y4="休業"))),ISNUMBER(SEARCH("夜勤",X4))),"○",""))</f>
        <v/>
      </c>
      <c r="AB4" s="31"/>
      <c r="AC4" s="27"/>
      <c r="AD4" s="28"/>
      <c r="AE4" s="29" t="str">
        <f t="shared" ref="AE4:AE34" si="10">IF(AC4="","",IF(ISNUMBER(SEARCH("夜勤",AC4)),"",IF(A4="","","○")))</f>
        <v/>
      </c>
      <c r="AF4" s="30" t="str">
        <f t="shared" ref="AF4:AF34" si="11">IF(A4="","",IF(OR(AND(AD4&lt;&gt;"",NOT(OR(AD4="有給",AD4="休業"))),ISNUMBER(SEARCH("夜勤",AC4))),"○",""))</f>
        <v/>
      </c>
      <c r="AG4" s="31"/>
      <c r="AH4" s="27"/>
      <c r="AI4" s="28"/>
      <c r="AJ4" s="29" t="str">
        <f t="shared" ref="AJ4:AJ34" si="12">IF(AH4="","",IF(ISNUMBER(SEARCH("夜勤",AH4)),"",IF(A4="","","○")))</f>
        <v/>
      </c>
      <c r="AK4" s="30" t="str">
        <f t="shared" ref="AK4:AK34" si="13">IF(A4="","",IF(OR(AND(AI4&lt;&gt;"",NOT(OR(AI4="有給",AI4="休業"))),ISNUMBER(SEARCH("夜勤",AH4))),"○",""))</f>
        <v/>
      </c>
      <c r="AL4" s="31"/>
      <c r="AM4" s="27"/>
      <c r="AN4" s="28"/>
      <c r="AO4" s="29" t="str">
        <f t="shared" ref="AO4:AO34" si="14">IF(AM4="","",IF(ISNUMBER(SEARCH("夜勤",AM4)),"",IF(A4="","","○")))</f>
        <v/>
      </c>
      <c r="AP4" s="30" t="str">
        <f t="shared" ref="AP4:AP34" si="15">IF(A4="","",IF(OR(AND(AN4&lt;&gt;"",NOT(OR(AN4="有給",AN4="休業"))),ISNUMBER(SEARCH("夜勤",AM4))),"○",""))</f>
        <v/>
      </c>
      <c r="AQ4" s="31"/>
      <c r="AR4" s="27"/>
      <c r="AS4" s="28"/>
      <c r="AT4" s="29" t="str">
        <f t="shared" ref="AT4:AT34" si="16">IF(AR4="","",IF(ISNUMBER(SEARCH("夜勤",AR4)),"",IF(A4="","","○")))</f>
        <v/>
      </c>
      <c r="AU4" s="30" t="str">
        <f t="shared" ref="AU4:AU34" si="17">IF(A4="","",IF(OR(AND(AS4&lt;&gt;"",NOT(OR(AS4="有給",AS4="休業"))),ISNUMBER(SEARCH("夜勤",AR4))),"○",""))</f>
        <v/>
      </c>
      <c r="AV4" s="31"/>
      <c r="AW4" s="27"/>
      <c r="AX4" s="28"/>
      <c r="AY4" s="29" t="str">
        <f t="shared" ref="AY4:AY34" si="18">IF(AW4="","",IF(ISNUMBER(SEARCH("夜勤",AW4)),"",IF(A4="","","○")))</f>
        <v/>
      </c>
      <c r="AZ4" s="30" t="str">
        <f t="shared" ref="AZ4:AZ34" si="19">IF(A4="","",IF(OR(AND(AX4&lt;&gt;"",NOT(OR(AX4="有給",AX4="休業"))),ISNUMBER(SEARCH("夜勤",AW4))),"○",""))</f>
        <v/>
      </c>
      <c r="BA4" s="31"/>
      <c r="BB4" s="27"/>
      <c r="BC4" s="28"/>
      <c r="BD4" s="29" t="str">
        <f t="shared" ref="BD4:BD34" si="20">IF(BB4="","",IF(ISNUMBER(SEARCH("夜勤",BB4)),"",IF(A4="","","○")))</f>
        <v/>
      </c>
      <c r="BE4" s="30" t="str">
        <f t="shared" ref="BE4:BE34" si="21">IF(A4="","",IF(OR(AND(BC4&lt;&gt;"",NOT(OR(BC4="有給",BC4="休業"))),ISNUMBER(SEARCH("夜勤",BB4))),"○",""))</f>
        <v/>
      </c>
      <c r="BF4" s="31"/>
      <c r="BG4" s="27"/>
      <c r="BH4" s="28"/>
      <c r="BI4" s="29" t="str">
        <f t="shared" ref="BI4:BI34" si="22">IF(BG4="","",IF(ISNUMBER(SEARCH("夜勤",BG4)),"",IF(A4="","","○")))</f>
        <v/>
      </c>
      <c r="BJ4" s="30" t="str">
        <f t="shared" ref="BJ4:BJ34" si="23">IF(A4="","",IF(OR(AND(BH4&lt;&gt;"",NOT(OR(BH4="有給",BH4="休業"))),ISNUMBER(SEARCH("夜勤",BG4))),"○",""))</f>
        <v/>
      </c>
      <c r="BK4" s="31"/>
      <c r="BL4" s="27"/>
      <c r="BM4" s="28"/>
      <c r="BN4" s="29" t="str">
        <f t="shared" ref="BN4:BN34" si="24">IF(BL4="","",IF(ISNUMBER(SEARCH("夜勤",BL4)),"",IF(A4="","","○")))</f>
        <v/>
      </c>
      <c r="BO4" s="30" t="str">
        <f t="shared" ref="BO4:BO34" si="25">IF(A4="","",IF(OR(AND(BM4&lt;&gt;"",NOT(OR(BM4="有給",BM4="休業"))),ISNUMBER(SEARCH("夜勤",BL4))),"○",""))</f>
        <v/>
      </c>
      <c r="BP4" s="31"/>
      <c r="BQ4" s="27"/>
      <c r="BR4" s="28"/>
      <c r="BS4" s="29" t="str">
        <f t="shared" ref="BS4:BS34" si="26">IF(BQ4="","",IF(ISNUMBER(SEARCH("夜勤",BQ4)),"",IF(A4="","","○")))</f>
        <v/>
      </c>
      <c r="BT4" s="30" t="str">
        <f t="shared" ref="BT4:BT34" si="27">IF(A4="","",IF(OR(AND(BR4&lt;&gt;"",NOT(OR(BR4="有給",BR4="休業"))),ISNUMBER(SEARCH("夜勤",BQ4))),"○",""))</f>
        <v/>
      </c>
      <c r="BU4" s="31"/>
      <c r="BV4" s="27"/>
      <c r="BW4" s="28"/>
      <c r="BX4" s="29" t="str">
        <f t="shared" ref="BX4:BX34" si="28">IF(BV4="","",IF(ISNUMBER(SEARCH("夜勤",BV4)),"",IF(A4="","","○")))</f>
        <v/>
      </c>
      <c r="BY4" s="30" t="str">
        <f t="shared" ref="BY4:BY34" si="29">IF(A4="","",IF(OR(AND(BW4&lt;&gt;"",NOT(OR(BW4="有給",BW4="休業"))),ISNUMBER(SEARCH("夜勤",BV4))),"○",""))</f>
        <v/>
      </c>
      <c r="BZ4" s="31"/>
      <c r="CA4" s="27"/>
      <c r="CB4" s="28"/>
      <c r="CC4" s="29" t="str">
        <f t="shared" ref="CC4:CC34" si="30">IF(CA4="","",IF(ISNUMBER(SEARCH("夜勤",CA4)),"",IF(A4="","","○")))</f>
        <v/>
      </c>
      <c r="CD4" s="30" t="str">
        <f t="shared" ref="CD4:CD34" si="31">IF(A4="","",IF(OR(AND(CB4&lt;&gt;"",NOT(OR(CB4="有給",CB4="休業"))),ISNUMBER(SEARCH("夜勤",CA4))),"○",""))</f>
        <v/>
      </c>
      <c r="CE4" s="31"/>
      <c r="CF4" s="27"/>
      <c r="CG4" s="28"/>
      <c r="CH4" s="29" t="str">
        <f t="shared" ref="CH4:CH34" si="32">IF(CF4="","",IF(ISNUMBER(SEARCH("夜勤",CF4)),"",IF(A4="","","○")))</f>
        <v/>
      </c>
      <c r="CI4" s="30" t="str">
        <f t="shared" ref="CI4:CI34" si="33">IF(A4="","",IF(OR(AND(CG4&lt;&gt;"",NOT(OR(CG4="有給",CG4="休業"))),ISNUMBER(SEARCH("夜勤",CF4))),"○",""))</f>
        <v/>
      </c>
      <c r="CJ4" s="31"/>
      <c r="CK4" s="27"/>
      <c r="CL4" s="28"/>
      <c r="CM4" s="29" t="str">
        <f t="shared" ref="CM4:CM34" si="34">IF(CK4="","",IF(ISNUMBER(SEARCH("夜勤",CK4)),"",IF(A4="","","○")))</f>
        <v/>
      </c>
      <c r="CN4" s="30" t="str">
        <f t="shared" ref="CN4:CN34" si="35">IF(A4="","",IF(OR(AND(CL4&lt;&gt;"",NOT(OR(CL4="有給",CL4="休業"))),ISNUMBER(SEARCH("夜勤",CK4))),"○",""))</f>
        <v/>
      </c>
      <c r="CO4" s="31"/>
      <c r="CP4" s="27"/>
      <c r="CQ4" s="28"/>
      <c r="CR4" s="29" t="str">
        <f t="shared" ref="CR4:CR34" si="36">IF(CP4="","",IF(ISNUMBER(SEARCH("夜勤",CP4)),"",IF(A4="","","○")))</f>
        <v/>
      </c>
      <c r="CS4" s="30" t="str">
        <f t="shared" ref="CS4:CS34" si="37">IF(A4="","",IF(OR(AND(CQ4&lt;&gt;"",NOT(OR(CQ4="有給",CQ4="休業"))),ISNUMBER(SEARCH("夜勤",CP4))),"○",""))</f>
        <v/>
      </c>
      <c r="CT4" s="31"/>
      <c r="CU4" s="27"/>
      <c r="CV4" s="28"/>
      <c r="CW4" s="29" t="str">
        <f t="shared" ref="CW4:CW34" si="38">IF(CU4="","",IF(ISNUMBER(SEARCH("夜勤",CU4)),"",IF(A4="","","○")))</f>
        <v/>
      </c>
      <c r="CX4" s="30" t="str">
        <f t="shared" ref="CX4:CX34" si="39">IF(A4="","",IF(OR(AND(CV4&lt;&gt;"",NOT(OR(CV4="有給",CV4="休業"))),ISNUMBER(SEARCH("夜勤",CU4))),"○",""))</f>
        <v/>
      </c>
      <c r="CY4" s="31"/>
      <c r="CZ4" s="27"/>
      <c r="DA4" s="28"/>
      <c r="DB4" s="29" t="str">
        <f t="shared" ref="DB4:DB34" si="40">IF(CZ4="","",IF(ISNUMBER(SEARCH("夜勤",CZ4)),"",IF(A4="","","○")))</f>
        <v/>
      </c>
      <c r="DC4" s="30" t="str">
        <f t="shared" ref="DC4:DC34" si="41">IF(A4="","",IF(OR(AND(DA4&lt;&gt;"",NOT(OR(DA4="有給",DA4="休業"))),ISNUMBER(SEARCH("夜勤",CZ4))),"○",""))</f>
        <v/>
      </c>
      <c r="DD4" s="31"/>
      <c r="DE4" s="27"/>
      <c r="DF4" s="28"/>
      <c r="DG4" s="29" t="str">
        <f t="shared" ref="DG4:DG34" si="42">IF(DE4="","",IF(ISNUMBER(SEARCH("夜勤",DE4)),"",IF(A4="","","○")))</f>
        <v/>
      </c>
      <c r="DH4" s="30" t="str">
        <f t="shared" ref="DH4:DH34" si="43">IF(A4="","",IF(OR(AND(DF4&lt;&gt;"",NOT(OR(DF4="有給",DF4="休業"))),ISNUMBER(SEARCH("夜勤",DE4))),"○",""))</f>
        <v/>
      </c>
      <c r="DI4" s="31"/>
      <c r="DJ4" s="27"/>
      <c r="DK4" s="28"/>
      <c r="DL4" s="29" t="str">
        <f t="shared" ref="DL4:DL34" si="44">IF(DJ4="","",IF(ISNUMBER(SEARCH("夜勤",DJ4)),"",IF(A4="","","○")))</f>
        <v/>
      </c>
      <c r="DM4" s="30" t="str">
        <f t="shared" ref="DM4:DM34" si="45">IF(A4="","",IF(OR(AND(DK4&lt;&gt;"",NOT(OR(DK4="有給",DK4="休業"))),ISNUMBER(SEARCH("夜勤",DJ4))),"○",""))</f>
        <v/>
      </c>
      <c r="DN4" s="31"/>
      <c r="DO4" s="27"/>
      <c r="DP4" s="28"/>
      <c r="DQ4" s="29" t="str">
        <f t="shared" ref="DQ4:DQ34" si="46">IF(DO4="","",IF(ISNUMBER(SEARCH("夜勤",DO4)),"",IF(A4="","","○")))</f>
        <v/>
      </c>
      <c r="DR4" s="30" t="str">
        <f t="shared" ref="DR4:DR34" si="47">IF(A4="","",IF(OR(AND(DP4&lt;&gt;"",NOT(OR(DP4="有給",DP4="休業"))),ISNUMBER(SEARCH("夜勤",DO4))),"○",""))</f>
        <v/>
      </c>
      <c r="DS4" s="31"/>
      <c r="DT4" s="27"/>
      <c r="DU4" s="28"/>
      <c r="DV4" s="29" t="str">
        <f t="shared" ref="DV4:DV34" si="48">IF(DT4="","",IF(ISNUMBER(SEARCH("夜勤",DT4)),"",IF(A4="","","○")))</f>
        <v/>
      </c>
      <c r="DW4" s="30" t="str">
        <f t="shared" ref="DW4:DW34" si="49">IF(A4="","",IF(OR(AND(DU4&lt;&gt;"",NOT(OR(DU4="有給",DU4="休業"))),ISNUMBER(SEARCH("夜勤",DT4))),"○",""))</f>
        <v/>
      </c>
      <c r="DX4" s="31"/>
      <c r="DY4" s="27"/>
      <c r="DZ4" s="28"/>
      <c r="EA4" s="29" t="str">
        <f t="shared" ref="EA4:EA34" si="50">IF(DY4="","",IF(ISNUMBER(SEARCH("夜勤",DY4)),"",IF(A4="","","○")))</f>
        <v/>
      </c>
      <c r="EB4" s="30" t="str">
        <f t="shared" ref="EB4:EB34" si="51">IF(A4="","",IF(OR(AND(DZ4&lt;&gt;"",NOT(OR(DZ4="有給",DZ4="休業"))),ISNUMBER(SEARCH("夜勤",DY4))),"○",""))</f>
        <v/>
      </c>
      <c r="EC4" s="31"/>
      <c r="ED4" s="27"/>
      <c r="EE4" s="28"/>
      <c r="EF4" s="29" t="str">
        <f t="shared" ref="EF4:EF34" si="52">IF(ED4="","",IF(ISNUMBER(SEARCH("夜勤",ED4)),"",IF(A4="","","○")))</f>
        <v/>
      </c>
      <c r="EG4" s="30" t="str">
        <f t="shared" ref="EG4:EG34" si="53">IF(A4="","",IF(OR(AND(EE4&lt;&gt;"",NOT(OR(EE4="有給",EE4="休業"))),ISNUMBER(SEARCH("夜勤",ED4))),"○",""))</f>
        <v/>
      </c>
      <c r="EH4" s="31"/>
      <c r="EI4" s="27"/>
      <c r="EJ4" s="28"/>
      <c r="EK4" s="29" t="str">
        <f t="shared" ref="EK4:EK34" si="54">IF(EI4="","",IF(ISNUMBER(SEARCH("夜勤",EI4)),"",IF(A4="","","○")))</f>
        <v/>
      </c>
      <c r="EL4" s="30" t="str">
        <f t="shared" ref="EL4:EL34" si="55">IF(A4="","",IF(OR(AND(EJ4&lt;&gt;"",NOT(OR(EJ4="有給",EJ4="休業"))),ISNUMBER(SEARCH("夜勤",EI4))),"○",""))</f>
        <v/>
      </c>
      <c r="EM4" s="31"/>
      <c r="EN4" s="27"/>
      <c r="EO4" s="28"/>
      <c r="EP4" s="29" t="str">
        <f t="shared" ref="EP4:EP34" si="56">IF(EN4="","",IF(ISNUMBER(SEARCH("夜勤",EN4)),"",IF(A4="","","○")))</f>
        <v/>
      </c>
      <c r="EQ4" s="30" t="str">
        <f t="shared" ref="EQ4:EQ34" si="57">IF(A4="","",IF(OR(AND(EO4&lt;&gt;"",NOT(OR(EO4="有給",EO4="休業"))),ISNUMBER(SEARCH("夜勤",EN4))),"○",""))</f>
        <v/>
      </c>
      <c r="ER4" s="31"/>
      <c r="ES4" s="27"/>
      <c r="ET4" s="28"/>
      <c r="EU4" s="29" t="str">
        <f t="shared" ref="EU4:EU34" si="58">IF(ES4="","",IF(ISNUMBER(SEARCH("夜勤",ES4)),"",IF(A4="","","○")))</f>
        <v/>
      </c>
      <c r="EV4" s="30" t="str">
        <f t="shared" ref="EV4:EV34" si="59">IF(A4="","",IF(OR(AND(ET4&lt;&gt;"",NOT(OR(ET4="有給",ET4="休業"))),ISNUMBER(SEARCH("夜勤",ES4))),"○",""))</f>
        <v/>
      </c>
      <c r="EW4" s="31"/>
    </row>
    <row r="5" spans="1:153" ht="19.5" customHeight="1">
      <c r="A5" s="32">
        <f>IF(DAY(DATE(対象年度,6,2))&lt;&gt;2,"",2)</f>
        <v>2</v>
      </c>
      <c r="B5" s="32" t="str">
        <f>IF(DAY(DATE(対象年度,6,2))&lt;&gt;2,"",CHOOSE(WEEKDAY(DATE(対象年度,6,2),2),"月","火","水","木","金","土","日"))</f>
        <v>火</v>
      </c>
      <c r="C5" s="32" t="str">
        <f>IF(DAY(DATE(対象年度,6,2))&lt;&gt;2,"",IF(ISNUMBER(MATCH(DATE(対象年度,6,2),祝日リスト,0)),"祝",""))</f>
        <v/>
      </c>
      <c r="D5" s="33"/>
      <c r="E5" s="34"/>
      <c r="F5" s="35" t="str">
        <f t="shared" si="0"/>
        <v/>
      </c>
      <c r="G5" s="36" t="str">
        <f t="shared" si="1"/>
        <v/>
      </c>
      <c r="H5" s="37"/>
      <c r="I5" s="33"/>
      <c r="J5" s="34"/>
      <c r="K5" s="35" t="str">
        <f t="shared" si="2"/>
        <v/>
      </c>
      <c r="L5" s="36" t="str">
        <f t="shared" si="3"/>
        <v/>
      </c>
      <c r="M5" s="37"/>
      <c r="N5" s="33"/>
      <c r="O5" s="34"/>
      <c r="P5" s="35" t="str">
        <f t="shared" si="4"/>
        <v/>
      </c>
      <c r="Q5" s="36" t="str">
        <f t="shared" si="5"/>
        <v/>
      </c>
      <c r="R5" s="37"/>
      <c r="S5" s="33"/>
      <c r="T5" s="34"/>
      <c r="U5" s="35" t="str">
        <f t="shared" si="6"/>
        <v/>
      </c>
      <c r="V5" s="36" t="str">
        <f t="shared" si="7"/>
        <v/>
      </c>
      <c r="W5" s="37"/>
      <c r="X5" s="33"/>
      <c r="Y5" s="34"/>
      <c r="Z5" s="35" t="str">
        <f t="shared" si="8"/>
        <v/>
      </c>
      <c r="AA5" s="36" t="str">
        <f t="shared" si="9"/>
        <v/>
      </c>
      <c r="AB5" s="37"/>
      <c r="AC5" s="33"/>
      <c r="AD5" s="34"/>
      <c r="AE5" s="35" t="str">
        <f t="shared" si="10"/>
        <v/>
      </c>
      <c r="AF5" s="36" t="str">
        <f t="shared" si="11"/>
        <v/>
      </c>
      <c r="AG5" s="37"/>
      <c r="AH5" s="33"/>
      <c r="AI5" s="34"/>
      <c r="AJ5" s="35" t="str">
        <f t="shared" si="12"/>
        <v/>
      </c>
      <c r="AK5" s="36" t="str">
        <f t="shared" si="13"/>
        <v/>
      </c>
      <c r="AL5" s="37"/>
      <c r="AM5" s="33"/>
      <c r="AN5" s="34"/>
      <c r="AO5" s="35" t="str">
        <f t="shared" si="14"/>
        <v/>
      </c>
      <c r="AP5" s="36" t="str">
        <f t="shared" si="15"/>
        <v/>
      </c>
      <c r="AQ5" s="37"/>
      <c r="AR5" s="33"/>
      <c r="AS5" s="34"/>
      <c r="AT5" s="35" t="str">
        <f t="shared" si="16"/>
        <v/>
      </c>
      <c r="AU5" s="36" t="str">
        <f t="shared" si="17"/>
        <v/>
      </c>
      <c r="AV5" s="37"/>
      <c r="AW5" s="33"/>
      <c r="AX5" s="34"/>
      <c r="AY5" s="35" t="str">
        <f t="shared" si="18"/>
        <v/>
      </c>
      <c r="AZ5" s="36" t="str">
        <f t="shared" si="19"/>
        <v/>
      </c>
      <c r="BA5" s="37"/>
      <c r="BB5" s="33"/>
      <c r="BC5" s="34"/>
      <c r="BD5" s="35" t="str">
        <f t="shared" si="20"/>
        <v/>
      </c>
      <c r="BE5" s="36" t="str">
        <f t="shared" si="21"/>
        <v/>
      </c>
      <c r="BF5" s="37"/>
      <c r="BG5" s="33"/>
      <c r="BH5" s="34"/>
      <c r="BI5" s="35" t="str">
        <f t="shared" si="22"/>
        <v/>
      </c>
      <c r="BJ5" s="36" t="str">
        <f t="shared" si="23"/>
        <v/>
      </c>
      <c r="BK5" s="37"/>
      <c r="BL5" s="33"/>
      <c r="BM5" s="34"/>
      <c r="BN5" s="35" t="str">
        <f t="shared" si="24"/>
        <v/>
      </c>
      <c r="BO5" s="36" t="str">
        <f t="shared" si="25"/>
        <v/>
      </c>
      <c r="BP5" s="37"/>
      <c r="BQ5" s="33"/>
      <c r="BR5" s="34"/>
      <c r="BS5" s="35" t="str">
        <f t="shared" si="26"/>
        <v/>
      </c>
      <c r="BT5" s="36" t="str">
        <f t="shared" si="27"/>
        <v/>
      </c>
      <c r="BU5" s="37"/>
      <c r="BV5" s="33"/>
      <c r="BW5" s="34"/>
      <c r="BX5" s="35" t="str">
        <f t="shared" si="28"/>
        <v/>
      </c>
      <c r="BY5" s="36" t="str">
        <f t="shared" si="29"/>
        <v/>
      </c>
      <c r="BZ5" s="37"/>
      <c r="CA5" s="33"/>
      <c r="CB5" s="34"/>
      <c r="CC5" s="35" t="str">
        <f t="shared" si="30"/>
        <v/>
      </c>
      <c r="CD5" s="36" t="str">
        <f t="shared" si="31"/>
        <v/>
      </c>
      <c r="CE5" s="37"/>
      <c r="CF5" s="33"/>
      <c r="CG5" s="34"/>
      <c r="CH5" s="35" t="str">
        <f t="shared" si="32"/>
        <v/>
      </c>
      <c r="CI5" s="36" t="str">
        <f t="shared" si="33"/>
        <v/>
      </c>
      <c r="CJ5" s="37"/>
      <c r="CK5" s="33"/>
      <c r="CL5" s="34"/>
      <c r="CM5" s="35" t="str">
        <f t="shared" si="34"/>
        <v/>
      </c>
      <c r="CN5" s="36" t="str">
        <f t="shared" si="35"/>
        <v/>
      </c>
      <c r="CO5" s="37"/>
      <c r="CP5" s="33"/>
      <c r="CQ5" s="34"/>
      <c r="CR5" s="35" t="str">
        <f t="shared" si="36"/>
        <v/>
      </c>
      <c r="CS5" s="36" t="str">
        <f t="shared" si="37"/>
        <v/>
      </c>
      <c r="CT5" s="37"/>
      <c r="CU5" s="33"/>
      <c r="CV5" s="34"/>
      <c r="CW5" s="35" t="str">
        <f t="shared" si="38"/>
        <v/>
      </c>
      <c r="CX5" s="36" t="str">
        <f t="shared" si="39"/>
        <v/>
      </c>
      <c r="CY5" s="37"/>
      <c r="CZ5" s="33"/>
      <c r="DA5" s="34"/>
      <c r="DB5" s="35" t="str">
        <f t="shared" si="40"/>
        <v/>
      </c>
      <c r="DC5" s="36" t="str">
        <f t="shared" si="41"/>
        <v/>
      </c>
      <c r="DD5" s="37"/>
      <c r="DE5" s="33"/>
      <c r="DF5" s="34"/>
      <c r="DG5" s="35" t="str">
        <f t="shared" si="42"/>
        <v/>
      </c>
      <c r="DH5" s="36" t="str">
        <f t="shared" si="43"/>
        <v/>
      </c>
      <c r="DI5" s="37"/>
      <c r="DJ5" s="33"/>
      <c r="DK5" s="34"/>
      <c r="DL5" s="35" t="str">
        <f t="shared" si="44"/>
        <v/>
      </c>
      <c r="DM5" s="36" t="str">
        <f t="shared" si="45"/>
        <v/>
      </c>
      <c r="DN5" s="37"/>
      <c r="DO5" s="33"/>
      <c r="DP5" s="34"/>
      <c r="DQ5" s="35" t="str">
        <f t="shared" si="46"/>
        <v/>
      </c>
      <c r="DR5" s="36" t="str">
        <f t="shared" si="47"/>
        <v/>
      </c>
      <c r="DS5" s="37"/>
      <c r="DT5" s="33"/>
      <c r="DU5" s="34"/>
      <c r="DV5" s="35" t="str">
        <f t="shared" si="48"/>
        <v/>
      </c>
      <c r="DW5" s="36" t="str">
        <f t="shared" si="49"/>
        <v/>
      </c>
      <c r="DX5" s="37"/>
      <c r="DY5" s="33"/>
      <c r="DZ5" s="34"/>
      <c r="EA5" s="35" t="str">
        <f t="shared" si="50"/>
        <v/>
      </c>
      <c r="EB5" s="36" t="str">
        <f t="shared" si="51"/>
        <v/>
      </c>
      <c r="EC5" s="37"/>
      <c r="ED5" s="33"/>
      <c r="EE5" s="34"/>
      <c r="EF5" s="35" t="str">
        <f t="shared" si="52"/>
        <v/>
      </c>
      <c r="EG5" s="36" t="str">
        <f t="shared" si="53"/>
        <v/>
      </c>
      <c r="EH5" s="37"/>
      <c r="EI5" s="33"/>
      <c r="EJ5" s="34"/>
      <c r="EK5" s="35" t="str">
        <f t="shared" si="54"/>
        <v/>
      </c>
      <c r="EL5" s="36" t="str">
        <f t="shared" si="55"/>
        <v/>
      </c>
      <c r="EM5" s="37"/>
      <c r="EN5" s="33"/>
      <c r="EO5" s="34"/>
      <c r="EP5" s="35" t="str">
        <f t="shared" si="56"/>
        <v/>
      </c>
      <c r="EQ5" s="36" t="str">
        <f t="shared" si="57"/>
        <v/>
      </c>
      <c r="ER5" s="37"/>
      <c r="ES5" s="33"/>
      <c r="ET5" s="34"/>
      <c r="EU5" s="35" t="str">
        <f t="shared" si="58"/>
        <v/>
      </c>
      <c r="EV5" s="36" t="str">
        <f t="shared" si="59"/>
        <v/>
      </c>
      <c r="EW5" s="37"/>
    </row>
    <row r="6" spans="1:153" ht="19.5" customHeight="1">
      <c r="A6" s="32">
        <f>IF(DAY(DATE(対象年度,6,3))&lt;&gt;3,"",3)</f>
        <v>3</v>
      </c>
      <c r="B6" s="32" t="str">
        <f>IF(DAY(DATE(対象年度,6,3))&lt;&gt;3,"",CHOOSE(WEEKDAY(DATE(対象年度,6,3),2),"月","火","水","木","金","土","日"))</f>
        <v>水</v>
      </c>
      <c r="C6" s="32" t="str">
        <f>IF(DAY(DATE(対象年度,6,3))&lt;&gt;3,"",IF(ISNUMBER(MATCH(DATE(対象年度,6,3),祝日リスト,0)),"祝",""))</f>
        <v/>
      </c>
      <c r="D6" s="33"/>
      <c r="E6" s="34"/>
      <c r="F6" s="35" t="str">
        <f t="shared" si="0"/>
        <v/>
      </c>
      <c r="G6" s="36" t="str">
        <f t="shared" si="1"/>
        <v/>
      </c>
      <c r="H6" s="37"/>
      <c r="I6" s="33"/>
      <c r="J6" s="34"/>
      <c r="K6" s="35" t="str">
        <f t="shared" si="2"/>
        <v/>
      </c>
      <c r="L6" s="36" t="str">
        <f t="shared" si="3"/>
        <v/>
      </c>
      <c r="M6" s="37"/>
      <c r="N6" s="33"/>
      <c r="O6" s="34"/>
      <c r="P6" s="35" t="str">
        <f t="shared" si="4"/>
        <v/>
      </c>
      <c r="Q6" s="36" t="str">
        <f t="shared" si="5"/>
        <v/>
      </c>
      <c r="R6" s="37"/>
      <c r="S6" s="33"/>
      <c r="T6" s="34"/>
      <c r="U6" s="35" t="str">
        <f t="shared" si="6"/>
        <v/>
      </c>
      <c r="V6" s="36" t="str">
        <f t="shared" si="7"/>
        <v/>
      </c>
      <c r="W6" s="37"/>
      <c r="X6" s="33"/>
      <c r="Y6" s="34"/>
      <c r="Z6" s="35" t="str">
        <f t="shared" si="8"/>
        <v/>
      </c>
      <c r="AA6" s="36" t="str">
        <f t="shared" si="9"/>
        <v/>
      </c>
      <c r="AB6" s="37"/>
      <c r="AC6" s="33"/>
      <c r="AD6" s="34"/>
      <c r="AE6" s="35" t="str">
        <f t="shared" si="10"/>
        <v/>
      </c>
      <c r="AF6" s="36" t="str">
        <f t="shared" si="11"/>
        <v/>
      </c>
      <c r="AG6" s="37"/>
      <c r="AH6" s="33"/>
      <c r="AI6" s="34"/>
      <c r="AJ6" s="35" t="str">
        <f t="shared" si="12"/>
        <v/>
      </c>
      <c r="AK6" s="36" t="str">
        <f t="shared" si="13"/>
        <v/>
      </c>
      <c r="AL6" s="37"/>
      <c r="AM6" s="33"/>
      <c r="AN6" s="34"/>
      <c r="AO6" s="35" t="str">
        <f t="shared" si="14"/>
        <v/>
      </c>
      <c r="AP6" s="36" t="str">
        <f t="shared" si="15"/>
        <v/>
      </c>
      <c r="AQ6" s="37"/>
      <c r="AR6" s="33"/>
      <c r="AS6" s="34"/>
      <c r="AT6" s="35" t="str">
        <f t="shared" si="16"/>
        <v/>
      </c>
      <c r="AU6" s="36" t="str">
        <f t="shared" si="17"/>
        <v/>
      </c>
      <c r="AV6" s="37"/>
      <c r="AW6" s="33"/>
      <c r="AX6" s="34"/>
      <c r="AY6" s="35" t="str">
        <f t="shared" si="18"/>
        <v/>
      </c>
      <c r="AZ6" s="36" t="str">
        <f t="shared" si="19"/>
        <v/>
      </c>
      <c r="BA6" s="37"/>
      <c r="BB6" s="33"/>
      <c r="BC6" s="34"/>
      <c r="BD6" s="35" t="str">
        <f t="shared" si="20"/>
        <v/>
      </c>
      <c r="BE6" s="36" t="str">
        <f t="shared" si="21"/>
        <v/>
      </c>
      <c r="BF6" s="37"/>
      <c r="BG6" s="33"/>
      <c r="BH6" s="34"/>
      <c r="BI6" s="35" t="str">
        <f t="shared" si="22"/>
        <v/>
      </c>
      <c r="BJ6" s="36" t="str">
        <f t="shared" si="23"/>
        <v/>
      </c>
      <c r="BK6" s="37"/>
      <c r="BL6" s="33"/>
      <c r="BM6" s="34"/>
      <c r="BN6" s="35" t="str">
        <f t="shared" si="24"/>
        <v/>
      </c>
      <c r="BO6" s="36" t="str">
        <f t="shared" si="25"/>
        <v/>
      </c>
      <c r="BP6" s="37"/>
      <c r="BQ6" s="33"/>
      <c r="BR6" s="34"/>
      <c r="BS6" s="35" t="str">
        <f t="shared" si="26"/>
        <v/>
      </c>
      <c r="BT6" s="36" t="str">
        <f t="shared" si="27"/>
        <v/>
      </c>
      <c r="BU6" s="37"/>
      <c r="BV6" s="33"/>
      <c r="BW6" s="34"/>
      <c r="BX6" s="35" t="str">
        <f t="shared" si="28"/>
        <v/>
      </c>
      <c r="BY6" s="36" t="str">
        <f t="shared" si="29"/>
        <v/>
      </c>
      <c r="BZ6" s="37"/>
      <c r="CA6" s="33"/>
      <c r="CB6" s="34"/>
      <c r="CC6" s="35" t="str">
        <f t="shared" si="30"/>
        <v/>
      </c>
      <c r="CD6" s="36" t="str">
        <f t="shared" si="31"/>
        <v/>
      </c>
      <c r="CE6" s="37"/>
      <c r="CF6" s="33"/>
      <c r="CG6" s="34"/>
      <c r="CH6" s="35" t="str">
        <f t="shared" si="32"/>
        <v/>
      </c>
      <c r="CI6" s="36" t="str">
        <f t="shared" si="33"/>
        <v/>
      </c>
      <c r="CJ6" s="37"/>
      <c r="CK6" s="33"/>
      <c r="CL6" s="34"/>
      <c r="CM6" s="35" t="str">
        <f t="shared" si="34"/>
        <v/>
      </c>
      <c r="CN6" s="36" t="str">
        <f t="shared" si="35"/>
        <v/>
      </c>
      <c r="CO6" s="37"/>
      <c r="CP6" s="33"/>
      <c r="CQ6" s="34"/>
      <c r="CR6" s="35" t="str">
        <f t="shared" si="36"/>
        <v/>
      </c>
      <c r="CS6" s="36" t="str">
        <f t="shared" si="37"/>
        <v/>
      </c>
      <c r="CT6" s="37"/>
      <c r="CU6" s="33"/>
      <c r="CV6" s="34"/>
      <c r="CW6" s="35" t="str">
        <f t="shared" si="38"/>
        <v/>
      </c>
      <c r="CX6" s="36" t="str">
        <f t="shared" si="39"/>
        <v/>
      </c>
      <c r="CY6" s="37"/>
      <c r="CZ6" s="33"/>
      <c r="DA6" s="34"/>
      <c r="DB6" s="35" t="str">
        <f t="shared" si="40"/>
        <v/>
      </c>
      <c r="DC6" s="36" t="str">
        <f t="shared" si="41"/>
        <v/>
      </c>
      <c r="DD6" s="37"/>
      <c r="DE6" s="33"/>
      <c r="DF6" s="34"/>
      <c r="DG6" s="35" t="str">
        <f t="shared" si="42"/>
        <v/>
      </c>
      <c r="DH6" s="36" t="str">
        <f t="shared" si="43"/>
        <v/>
      </c>
      <c r="DI6" s="37"/>
      <c r="DJ6" s="33"/>
      <c r="DK6" s="34"/>
      <c r="DL6" s="35" t="str">
        <f t="shared" si="44"/>
        <v/>
      </c>
      <c r="DM6" s="36" t="str">
        <f t="shared" si="45"/>
        <v/>
      </c>
      <c r="DN6" s="37"/>
      <c r="DO6" s="33"/>
      <c r="DP6" s="34"/>
      <c r="DQ6" s="35" t="str">
        <f t="shared" si="46"/>
        <v/>
      </c>
      <c r="DR6" s="36" t="str">
        <f t="shared" si="47"/>
        <v/>
      </c>
      <c r="DS6" s="37"/>
      <c r="DT6" s="33"/>
      <c r="DU6" s="34"/>
      <c r="DV6" s="35" t="str">
        <f t="shared" si="48"/>
        <v/>
      </c>
      <c r="DW6" s="36" t="str">
        <f t="shared" si="49"/>
        <v/>
      </c>
      <c r="DX6" s="37"/>
      <c r="DY6" s="33"/>
      <c r="DZ6" s="34"/>
      <c r="EA6" s="35" t="str">
        <f t="shared" si="50"/>
        <v/>
      </c>
      <c r="EB6" s="36" t="str">
        <f t="shared" si="51"/>
        <v/>
      </c>
      <c r="EC6" s="37"/>
      <c r="ED6" s="33"/>
      <c r="EE6" s="34"/>
      <c r="EF6" s="35" t="str">
        <f t="shared" si="52"/>
        <v/>
      </c>
      <c r="EG6" s="36" t="str">
        <f t="shared" si="53"/>
        <v/>
      </c>
      <c r="EH6" s="37"/>
      <c r="EI6" s="33"/>
      <c r="EJ6" s="34"/>
      <c r="EK6" s="35" t="str">
        <f t="shared" si="54"/>
        <v/>
      </c>
      <c r="EL6" s="36" t="str">
        <f t="shared" si="55"/>
        <v/>
      </c>
      <c r="EM6" s="37"/>
      <c r="EN6" s="33"/>
      <c r="EO6" s="34"/>
      <c r="EP6" s="35" t="str">
        <f t="shared" si="56"/>
        <v/>
      </c>
      <c r="EQ6" s="36" t="str">
        <f t="shared" si="57"/>
        <v/>
      </c>
      <c r="ER6" s="37"/>
      <c r="ES6" s="33"/>
      <c r="ET6" s="34"/>
      <c r="EU6" s="35" t="str">
        <f t="shared" si="58"/>
        <v/>
      </c>
      <c r="EV6" s="36" t="str">
        <f t="shared" si="59"/>
        <v/>
      </c>
      <c r="EW6" s="37"/>
    </row>
    <row r="7" spans="1:153" ht="19.5" customHeight="1">
      <c r="A7" s="32">
        <f>IF(DAY(DATE(対象年度,6,4))&lt;&gt;4,"",4)</f>
        <v>4</v>
      </c>
      <c r="B7" s="32" t="str">
        <f>IF(DAY(DATE(対象年度,6,4))&lt;&gt;4,"",CHOOSE(WEEKDAY(DATE(対象年度,6,4),2),"月","火","水","木","金","土","日"))</f>
        <v>木</v>
      </c>
      <c r="C7" s="32" t="str">
        <f>IF(DAY(DATE(対象年度,6,4))&lt;&gt;4,"",IF(ISNUMBER(MATCH(DATE(対象年度,6,4),祝日リスト,0)),"祝",""))</f>
        <v/>
      </c>
      <c r="D7" s="33"/>
      <c r="E7" s="34"/>
      <c r="F7" s="35" t="str">
        <f t="shared" si="0"/>
        <v/>
      </c>
      <c r="G7" s="36" t="str">
        <f t="shared" si="1"/>
        <v/>
      </c>
      <c r="H7" s="37"/>
      <c r="I7" s="33"/>
      <c r="J7" s="34"/>
      <c r="K7" s="35" t="str">
        <f t="shared" si="2"/>
        <v/>
      </c>
      <c r="L7" s="36" t="str">
        <f t="shared" si="3"/>
        <v/>
      </c>
      <c r="M7" s="37"/>
      <c r="N7" s="33"/>
      <c r="O7" s="34"/>
      <c r="P7" s="35" t="str">
        <f t="shared" si="4"/>
        <v/>
      </c>
      <c r="Q7" s="36" t="str">
        <f t="shared" si="5"/>
        <v/>
      </c>
      <c r="R7" s="37"/>
      <c r="S7" s="33"/>
      <c r="T7" s="34"/>
      <c r="U7" s="35" t="str">
        <f t="shared" si="6"/>
        <v/>
      </c>
      <c r="V7" s="36" t="str">
        <f t="shared" si="7"/>
        <v/>
      </c>
      <c r="W7" s="37"/>
      <c r="X7" s="33"/>
      <c r="Y7" s="34"/>
      <c r="Z7" s="35" t="str">
        <f t="shared" si="8"/>
        <v/>
      </c>
      <c r="AA7" s="36" t="str">
        <f t="shared" si="9"/>
        <v/>
      </c>
      <c r="AB7" s="37"/>
      <c r="AC7" s="33"/>
      <c r="AD7" s="34"/>
      <c r="AE7" s="35" t="str">
        <f t="shared" si="10"/>
        <v/>
      </c>
      <c r="AF7" s="36" t="str">
        <f t="shared" si="11"/>
        <v/>
      </c>
      <c r="AG7" s="37"/>
      <c r="AH7" s="33"/>
      <c r="AI7" s="34"/>
      <c r="AJ7" s="35" t="str">
        <f t="shared" si="12"/>
        <v/>
      </c>
      <c r="AK7" s="36" t="str">
        <f t="shared" si="13"/>
        <v/>
      </c>
      <c r="AL7" s="37"/>
      <c r="AM7" s="33"/>
      <c r="AN7" s="34"/>
      <c r="AO7" s="35" t="str">
        <f t="shared" si="14"/>
        <v/>
      </c>
      <c r="AP7" s="36" t="str">
        <f t="shared" si="15"/>
        <v/>
      </c>
      <c r="AQ7" s="37"/>
      <c r="AR7" s="33"/>
      <c r="AS7" s="34"/>
      <c r="AT7" s="35" t="str">
        <f t="shared" si="16"/>
        <v/>
      </c>
      <c r="AU7" s="36" t="str">
        <f t="shared" si="17"/>
        <v/>
      </c>
      <c r="AV7" s="37"/>
      <c r="AW7" s="33"/>
      <c r="AX7" s="34"/>
      <c r="AY7" s="35" t="str">
        <f t="shared" si="18"/>
        <v/>
      </c>
      <c r="AZ7" s="36" t="str">
        <f t="shared" si="19"/>
        <v/>
      </c>
      <c r="BA7" s="37"/>
      <c r="BB7" s="33"/>
      <c r="BC7" s="34"/>
      <c r="BD7" s="35" t="str">
        <f t="shared" si="20"/>
        <v/>
      </c>
      <c r="BE7" s="36" t="str">
        <f t="shared" si="21"/>
        <v/>
      </c>
      <c r="BF7" s="37"/>
      <c r="BG7" s="33"/>
      <c r="BH7" s="34"/>
      <c r="BI7" s="35" t="str">
        <f t="shared" si="22"/>
        <v/>
      </c>
      <c r="BJ7" s="36" t="str">
        <f t="shared" si="23"/>
        <v/>
      </c>
      <c r="BK7" s="37"/>
      <c r="BL7" s="33"/>
      <c r="BM7" s="34"/>
      <c r="BN7" s="35" t="str">
        <f t="shared" si="24"/>
        <v/>
      </c>
      <c r="BO7" s="36" t="str">
        <f t="shared" si="25"/>
        <v/>
      </c>
      <c r="BP7" s="37"/>
      <c r="BQ7" s="33"/>
      <c r="BR7" s="34"/>
      <c r="BS7" s="35" t="str">
        <f t="shared" si="26"/>
        <v/>
      </c>
      <c r="BT7" s="36" t="str">
        <f t="shared" si="27"/>
        <v/>
      </c>
      <c r="BU7" s="37"/>
      <c r="BV7" s="33"/>
      <c r="BW7" s="34"/>
      <c r="BX7" s="35" t="str">
        <f t="shared" si="28"/>
        <v/>
      </c>
      <c r="BY7" s="36" t="str">
        <f t="shared" si="29"/>
        <v/>
      </c>
      <c r="BZ7" s="37"/>
      <c r="CA7" s="33"/>
      <c r="CB7" s="34"/>
      <c r="CC7" s="35" t="str">
        <f t="shared" si="30"/>
        <v/>
      </c>
      <c r="CD7" s="36" t="str">
        <f t="shared" si="31"/>
        <v/>
      </c>
      <c r="CE7" s="37"/>
      <c r="CF7" s="33"/>
      <c r="CG7" s="34"/>
      <c r="CH7" s="35" t="str">
        <f t="shared" si="32"/>
        <v/>
      </c>
      <c r="CI7" s="36" t="str">
        <f t="shared" si="33"/>
        <v/>
      </c>
      <c r="CJ7" s="37"/>
      <c r="CK7" s="33"/>
      <c r="CL7" s="34"/>
      <c r="CM7" s="35" t="str">
        <f t="shared" si="34"/>
        <v/>
      </c>
      <c r="CN7" s="36" t="str">
        <f t="shared" si="35"/>
        <v/>
      </c>
      <c r="CO7" s="37"/>
      <c r="CP7" s="33"/>
      <c r="CQ7" s="34"/>
      <c r="CR7" s="35" t="str">
        <f t="shared" si="36"/>
        <v/>
      </c>
      <c r="CS7" s="36" t="str">
        <f t="shared" si="37"/>
        <v/>
      </c>
      <c r="CT7" s="37"/>
      <c r="CU7" s="33"/>
      <c r="CV7" s="34"/>
      <c r="CW7" s="35" t="str">
        <f t="shared" si="38"/>
        <v/>
      </c>
      <c r="CX7" s="36" t="str">
        <f t="shared" si="39"/>
        <v/>
      </c>
      <c r="CY7" s="37"/>
      <c r="CZ7" s="33"/>
      <c r="DA7" s="34"/>
      <c r="DB7" s="35" t="str">
        <f t="shared" si="40"/>
        <v/>
      </c>
      <c r="DC7" s="36" t="str">
        <f t="shared" si="41"/>
        <v/>
      </c>
      <c r="DD7" s="37"/>
      <c r="DE7" s="33"/>
      <c r="DF7" s="34"/>
      <c r="DG7" s="35" t="str">
        <f t="shared" si="42"/>
        <v/>
      </c>
      <c r="DH7" s="36" t="str">
        <f t="shared" si="43"/>
        <v/>
      </c>
      <c r="DI7" s="37"/>
      <c r="DJ7" s="33"/>
      <c r="DK7" s="34"/>
      <c r="DL7" s="35" t="str">
        <f t="shared" si="44"/>
        <v/>
      </c>
      <c r="DM7" s="36" t="str">
        <f t="shared" si="45"/>
        <v/>
      </c>
      <c r="DN7" s="37"/>
      <c r="DO7" s="33"/>
      <c r="DP7" s="34"/>
      <c r="DQ7" s="35" t="str">
        <f t="shared" si="46"/>
        <v/>
      </c>
      <c r="DR7" s="36" t="str">
        <f t="shared" si="47"/>
        <v/>
      </c>
      <c r="DS7" s="37"/>
      <c r="DT7" s="33"/>
      <c r="DU7" s="34"/>
      <c r="DV7" s="35" t="str">
        <f t="shared" si="48"/>
        <v/>
      </c>
      <c r="DW7" s="36" t="str">
        <f t="shared" si="49"/>
        <v/>
      </c>
      <c r="DX7" s="37"/>
      <c r="DY7" s="33"/>
      <c r="DZ7" s="34"/>
      <c r="EA7" s="35" t="str">
        <f t="shared" si="50"/>
        <v/>
      </c>
      <c r="EB7" s="36" t="str">
        <f t="shared" si="51"/>
        <v/>
      </c>
      <c r="EC7" s="37"/>
      <c r="ED7" s="33"/>
      <c r="EE7" s="34"/>
      <c r="EF7" s="35" t="str">
        <f t="shared" si="52"/>
        <v/>
      </c>
      <c r="EG7" s="36" t="str">
        <f t="shared" si="53"/>
        <v/>
      </c>
      <c r="EH7" s="37"/>
      <c r="EI7" s="33"/>
      <c r="EJ7" s="34"/>
      <c r="EK7" s="35" t="str">
        <f t="shared" si="54"/>
        <v/>
      </c>
      <c r="EL7" s="36" t="str">
        <f t="shared" si="55"/>
        <v/>
      </c>
      <c r="EM7" s="37"/>
      <c r="EN7" s="33"/>
      <c r="EO7" s="34"/>
      <c r="EP7" s="35" t="str">
        <f t="shared" si="56"/>
        <v/>
      </c>
      <c r="EQ7" s="36" t="str">
        <f t="shared" si="57"/>
        <v/>
      </c>
      <c r="ER7" s="37"/>
      <c r="ES7" s="33"/>
      <c r="ET7" s="34"/>
      <c r="EU7" s="35" t="str">
        <f t="shared" si="58"/>
        <v/>
      </c>
      <c r="EV7" s="36" t="str">
        <f t="shared" si="59"/>
        <v/>
      </c>
      <c r="EW7" s="37"/>
    </row>
    <row r="8" spans="1:153" ht="19.5" customHeight="1">
      <c r="A8" s="32">
        <f>IF(DAY(DATE(対象年度,6,5))&lt;&gt;5,"",5)</f>
        <v>5</v>
      </c>
      <c r="B8" s="32" t="str">
        <f>IF(DAY(DATE(対象年度,6,5))&lt;&gt;5,"",CHOOSE(WEEKDAY(DATE(対象年度,6,5),2),"月","火","水","木","金","土","日"))</f>
        <v>金</v>
      </c>
      <c r="C8" s="32" t="str">
        <f>IF(DAY(DATE(対象年度,6,5))&lt;&gt;5,"",IF(ISNUMBER(MATCH(DATE(対象年度,6,5),祝日リスト,0)),"祝",""))</f>
        <v/>
      </c>
      <c r="D8" s="33"/>
      <c r="E8" s="34"/>
      <c r="F8" s="35" t="str">
        <f t="shared" si="0"/>
        <v/>
      </c>
      <c r="G8" s="36" t="str">
        <f t="shared" si="1"/>
        <v/>
      </c>
      <c r="H8" s="37"/>
      <c r="I8" s="33"/>
      <c r="J8" s="34"/>
      <c r="K8" s="35" t="str">
        <f t="shared" si="2"/>
        <v/>
      </c>
      <c r="L8" s="36" t="str">
        <f t="shared" si="3"/>
        <v/>
      </c>
      <c r="M8" s="37"/>
      <c r="N8" s="33"/>
      <c r="O8" s="34"/>
      <c r="P8" s="35" t="str">
        <f t="shared" si="4"/>
        <v/>
      </c>
      <c r="Q8" s="36" t="str">
        <f t="shared" si="5"/>
        <v/>
      </c>
      <c r="R8" s="37"/>
      <c r="S8" s="33"/>
      <c r="T8" s="34"/>
      <c r="U8" s="35" t="str">
        <f t="shared" si="6"/>
        <v/>
      </c>
      <c r="V8" s="36" t="str">
        <f t="shared" si="7"/>
        <v/>
      </c>
      <c r="W8" s="37"/>
      <c r="X8" s="33"/>
      <c r="Y8" s="34"/>
      <c r="Z8" s="35" t="str">
        <f t="shared" si="8"/>
        <v/>
      </c>
      <c r="AA8" s="36" t="str">
        <f t="shared" si="9"/>
        <v/>
      </c>
      <c r="AB8" s="37"/>
      <c r="AC8" s="33"/>
      <c r="AD8" s="34"/>
      <c r="AE8" s="35" t="str">
        <f t="shared" si="10"/>
        <v/>
      </c>
      <c r="AF8" s="36" t="str">
        <f t="shared" si="11"/>
        <v/>
      </c>
      <c r="AG8" s="37"/>
      <c r="AH8" s="33"/>
      <c r="AI8" s="34"/>
      <c r="AJ8" s="35" t="str">
        <f t="shared" si="12"/>
        <v/>
      </c>
      <c r="AK8" s="36" t="str">
        <f t="shared" si="13"/>
        <v/>
      </c>
      <c r="AL8" s="37"/>
      <c r="AM8" s="33"/>
      <c r="AN8" s="34"/>
      <c r="AO8" s="35" t="str">
        <f t="shared" si="14"/>
        <v/>
      </c>
      <c r="AP8" s="36" t="str">
        <f t="shared" si="15"/>
        <v/>
      </c>
      <c r="AQ8" s="37"/>
      <c r="AR8" s="33"/>
      <c r="AS8" s="34"/>
      <c r="AT8" s="35" t="str">
        <f t="shared" si="16"/>
        <v/>
      </c>
      <c r="AU8" s="36" t="str">
        <f t="shared" si="17"/>
        <v/>
      </c>
      <c r="AV8" s="37"/>
      <c r="AW8" s="33"/>
      <c r="AX8" s="34"/>
      <c r="AY8" s="35" t="str">
        <f t="shared" si="18"/>
        <v/>
      </c>
      <c r="AZ8" s="36" t="str">
        <f t="shared" si="19"/>
        <v/>
      </c>
      <c r="BA8" s="37"/>
      <c r="BB8" s="33"/>
      <c r="BC8" s="34"/>
      <c r="BD8" s="35" t="str">
        <f t="shared" si="20"/>
        <v/>
      </c>
      <c r="BE8" s="36" t="str">
        <f t="shared" si="21"/>
        <v/>
      </c>
      <c r="BF8" s="37"/>
      <c r="BG8" s="33"/>
      <c r="BH8" s="34"/>
      <c r="BI8" s="35" t="str">
        <f t="shared" si="22"/>
        <v/>
      </c>
      <c r="BJ8" s="36" t="str">
        <f t="shared" si="23"/>
        <v/>
      </c>
      <c r="BK8" s="37"/>
      <c r="BL8" s="33"/>
      <c r="BM8" s="34"/>
      <c r="BN8" s="35" t="str">
        <f t="shared" si="24"/>
        <v/>
      </c>
      <c r="BO8" s="36" t="str">
        <f t="shared" si="25"/>
        <v/>
      </c>
      <c r="BP8" s="37"/>
      <c r="BQ8" s="33"/>
      <c r="BR8" s="34"/>
      <c r="BS8" s="35" t="str">
        <f t="shared" si="26"/>
        <v/>
      </c>
      <c r="BT8" s="36" t="str">
        <f t="shared" si="27"/>
        <v/>
      </c>
      <c r="BU8" s="37"/>
      <c r="BV8" s="33"/>
      <c r="BW8" s="34"/>
      <c r="BX8" s="35" t="str">
        <f t="shared" si="28"/>
        <v/>
      </c>
      <c r="BY8" s="36" t="str">
        <f t="shared" si="29"/>
        <v/>
      </c>
      <c r="BZ8" s="37"/>
      <c r="CA8" s="33"/>
      <c r="CB8" s="34"/>
      <c r="CC8" s="35" t="str">
        <f t="shared" si="30"/>
        <v/>
      </c>
      <c r="CD8" s="36" t="str">
        <f t="shared" si="31"/>
        <v/>
      </c>
      <c r="CE8" s="37"/>
      <c r="CF8" s="33"/>
      <c r="CG8" s="34"/>
      <c r="CH8" s="35" t="str">
        <f t="shared" si="32"/>
        <v/>
      </c>
      <c r="CI8" s="36" t="str">
        <f t="shared" si="33"/>
        <v/>
      </c>
      <c r="CJ8" s="37"/>
      <c r="CK8" s="33"/>
      <c r="CL8" s="34"/>
      <c r="CM8" s="35" t="str">
        <f t="shared" si="34"/>
        <v/>
      </c>
      <c r="CN8" s="36" t="str">
        <f t="shared" si="35"/>
        <v/>
      </c>
      <c r="CO8" s="37"/>
      <c r="CP8" s="33"/>
      <c r="CQ8" s="34"/>
      <c r="CR8" s="35" t="str">
        <f t="shared" si="36"/>
        <v/>
      </c>
      <c r="CS8" s="36" t="str">
        <f t="shared" si="37"/>
        <v/>
      </c>
      <c r="CT8" s="37"/>
      <c r="CU8" s="33"/>
      <c r="CV8" s="34"/>
      <c r="CW8" s="35" t="str">
        <f t="shared" si="38"/>
        <v/>
      </c>
      <c r="CX8" s="36" t="str">
        <f t="shared" si="39"/>
        <v/>
      </c>
      <c r="CY8" s="37"/>
      <c r="CZ8" s="33"/>
      <c r="DA8" s="34"/>
      <c r="DB8" s="35" t="str">
        <f t="shared" si="40"/>
        <v/>
      </c>
      <c r="DC8" s="36" t="str">
        <f t="shared" si="41"/>
        <v/>
      </c>
      <c r="DD8" s="37"/>
      <c r="DE8" s="33"/>
      <c r="DF8" s="34"/>
      <c r="DG8" s="35" t="str">
        <f t="shared" si="42"/>
        <v/>
      </c>
      <c r="DH8" s="36" t="str">
        <f t="shared" si="43"/>
        <v/>
      </c>
      <c r="DI8" s="37"/>
      <c r="DJ8" s="33"/>
      <c r="DK8" s="34"/>
      <c r="DL8" s="35" t="str">
        <f t="shared" si="44"/>
        <v/>
      </c>
      <c r="DM8" s="36" t="str">
        <f t="shared" si="45"/>
        <v/>
      </c>
      <c r="DN8" s="37"/>
      <c r="DO8" s="33"/>
      <c r="DP8" s="34"/>
      <c r="DQ8" s="35" t="str">
        <f t="shared" si="46"/>
        <v/>
      </c>
      <c r="DR8" s="36" t="str">
        <f t="shared" si="47"/>
        <v/>
      </c>
      <c r="DS8" s="37"/>
      <c r="DT8" s="33"/>
      <c r="DU8" s="34"/>
      <c r="DV8" s="35" t="str">
        <f t="shared" si="48"/>
        <v/>
      </c>
      <c r="DW8" s="36" t="str">
        <f t="shared" si="49"/>
        <v/>
      </c>
      <c r="DX8" s="37"/>
      <c r="DY8" s="33"/>
      <c r="DZ8" s="34"/>
      <c r="EA8" s="35" t="str">
        <f t="shared" si="50"/>
        <v/>
      </c>
      <c r="EB8" s="36" t="str">
        <f t="shared" si="51"/>
        <v/>
      </c>
      <c r="EC8" s="37"/>
      <c r="ED8" s="33"/>
      <c r="EE8" s="34"/>
      <c r="EF8" s="35" t="str">
        <f t="shared" si="52"/>
        <v/>
      </c>
      <c r="EG8" s="36" t="str">
        <f t="shared" si="53"/>
        <v/>
      </c>
      <c r="EH8" s="37"/>
      <c r="EI8" s="33"/>
      <c r="EJ8" s="34"/>
      <c r="EK8" s="35" t="str">
        <f t="shared" si="54"/>
        <v/>
      </c>
      <c r="EL8" s="36" t="str">
        <f t="shared" si="55"/>
        <v/>
      </c>
      <c r="EM8" s="37"/>
      <c r="EN8" s="33"/>
      <c r="EO8" s="34"/>
      <c r="EP8" s="35" t="str">
        <f t="shared" si="56"/>
        <v/>
      </c>
      <c r="EQ8" s="36" t="str">
        <f t="shared" si="57"/>
        <v/>
      </c>
      <c r="ER8" s="37"/>
      <c r="ES8" s="33"/>
      <c r="ET8" s="34"/>
      <c r="EU8" s="35" t="str">
        <f t="shared" si="58"/>
        <v/>
      </c>
      <c r="EV8" s="36" t="str">
        <f t="shared" si="59"/>
        <v/>
      </c>
      <c r="EW8" s="37"/>
    </row>
    <row r="9" spans="1:153" ht="19.5" customHeight="1">
      <c r="A9" s="32">
        <f>IF(DAY(DATE(対象年度,6,6))&lt;&gt;6,"",6)</f>
        <v>6</v>
      </c>
      <c r="B9" s="32" t="str">
        <f>IF(DAY(DATE(対象年度,6,6))&lt;&gt;6,"",CHOOSE(WEEKDAY(DATE(対象年度,6,6),2),"月","火","水","木","金","土","日"))</f>
        <v>土</v>
      </c>
      <c r="C9" s="32" t="str">
        <f>IF(DAY(DATE(対象年度,6,6))&lt;&gt;6,"",IF(ISNUMBER(MATCH(DATE(対象年度,6,6),祝日リスト,0)),"祝",""))</f>
        <v/>
      </c>
      <c r="D9" s="33"/>
      <c r="E9" s="34"/>
      <c r="F9" s="35" t="str">
        <f t="shared" si="0"/>
        <v/>
      </c>
      <c r="G9" s="36" t="str">
        <f t="shared" si="1"/>
        <v/>
      </c>
      <c r="H9" s="37"/>
      <c r="I9" s="33"/>
      <c r="J9" s="34"/>
      <c r="K9" s="35" t="str">
        <f t="shared" si="2"/>
        <v/>
      </c>
      <c r="L9" s="36" t="str">
        <f t="shared" si="3"/>
        <v/>
      </c>
      <c r="M9" s="37"/>
      <c r="N9" s="33"/>
      <c r="O9" s="34"/>
      <c r="P9" s="35" t="str">
        <f t="shared" si="4"/>
        <v/>
      </c>
      <c r="Q9" s="36" t="str">
        <f t="shared" si="5"/>
        <v/>
      </c>
      <c r="R9" s="37"/>
      <c r="S9" s="33"/>
      <c r="T9" s="34"/>
      <c r="U9" s="35" t="str">
        <f t="shared" si="6"/>
        <v/>
      </c>
      <c r="V9" s="36" t="str">
        <f t="shared" si="7"/>
        <v/>
      </c>
      <c r="W9" s="37"/>
      <c r="X9" s="33"/>
      <c r="Y9" s="34"/>
      <c r="Z9" s="35" t="str">
        <f t="shared" si="8"/>
        <v/>
      </c>
      <c r="AA9" s="36" t="str">
        <f t="shared" si="9"/>
        <v/>
      </c>
      <c r="AB9" s="37"/>
      <c r="AC9" s="33"/>
      <c r="AD9" s="34"/>
      <c r="AE9" s="35" t="str">
        <f t="shared" si="10"/>
        <v/>
      </c>
      <c r="AF9" s="36" t="str">
        <f t="shared" si="11"/>
        <v/>
      </c>
      <c r="AG9" s="37"/>
      <c r="AH9" s="33"/>
      <c r="AI9" s="34"/>
      <c r="AJ9" s="35" t="str">
        <f t="shared" si="12"/>
        <v/>
      </c>
      <c r="AK9" s="36" t="str">
        <f t="shared" si="13"/>
        <v/>
      </c>
      <c r="AL9" s="37"/>
      <c r="AM9" s="33"/>
      <c r="AN9" s="34"/>
      <c r="AO9" s="35" t="str">
        <f t="shared" si="14"/>
        <v/>
      </c>
      <c r="AP9" s="36" t="str">
        <f t="shared" si="15"/>
        <v/>
      </c>
      <c r="AQ9" s="37"/>
      <c r="AR9" s="33"/>
      <c r="AS9" s="34"/>
      <c r="AT9" s="35" t="str">
        <f t="shared" si="16"/>
        <v/>
      </c>
      <c r="AU9" s="36" t="str">
        <f t="shared" si="17"/>
        <v/>
      </c>
      <c r="AV9" s="37"/>
      <c r="AW9" s="33"/>
      <c r="AX9" s="34"/>
      <c r="AY9" s="35" t="str">
        <f t="shared" si="18"/>
        <v/>
      </c>
      <c r="AZ9" s="36" t="str">
        <f t="shared" si="19"/>
        <v/>
      </c>
      <c r="BA9" s="37"/>
      <c r="BB9" s="33"/>
      <c r="BC9" s="34"/>
      <c r="BD9" s="35" t="str">
        <f t="shared" si="20"/>
        <v/>
      </c>
      <c r="BE9" s="36" t="str">
        <f t="shared" si="21"/>
        <v/>
      </c>
      <c r="BF9" s="37"/>
      <c r="BG9" s="33"/>
      <c r="BH9" s="34"/>
      <c r="BI9" s="35" t="str">
        <f t="shared" si="22"/>
        <v/>
      </c>
      <c r="BJ9" s="36" t="str">
        <f t="shared" si="23"/>
        <v/>
      </c>
      <c r="BK9" s="37"/>
      <c r="BL9" s="33"/>
      <c r="BM9" s="34"/>
      <c r="BN9" s="35" t="str">
        <f t="shared" si="24"/>
        <v/>
      </c>
      <c r="BO9" s="36" t="str">
        <f t="shared" si="25"/>
        <v/>
      </c>
      <c r="BP9" s="37"/>
      <c r="BQ9" s="33"/>
      <c r="BR9" s="34"/>
      <c r="BS9" s="35" t="str">
        <f t="shared" si="26"/>
        <v/>
      </c>
      <c r="BT9" s="36" t="str">
        <f t="shared" si="27"/>
        <v/>
      </c>
      <c r="BU9" s="37"/>
      <c r="BV9" s="33"/>
      <c r="BW9" s="34"/>
      <c r="BX9" s="35" t="str">
        <f t="shared" si="28"/>
        <v/>
      </c>
      <c r="BY9" s="36" t="str">
        <f t="shared" si="29"/>
        <v/>
      </c>
      <c r="BZ9" s="37"/>
      <c r="CA9" s="33"/>
      <c r="CB9" s="34"/>
      <c r="CC9" s="35" t="str">
        <f t="shared" si="30"/>
        <v/>
      </c>
      <c r="CD9" s="36" t="str">
        <f t="shared" si="31"/>
        <v/>
      </c>
      <c r="CE9" s="37"/>
      <c r="CF9" s="33"/>
      <c r="CG9" s="34"/>
      <c r="CH9" s="35" t="str">
        <f t="shared" si="32"/>
        <v/>
      </c>
      <c r="CI9" s="36" t="str">
        <f t="shared" si="33"/>
        <v/>
      </c>
      <c r="CJ9" s="37"/>
      <c r="CK9" s="33"/>
      <c r="CL9" s="34"/>
      <c r="CM9" s="35" t="str">
        <f t="shared" si="34"/>
        <v/>
      </c>
      <c r="CN9" s="36" t="str">
        <f t="shared" si="35"/>
        <v/>
      </c>
      <c r="CO9" s="37"/>
      <c r="CP9" s="33"/>
      <c r="CQ9" s="34"/>
      <c r="CR9" s="35" t="str">
        <f t="shared" si="36"/>
        <v/>
      </c>
      <c r="CS9" s="36" t="str">
        <f t="shared" si="37"/>
        <v/>
      </c>
      <c r="CT9" s="37"/>
      <c r="CU9" s="33"/>
      <c r="CV9" s="34"/>
      <c r="CW9" s="35" t="str">
        <f t="shared" si="38"/>
        <v/>
      </c>
      <c r="CX9" s="36" t="str">
        <f t="shared" si="39"/>
        <v/>
      </c>
      <c r="CY9" s="37"/>
      <c r="CZ9" s="33"/>
      <c r="DA9" s="34"/>
      <c r="DB9" s="35" t="str">
        <f t="shared" si="40"/>
        <v/>
      </c>
      <c r="DC9" s="36" t="str">
        <f t="shared" si="41"/>
        <v/>
      </c>
      <c r="DD9" s="37"/>
      <c r="DE9" s="33"/>
      <c r="DF9" s="34"/>
      <c r="DG9" s="35" t="str">
        <f t="shared" si="42"/>
        <v/>
      </c>
      <c r="DH9" s="36" t="str">
        <f t="shared" si="43"/>
        <v/>
      </c>
      <c r="DI9" s="37"/>
      <c r="DJ9" s="33"/>
      <c r="DK9" s="34"/>
      <c r="DL9" s="35" t="str">
        <f t="shared" si="44"/>
        <v/>
      </c>
      <c r="DM9" s="36" t="str">
        <f t="shared" si="45"/>
        <v/>
      </c>
      <c r="DN9" s="37"/>
      <c r="DO9" s="33"/>
      <c r="DP9" s="34"/>
      <c r="DQ9" s="35" t="str">
        <f t="shared" si="46"/>
        <v/>
      </c>
      <c r="DR9" s="36" t="str">
        <f t="shared" si="47"/>
        <v/>
      </c>
      <c r="DS9" s="37"/>
      <c r="DT9" s="33"/>
      <c r="DU9" s="34"/>
      <c r="DV9" s="35" t="str">
        <f t="shared" si="48"/>
        <v/>
      </c>
      <c r="DW9" s="36" t="str">
        <f t="shared" si="49"/>
        <v/>
      </c>
      <c r="DX9" s="37"/>
      <c r="DY9" s="33"/>
      <c r="DZ9" s="34"/>
      <c r="EA9" s="35" t="str">
        <f t="shared" si="50"/>
        <v/>
      </c>
      <c r="EB9" s="36" t="str">
        <f t="shared" si="51"/>
        <v/>
      </c>
      <c r="EC9" s="37"/>
      <c r="ED9" s="33"/>
      <c r="EE9" s="34"/>
      <c r="EF9" s="35" t="str">
        <f t="shared" si="52"/>
        <v/>
      </c>
      <c r="EG9" s="36" t="str">
        <f t="shared" si="53"/>
        <v/>
      </c>
      <c r="EH9" s="37"/>
      <c r="EI9" s="33"/>
      <c r="EJ9" s="34"/>
      <c r="EK9" s="35" t="str">
        <f t="shared" si="54"/>
        <v/>
      </c>
      <c r="EL9" s="36" t="str">
        <f t="shared" si="55"/>
        <v/>
      </c>
      <c r="EM9" s="37"/>
      <c r="EN9" s="33"/>
      <c r="EO9" s="34"/>
      <c r="EP9" s="35" t="str">
        <f t="shared" si="56"/>
        <v/>
      </c>
      <c r="EQ9" s="36" t="str">
        <f t="shared" si="57"/>
        <v/>
      </c>
      <c r="ER9" s="37"/>
      <c r="ES9" s="33"/>
      <c r="ET9" s="34"/>
      <c r="EU9" s="35" t="str">
        <f t="shared" si="58"/>
        <v/>
      </c>
      <c r="EV9" s="36" t="str">
        <f t="shared" si="59"/>
        <v/>
      </c>
      <c r="EW9" s="37"/>
    </row>
    <row r="10" spans="1:153" ht="19.5" customHeight="1">
      <c r="A10" s="32">
        <f>IF(DAY(DATE(対象年度,6,7))&lt;&gt;7,"",7)</f>
        <v>7</v>
      </c>
      <c r="B10" s="32" t="str">
        <f>IF(DAY(DATE(対象年度,6,7))&lt;&gt;7,"",CHOOSE(WEEKDAY(DATE(対象年度,6,7),2),"月","火","水","木","金","土","日"))</f>
        <v>日</v>
      </c>
      <c r="C10" s="32" t="str">
        <f>IF(DAY(DATE(対象年度,6,7))&lt;&gt;7,"",IF(ISNUMBER(MATCH(DATE(対象年度,6,7),祝日リスト,0)),"祝",""))</f>
        <v/>
      </c>
      <c r="D10" s="33"/>
      <c r="E10" s="34"/>
      <c r="F10" s="35" t="str">
        <f t="shared" si="0"/>
        <v/>
      </c>
      <c r="G10" s="36" t="str">
        <f t="shared" si="1"/>
        <v/>
      </c>
      <c r="H10" s="37"/>
      <c r="I10" s="33"/>
      <c r="J10" s="34"/>
      <c r="K10" s="35" t="str">
        <f t="shared" si="2"/>
        <v/>
      </c>
      <c r="L10" s="36" t="str">
        <f t="shared" si="3"/>
        <v/>
      </c>
      <c r="M10" s="37"/>
      <c r="N10" s="33"/>
      <c r="O10" s="34"/>
      <c r="P10" s="35" t="str">
        <f t="shared" si="4"/>
        <v/>
      </c>
      <c r="Q10" s="36" t="str">
        <f t="shared" si="5"/>
        <v/>
      </c>
      <c r="R10" s="37"/>
      <c r="S10" s="33"/>
      <c r="T10" s="34"/>
      <c r="U10" s="35" t="str">
        <f t="shared" si="6"/>
        <v/>
      </c>
      <c r="V10" s="36" t="str">
        <f t="shared" si="7"/>
        <v/>
      </c>
      <c r="W10" s="37"/>
      <c r="X10" s="33"/>
      <c r="Y10" s="34"/>
      <c r="Z10" s="35" t="str">
        <f t="shared" si="8"/>
        <v/>
      </c>
      <c r="AA10" s="36" t="str">
        <f t="shared" si="9"/>
        <v/>
      </c>
      <c r="AB10" s="37"/>
      <c r="AC10" s="33"/>
      <c r="AD10" s="34"/>
      <c r="AE10" s="35" t="str">
        <f t="shared" si="10"/>
        <v/>
      </c>
      <c r="AF10" s="36" t="str">
        <f t="shared" si="11"/>
        <v/>
      </c>
      <c r="AG10" s="37"/>
      <c r="AH10" s="33"/>
      <c r="AI10" s="34"/>
      <c r="AJ10" s="35" t="str">
        <f t="shared" si="12"/>
        <v/>
      </c>
      <c r="AK10" s="36" t="str">
        <f t="shared" si="13"/>
        <v/>
      </c>
      <c r="AL10" s="37"/>
      <c r="AM10" s="33"/>
      <c r="AN10" s="34"/>
      <c r="AO10" s="35" t="str">
        <f t="shared" si="14"/>
        <v/>
      </c>
      <c r="AP10" s="36" t="str">
        <f t="shared" si="15"/>
        <v/>
      </c>
      <c r="AQ10" s="37"/>
      <c r="AR10" s="33"/>
      <c r="AS10" s="34"/>
      <c r="AT10" s="35" t="str">
        <f t="shared" si="16"/>
        <v/>
      </c>
      <c r="AU10" s="36" t="str">
        <f t="shared" si="17"/>
        <v/>
      </c>
      <c r="AV10" s="37"/>
      <c r="AW10" s="33"/>
      <c r="AX10" s="34"/>
      <c r="AY10" s="35" t="str">
        <f t="shared" si="18"/>
        <v/>
      </c>
      <c r="AZ10" s="36" t="str">
        <f t="shared" si="19"/>
        <v/>
      </c>
      <c r="BA10" s="37"/>
      <c r="BB10" s="33"/>
      <c r="BC10" s="34"/>
      <c r="BD10" s="35" t="str">
        <f t="shared" si="20"/>
        <v/>
      </c>
      <c r="BE10" s="36" t="str">
        <f t="shared" si="21"/>
        <v/>
      </c>
      <c r="BF10" s="37"/>
      <c r="BG10" s="33"/>
      <c r="BH10" s="34"/>
      <c r="BI10" s="35" t="str">
        <f t="shared" si="22"/>
        <v/>
      </c>
      <c r="BJ10" s="36" t="str">
        <f t="shared" si="23"/>
        <v/>
      </c>
      <c r="BK10" s="37"/>
      <c r="BL10" s="33"/>
      <c r="BM10" s="34"/>
      <c r="BN10" s="35" t="str">
        <f t="shared" si="24"/>
        <v/>
      </c>
      <c r="BO10" s="36" t="str">
        <f t="shared" si="25"/>
        <v/>
      </c>
      <c r="BP10" s="37"/>
      <c r="BQ10" s="33"/>
      <c r="BR10" s="34"/>
      <c r="BS10" s="35" t="str">
        <f t="shared" si="26"/>
        <v/>
      </c>
      <c r="BT10" s="36" t="str">
        <f t="shared" si="27"/>
        <v/>
      </c>
      <c r="BU10" s="37"/>
      <c r="BV10" s="33"/>
      <c r="BW10" s="34"/>
      <c r="BX10" s="35" t="str">
        <f t="shared" si="28"/>
        <v/>
      </c>
      <c r="BY10" s="36" t="str">
        <f t="shared" si="29"/>
        <v/>
      </c>
      <c r="BZ10" s="37"/>
      <c r="CA10" s="33"/>
      <c r="CB10" s="34"/>
      <c r="CC10" s="35" t="str">
        <f t="shared" si="30"/>
        <v/>
      </c>
      <c r="CD10" s="36" t="str">
        <f t="shared" si="31"/>
        <v/>
      </c>
      <c r="CE10" s="37"/>
      <c r="CF10" s="33"/>
      <c r="CG10" s="34"/>
      <c r="CH10" s="35" t="str">
        <f t="shared" si="32"/>
        <v/>
      </c>
      <c r="CI10" s="36" t="str">
        <f t="shared" si="33"/>
        <v/>
      </c>
      <c r="CJ10" s="37"/>
      <c r="CK10" s="33"/>
      <c r="CL10" s="34"/>
      <c r="CM10" s="35" t="str">
        <f t="shared" si="34"/>
        <v/>
      </c>
      <c r="CN10" s="36" t="str">
        <f t="shared" si="35"/>
        <v/>
      </c>
      <c r="CO10" s="37"/>
      <c r="CP10" s="33"/>
      <c r="CQ10" s="34"/>
      <c r="CR10" s="35" t="str">
        <f t="shared" si="36"/>
        <v/>
      </c>
      <c r="CS10" s="36" t="str">
        <f t="shared" si="37"/>
        <v/>
      </c>
      <c r="CT10" s="37"/>
      <c r="CU10" s="33"/>
      <c r="CV10" s="34"/>
      <c r="CW10" s="35" t="str">
        <f t="shared" si="38"/>
        <v/>
      </c>
      <c r="CX10" s="36" t="str">
        <f t="shared" si="39"/>
        <v/>
      </c>
      <c r="CY10" s="37"/>
      <c r="CZ10" s="33"/>
      <c r="DA10" s="34"/>
      <c r="DB10" s="35" t="str">
        <f t="shared" si="40"/>
        <v/>
      </c>
      <c r="DC10" s="36" t="str">
        <f t="shared" si="41"/>
        <v/>
      </c>
      <c r="DD10" s="37"/>
      <c r="DE10" s="33"/>
      <c r="DF10" s="34"/>
      <c r="DG10" s="35" t="str">
        <f t="shared" si="42"/>
        <v/>
      </c>
      <c r="DH10" s="36" t="str">
        <f t="shared" si="43"/>
        <v/>
      </c>
      <c r="DI10" s="37"/>
      <c r="DJ10" s="33"/>
      <c r="DK10" s="34"/>
      <c r="DL10" s="35" t="str">
        <f t="shared" si="44"/>
        <v/>
      </c>
      <c r="DM10" s="36" t="str">
        <f t="shared" si="45"/>
        <v/>
      </c>
      <c r="DN10" s="37"/>
      <c r="DO10" s="33"/>
      <c r="DP10" s="34"/>
      <c r="DQ10" s="35" t="str">
        <f t="shared" si="46"/>
        <v/>
      </c>
      <c r="DR10" s="36" t="str">
        <f t="shared" si="47"/>
        <v/>
      </c>
      <c r="DS10" s="37"/>
      <c r="DT10" s="33"/>
      <c r="DU10" s="34"/>
      <c r="DV10" s="35" t="str">
        <f t="shared" si="48"/>
        <v/>
      </c>
      <c r="DW10" s="36" t="str">
        <f t="shared" si="49"/>
        <v/>
      </c>
      <c r="DX10" s="37"/>
      <c r="DY10" s="33"/>
      <c r="DZ10" s="34"/>
      <c r="EA10" s="35" t="str">
        <f t="shared" si="50"/>
        <v/>
      </c>
      <c r="EB10" s="36" t="str">
        <f t="shared" si="51"/>
        <v/>
      </c>
      <c r="EC10" s="37"/>
      <c r="ED10" s="33"/>
      <c r="EE10" s="34"/>
      <c r="EF10" s="35" t="str">
        <f t="shared" si="52"/>
        <v/>
      </c>
      <c r="EG10" s="36" t="str">
        <f t="shared" si="53"/>
        <v/>
      </c>
      <c r="EH10" s="37"/>
      <c r="EI10" s="33"/>
      <c r="EJ10" s="34"/>
      <c r="EK10" s="35" t="str">
        <f t="shared" si="54"/>
        <v/>
      </c>
      <c r="EL10" s="36" t="str">
        <f t="shared" si="55"/>
        <v/>
      </c>
      <c r="EM10" s="37"/>
      <c r="EN10" s="33"/>
      <c r="EO10" s="34"/>
      <c r="EP10" s="35" t="str">
        <f t="shared" si="56"/>
        <v/>
      </c>
      <c r="EQ10" s="36" t="str">
        <f t="shared" si="57"/>
        <v/>
      </c>
      <c r="ER10" s="37"/>
      <c r="ES10" s="33"/>
      <c r="ET10" s="34"/>
      <c r="EU10" s="35" t="str">
        <f t="shared" si="58"/>
        <v/>
      </c>
      <c r="EV10" s="36" t="str">
        <f t="shared" si="59"/>
        <v/>
      </c>
      <c r="EW10" s="37"/>
    </row>
    <row r="11" spans="1:153" ht="19.5" customHeight="1">
      <c r="A11" s="32">
        <f>IF(DAY(DATE(対象年度,6,8))&lt;&gt;8,"",8)</f>
        <v>8</v>
      </c>
      <c r="B11" s="32" t="str">
        <f>IF(DAY(DATE(対象年度,6,8))&lt;&gt;8,"",CHOOSE(WEEKDAY(DATE(対象年度,6,8),2),"月","火","水","木","金","土","日"))</f>
        <v>月</v>
      </c>
      <c r="C11" s="32" t="str">
        <f>IF(DAY(DATE(対象年度,6,8))&lt;&gt;8,"",IF(ISNUMBER(MATCH(DATE(対象年度,6,8),祝日リスト,0)),"祝",""))</f>
        <v/>
      </c>
      <c r="D11" s="33"/>
      <c r="E11" s="34"/>
      <c r="F11" s="35" t="str">
        <f t="shared" si="0"/>
        <v/>
      </c>
      <c r="G11" s="36" t="str">
        <f t="shared" si="1"/>
        <v/>
      </c>
      <c r="H11" s="37"/>
      <c r="I11" s="33"/>
      <c r="J11" s="34"/>
      <c r="K11" s="35" t="str">
        <f t="shared" si="2"/>
        <v/>
      </c>
      <c r="L11" s="36" t="str">
        <f t="shared" si="3"/>
        <v/>
      </c>
      <c r="M11" s="37"/>
      <c r="N11" s="33"/>
      <c r="O11" s="34"/>
      <c r="P11" s="35" t="str">
        <f t="shared" si="4"/>
        <v/>
      </c>
      <c r="Q11" s="36" t="str">
        <f t="shared" si="5"/>
        <v/>
      </c>
      <c r="R11" s="37"/>
      <c r="S11" s="33"/>
      <c r="T11" s="34"/>
      <c r="U11" s="35" t="str">
        <f t="shared" si="6"/>
        <v/>
      </c>
      <c r="V11" s="36" t="str">
        <f t="shared" si="7"/>
        <v/>
      </c>
      <c r="W11" s="37"/>
      <c r="X11" s="33"/>
      <c r="Y11" s="34"/>
      <c r="Z11" s="35" t="str">
        <f t="shared" si="8"/>
        <v/>
      </c>
      <c r="AA11" s="36" t="str">
        <f t="shared" si="9"/>
        <v/>
      </c>
      <c r="AB11" s="37"/>
      <c r="AC11" s="33"/>
      <c r="AD11" s="34"/>
      <c r="AE11" s="35" t="str">
        <f t="shared" si="10"/>
        <v/>
      </c>
      <c r="AF11" s="36" t="str">
        <f t="shared" si="11"/>
        <v/>
      </c>
      <c r="AG11" s="37"/>
      <c r="AH11" s="33"/>
      <c r="AI11" s="34"/>
      <c r="AJ11" s="35" t="str">
        <f t="shared" si="12"/>
        <v/>
      </c>
      <c r="AK11" s="36" t="str">
        <f t="shared" si="13"/>
        <v/>
      </c>
      <c r="AL11" s="37"/>
      <c r="AM11" s="33"/>
      <c r="AN11" s="34"/>
      <c r="AO11" s="35" t="str">
        <f t="shared" si="14"/>
        <v/>
      </c>
      <c r="AP11" s="36" t="str">
        <f t="shared" si="15"/>
        <v/>
      </c>
      <c r="AQ11" s="37"/>
      <c r="AR11" s="33"/>
      <c r="AS11" s="34"/>
      <c r="AT11" s="35" t="str">
        <f t="shared" si="16"/>
        <v/>
      </c>
      <c r="AU11" s="36" t="str">
        <f t="shared" si="17"/>
        <v/>
      </c>
      <c r="AV11" s="37"/>
      <c r="AW11" s="33"/>
      <c r="AX11" s="34"/>
      <c r="AY11" s="35" t="str">
        <f t="shared" si="18"/>
        <v/>
      </c>
      <c r="AZ11" s="36" t="str">
        <f t="shared" si="19"/>
        <v/>
      </c>
      <c r="BA11" s="37"/>
      <c r="BB11" s="33"/>
      <c r="BC11" s="34"/>
      <c r="BD11" s="35" t="str">
        <f t="shared" si="20"/>
        <v/>
      </c>
      <c r="BE11" s="36" t="str">
        <f t="shared" si="21"/>
        <v/>
      </c>
      <c r="BF11" s="37"/>
      <c r="BG11" s="33"/>
      <c r="BH11" s="34"/>
      <c r="BI11" s="35" t="str">
        <f t="shared" si="22"/>
        <v/>
      </c>
      <c r="BJ11" s="36" t="str">
        <f t="shared" si="23"/>
        <v/>
      </c>
      <c r="BK11" s="37"/>
      <c r="BL11" s="33"/>
      <c r="BM11" s="34"/>
      <c r="BN11" s="35" t="str">
        <f t="shared" si="24"/>
        <v/>
      </c>
      <c r="BO11" s="36" t="str">
        <f t="shared" si="25"/>
        <v/>
      </c>
      <c r="BP11" s="37"/>
      <c r="BQ11" s="33"/>
      <c r="BR11" s="34"/>
      <c r="BS11" s="35" t="str">
        <f t="shared" si="26"/>
        <v/>
      </c>
      <c r="BT11" s="36" t="str">
        <f t="shared" si="27"/>
        <v/>
      </c>
      <c r="BU11" s="37"/>
      <c r="BV11" s="33"/>
      <c r="BW11" s="34"/>
      <c r="BX11" s="35" t="str">
        <f t="shared" si="28"/>
        <v/>
      </c>
      <c r="BY11" s="36" t="str">
        <f t="shared" si="29"/>
        <v/>
      </c>
      <c r="BZ11" s="37"/>
      <c r="CA11" s="33"/>
      <c r="CB11" s="34"/>
      <c r="CC11" s="35" t="str">
        <f t="shared" si="30"/>
        <v/>
      </c>
      <c r="CD11" s="36" t="str">
        <f t="shared" si="31"/>
        <v/>
      </c>
      <c r="CE11" s="37"/>
      <c r="CF11" s="33"/>
      <c r="CG11" s="34"/>
      <c r="CH11" s="35" t="str">
        <f t="shared" si="32"/>
        <v/>
      </c>
      <c r="CI11" s="36" t="str">
        <f t="shared" si="33"/>
        <v/>
      </c>
      <c r="CJ11" s="37"/>
      <c r="CK11" s="33"/>
      <c r="CL11" s="34"/>
      <c r="CM11" s="35" t="str">
        <f t="shared" si="34"/>
        <v/>
      </c>
      <c r="CN11" s="36" t="str">
        <f t="shared" si="35"/>
        <v/>
      </c>
      <c r="CO11" s="37"/>
      <c r="CP11" s="33"/>
      <c r="CQ11" s="34"/>
      <c r="CR11" s="35" t="str">
        <f t="shared" si="36"/>
        <v/>
      </c>
      <c r="CS11" s="36" t="str">
        <f t="shared" si="37"/>
        <v/>
      </c>
      <c r="CT11" s="37"/>
      <c r="CU11" s="33"/>
      <c r="CV11" s="34"/>
      <c r="CW11" s="35" t="str">
        <f t="shared" si="38"/>
        <v/>
      </c>
      <c r="CX11" s="36" t="str">
        <f t="shared" si="39"/>
        <v/>
      </c>
      <c r="CY11" s="37"/>
      <c r="CZ11" s="33"/>
      <c r="DA11" s="34"/>
      <c r="DB11" s="35" t="str">
        <f t="shared" si="40"/>
        <v/>
      </c>
      <c r="DC11" s="36" t="str">
        <f t="shared" si="41"/>
        <v/>
      </c>
      <c r="DD11" s="37"/>
      <c r="DE11" s="33"/>
      <c r="DF11" s="34"/>
      <c r="DG11" s="35" t="str">
        <f t="shared" si="42"/>
        <v/>
      </c>
      <c r="DH11" s="36" t="str">
        <f t="shared" si="43"/>
        <v/>
      </c>
      <c r="DI11" s="37"/>
      <c r="DJ11" s="33"/>
      <c r="DK11" s="34"/>
      <c r="DL11" s="35" t="str">
        <f t="shared" si="44"/>
        <v/>
      </c>
      <c r="DM11" s="36" t="str">
        <f t="shared" si="45"/>
        <v/>
      </c>
      <c r="DN11" s="37"/>
      <c r="DO11" s="33"/>
      <c r="DP11" s="34"/>
      <c r="DQ11" s="35" t="str">
        <f t="shared" si="46"/>
        <v/>
      </c>
      <c r="DR11" s="36" t="str">
        <f t="shared" si="47"/>
        <v/>
      </c>
      <c r="DS11" s="37"/>
      <c r="DT11" s="33"/>
      <c r="DU11" s="34"/>
      <c r="DV11" s="35" t="str">
        <f t="shared" si="48"/>
        <v/>
      </c>
      <c r="DW11" s="36" t="str">
        <f t="shared" si="49"/>
        <v/>
      </c>
      <c r="DX11" s="37"/>
      <c r="DY11" s="33"/>
      <c r="DZ11" s="34"/>
      <c r="EA11" s="35" t="str">
        <f t="shared" si="50"/>
        <v/>
      </c>
      <c r="EB11" s="36" t="str">
        <f t="shared" si="51"/>
        <v/>
      </c>
      <c r="EC11" s="37"/>
      <c r="ED11" s="33"/>
      <c r="EE11" s="34"/>
      <c r="EF11" s="35" t="str">
        <f t="shared" si="52"/>
        <v/>
      </c>
      <c r="EG11" s="36" t="str">
        <f t="shared" si="53"/>
        <v/>
      </c>
      <c r="EH11" s="37"/>
      <c r="EI11" s="33"/>
      <c r="EJ11" s="34"/>
      <c r="EK11" s="35" t="str">
        <f t="shared" si="54"/>
        <v/>
      </c>
      <c r="EL11" s="36" t="str">
        <f t="shared" si="55"/>
        <v/>
      </c>
      <c r="EM11" s="37"/>
      <c r="EN11" s="33"/>
      <c r="EO11" s="34"/>
      <c r="EP11" s="35" t="str">
        <f t="shared" si="56"/>
        <v/>
      </c>
      <c r="EQ11" s="36" t="str">
        <f t="shared" si="57"/>
        <v/>
      </c>
      <c r="ER11" s="37"/>
      <c r="ES11" s="33"/>
      <c r="ET11" s="34"/>
      <c r="EU11" s="35" t="str">
        <f t="shared" si="58"/>
        <v/>
      </c>
      <c r="EV11" s="36" t="str">
        <f t="shared" si="59"/>
        <v/>
      </c>
      <c r="EW11" s="37"/>
    </row>
    <row r="12" spans="1:153" ht="19.5" customHeight="1">
      <c r="A12" s="32">
        <f>IF(DAY(DATE(対象年度,6,9))&lt;&gt;9,"",9)</f>
        <v>9</v>
      </c>
      <c r="B12" s="32" t="str">
        <f>IF(DAY(DATE(対象年度,6,9))&lt;&gt;9,"",CHOOSE(WEEKDAY(DATE(対象年度,6,9),2),"月","火","水","木","金","土","日"))</f>
        <v>火</v>
      </c>
      <c r="C12" s="32" t="str">
        <f>IF(DAY(DATE(対象年度,6,9))&lt;&gt;9,"",IF(ISNUMBER(MATCH(DATE(対象年度,6,9),祝日リスト,0)),"祝",""))</f>
        <v/>
      </c>
      <c r="D12" s="33"/>
      <c r="E12" s="34"/>
      <c r="F12" s="35" t="str">
        <f t="shared" si="0"/>
        <v/>
      </c>
      <c r="G12" s="36" t="str">
        <f t="shared" si="1"/>
        <v/>
      </c>
      <c r="H12" s="37"/>
      <c r="I12" s="33"/>
      <c r="J12" s="34"/>
      <c r="K12" s="35" t="str">
        <f t="shared" si="2"/>
        <v/>
      </c>
      <c r="L12" s="36" t="str">
        <f t="shared" si="3"/>
        <v/>
      </c>
      <c r="M12" s="37"/>
      <c r="N12" s="33"/>
      <c r="O12" s="34"/>
      <c r="P12" s="35" t="str">
        <f t="shared" si="4"/>
        <v/>
      </c>
      <c r="Q12" s="36" t="str">
        <f t="shared" si="5"/>
        <v/>
      </c>
      <c r="R12" s="37"/>
      <c r="S12" s="33"/>
      <c r="T12" s="34"/>
      <c r="U12" s="35" t="str">
        <f t="shared" si="6"/>
        <v/>
      </c>
      <c r="V12" s="36" t="str">
        <f t="shared" si="7"/>
        <v/>
      </c>
      <c r="W12" s="37"/>
      <c r="X12" s="33"/>
      <c r="Y12" s="34"/>
      <c r="Z12" s="35" t="str">
        <f t="shared" si="8"/>
        <v/>
      </c>
      <c r="AA12" s="36" t="str">
        <f t="shared" si="9"/>
        <v/>
      </c>
      <c r="AB12" s="37"/>
      <c r="AC12" s="33"/>
      <c r="AD12" s="34"/>
      <c r="AE12" s="35" t="str">
        <f t="shared" si="10"/>
        <v/>
      </c>
      <c r="AF12" s="36" t="str">
        <f t="shared" si="11"/>
        <v/>
      </c>
      <c r="AG12" s="37"/>
      <c r="AH12" s="33"/>
      <c r="AI12" s="34"/>
      <c r="AJ12" s="35" t="str">
        <f t="shared" si="12"/>
        <v/>
      </c>
      <c r="AK12" s="36" t="str">
        <f t="shared" si="13"/>
        <v/>
      </c>
      <c r="AL12" s="37"/>
      <c r="AM12" s="33"/>
      <c r="AN12" s="34"/>
      <c r="AO12" s="35" t="str">
        <f t="shared" si="14"/>
        <v/>
      </c>
      <c r="AP12" s="36" t="str">
        <f t="shared" si="15"/>
        <v/>
      </c>
      <c r="AQ12" s="37"/>
      <c r="AR12" s="33"/>
      <c r="AS12" s="34"/>
      <c r="AT12" s="35" t="str">
        <f t="shared" si="16"/>
        <v/>
      </c>
      <c r="AU12" s="36" t="str">
        <f t="shared" si="17"/>
        <v/>
      </c>
      <c r="AV12" s="37"/>
      <c r="AW12" s="33"/>
      <c r="AX12" s="34"/>
      <c r="AY12" s="35" t="str">
        <f t="shared" si="18"/>
        <v/>
      </c>
      <c r="AZ12" s="36" t="str">
        <f t="shared" si="19"/>
        <v/>
      </c>
      <c r="BA12" s="37"/>
      <c r="BB12" s="33"/>
      <c r="BC12" s="34"/>
      <c r="BD12" s="35" t="str">
        <f t="shared" si="20"/>
        <v/>
      </c>
      <c r="BE12" s="36" t="str">
        <f t="shared" si="21"/>
        <v/>
      </c>
      <c r="BF12" s="37"/>
      <c r="BG12" s="33"/>
      <c r="BH12" s="34"/>
      <c r="BI12" s="35" t="str">
        <f t="shared" si="22"/>
        <v/>
      </c>
      <c r="BJ12" s="36" t="str">
        <f t="shared" si="23"/>
        <v/>
      </c>
      <c r="BK12" s="37"/>
      <c r="BL12" s="33"/>
      <c r="BM12" s="34"/>
      <c r="BN12" s="35" t="str">
        <f t="shared" si="24"/>
        <v/>
      </c>
      <c r="BO12" s="36" t="str">
        <f t="shared" si="25"/>
        <v/>
      </c>
      <c r="BP12" s="37"/>
      <c r="BQ12" s="33"/>
      <c r="BR12" s="34"/>
      <c r="BS12" s="35" t="str">
        <f t="shared" si="26"/>
        <v/>
      </c>
      <c r="BT12" s="36" t="str">
        <f t="shared" si="27"/>
        <v/>
      </c>
      <c r="BU12" s="37"/>
      <c r="BV12" s="33"/>
      <c r="BW12" s="34"/>
      <c r="BX12" s="35" t="str">
        <f t="shared" si="28"/>
        <v/>
      </c>
      <c r="BY12" s="36" t="str">
        <f t="shared" si="29"/>
        <v/>
      </c>
      <c r="BZ12" s="37"/>
      <c r="CA12" s="33"/>
      <c r="CB12" s="34"/>
      <c r="CC12" s="35" t="str">
        <f t="shared" si="30"/>
        <v/>
      </c>
      <c r="CD12" s="36" t="str">
        <f t="shared" si="31"/>
        <v/>
      </c>
      <c r="CE12" s="37"/>
      <c r="CF12" s="33"/>
      <c r="CG12" s="34"/>
      <c r="CH12" s="35" t="str">
        <f t="shared" si="32"/>
        <v/>
      </c>
      <c r="CI12" s="36" t="str">
        <f t="shared" si="33"/>
        <v/>
      </c>
      <c r="CJ12" s="37"/>
      <c r="CK12" s="33"/>
      <c r="CL12" s="34"/>
      <c r="CM12" s="35" t="str">
        <f t="shared" si="34"/>
        <v/>
      </c>
      <c r="CN12" s="36" t="str">
        <f t="shared" si="35"/>
        <v/>
      </c>
      <c r="CO12" s="37"/>
      <c r="CP12" s="33"/>
      <c r="CQ12" s="34"/>
      <c r="CR12" s="35" t="str">
        <f t="shared" si="36"/>
        <v/>
      </c>
      <c r="CS12" s="36" t="str">
        <f t="shared" si="37"/>
        <v/>
      </c>
      <c r="CT12" s="37"/>
      <c r="CU12" s="33"/>
      <c r="CV12" s="34"/>
      <c r="CW12" s="35" t="str">
        <f t="shared" si="38"/>
        <v/>
      </c>
      <c r="CX12" s="36" t="str">
        <f t="shared" si="39"/>
        <v/>
      </c>
      <c r="CY12" s="37"/>
      <c r="CZ12" s="33"/>
      <c r="DA12" s="34"/>
      <c r="DB12" s="35" t="str">
        <f t="shared" si="40"/>
        <v/>
      </c>
      <c r="DC12" s="36" t="str">
        <f t="shared" si="41"/>
        <v/>
      </c>
      <c r="DD12" s="37"/>
      <c r="DE12" s="33"/>
      <c r="DF12" s="34"/>
      <c r="DG12" s="35" t="str">
        <f t="shared" si="42"/>
        <v/>
      </c>
      <c r="DH12" s="36" t="str">
        <f t="shared" si="43"/>
        <v/>
      </c>
      <c r="DI12" s="37"/>
      <c r="DJ12" s="33"/>
      <c r="DK12" s="34"/>
      <c r="DL12" s="35" t="str">
        <f t="shared" si="44"/>
        <v/>
      </c>
      <c r="DM12" s="36" t="str">
        <f t="shared" si="45"/>
        <v/>
      </c>
      <c r="DN12" s="37"/>
      <c r="DO12" s="33"/>
      <c r="DP12" s="34"/>
      <c r="DQ12" s="35" t="str">
        <f t="shared" si="46"/>
        <v/>
      </c>
      <c r="DR12" s="36" t="str">
        <f t="shared" si="47"/>
        <v/>
      </c>
      <c r="DS12" s="37"/>
      <c r="DT12" s="33"/>
      <c r="DU12" s="34"/>
      <c r="DV12" s="35" t="str">
        <f t="shared" si="48"/>
        <v/>
      </c>
      <c r="DW12" s="36" t="str">
        <f t="shared" si="49"/>
        <v/>
      </c>
      <c r="DX12" s="37"/>
      <c r="DY12" s="33"/>
      <c r="DZ12" s="34"/>
      <c r="EA12" s="35" t="str">
        <f t="shared" si="50"/>
        <v/>
      </c>
      <c r="EB12" s="36" t="str">
        <f t="shared" si="51"/>
        <v/>
      </c>
      <c r="EC12" s="37"/>
      <c r="ED12" s="33"/>
      <c r="EE12" s="34"/>
      <c r="EF12" s="35" t="str">
        <f t="shared" si="52"/>
        <v/>
      </c>
      <c r="EG12" s="36" t="str">
        <f t="shared" si="53"/>
        <v/>
      </c>
      <c r="EH12" s="37"/>
      <c r="EI12" s="33"/>
      <c r="EJ12" s="34"/>
      <c r="EK12" s="35" t="str">
        <f t="shared" si="54"/>
        <v/>
      </c>
      <c r="EL12" s="36" t="str">
        <f t="shared" si="55"/>
        <v/>
      </c>
      <c r="EM12" s="37"/>
      <c r="EN12" s="33"/>
      <c r="EO12" s="34"/>
      <c r="EP12" s="35" t="str">
        <f t="shared" si="56"/>
        <v/>
      </c>
      <c r="EQ12" s="36" t="str">
        <f t="shared" si="57"/>
        <v/>
      </c>
      <c r="ER12" s="37"/>
      <c r="ES12" s="33"/>
      <c r="ET12" s="34"/>
      <c r="EU12" s="35" t="str">
        <f t="shared" si="58"/>
        <v/>
      </c>
      <c r="EV12" s="36" t="str">
        <f t="shared" si="59"/>
        <v/>
      </c>
      <c r="EW12" s="37"/>
    </row>
    <row r="13" spans="1:153" ht="19.5" customHeight="1">
      <c r="A13" s="32">
        <f>IF(DAY(DATE(対象年度,6,10))&lt;&gt;10,"",10)</f>
        <v>10</v>
      </c>
      <c r="B13" s="32" t="str">
        <f>IF(DAY(DATE(対象年度,6,10))&lt;&gt;10,"",CHOOSE(WEEKDAY(DATE(対象年度,6,10),2),"月","火","水","木","金","土","日"))</f>
        <v>水</v>
      </c>
      <c r="C13" s="32" t="str">
        <f>IF(DAY(DATE(対象年度,6,10))&lt;&gt;10,"",IF(ISNUMBER(MATCH(DATE(対象年度,6,10),祝日リスト,0)),"祝",""))</f>
        <v/>
      </c>
      <c r="D13" s="33"/>
      <c r="E13" s="34"/>
      <c r="F13" s="35" t="str">
        <f t="shared" si="0"/>
        <v/>
      </c>
      <c r="G13" s="36" t="str">
        <f t="shared" si="1"/>
        <v/>
      </c>
      <c r="H13" s="37"/>
      <c r="I13" s="33"/>
      <c r="J13" s="34"/>
      <c r="K13" s="35" t="str">
        <f t="shared" si="2"/>
        <v/>
      </c>
      <c r="L13" s="36" t="str">
        <f t="shared" si="3"/>
        <v/>
      </c>
      <c r="M13" s="37"/>
      <c r="N13" s="33"/>
      <c r="O13" s="34"/>
      <c r="P13" s="35" t="str">
        <f t="shared" si="4"/>
        <v/>
      </c>
      <c r="Q13" s="36" t="str">
        <f t="shared" si="5"/>
        <v/>
      </c>
      <c r="R13" s="37"/>
      <c r="S13" s="33"/>
      <c r="T13" s="34"/>
      <c r="U13" s="35" t="str">
        <f t="shared" si="6"/>
        <v/>
      </c>
      <c r="V13" s="36" t="str">
        <f t="shared" si="7"/>
        <v/>
      </c>
      <c r="W13" s="37"/>
      <c r="X13" s="33"/>
      <c r="Y13" s="34"/>
      <c r="Z13" s="35" t="str">
        <f t="shared" si="8"/>
        <v/>
      </c>
      <c r="AA13" s="36" t="str">
        <f t="shared" si="9"/>
        <v/>
      </c>
      <c r="AB13" s="37"/>
      <c r="AC13" s="33"/>
      <c r="AD13" s="34"/>
      <c r="AE13" s="35" t="str">
        <f t="shared" si="10"/>
        <v/>
      </c>
      <c r="AF13" s="36" t="str">
        <f t="shared" si="11"/>
        <v/>
      </c>
      <c r="AG13" s="37"/>
      <c r="AH13" s="33"/>
      <c r="AI13" s="34"/>
      <c r="AJ13" s="35" t="str">
        <f t="shared" si="12"/>
        <v/>
      </c>
      <c r="AK13" s="36" t="str">
        <f t="shared" si="13"/>
        <v/>
      </c>
      <c r="AL13" s="37"/>
      <c r="AM13" s="33"/>
      <c r="AN13" s="34"/>
      <c r="AO13" s="35" t="str">
        <f t="shared" si="14"/>
        <v/>
      </c>
      <c r="AP13" s="36" t="str">
        <f t="shared" si="15"/>
        <v/>
      </c>
      <c r="AQ13" s="37"/>
      <c r="AR13" s="33"/>
      <c r="AS13" s="34"/>
      <c r="AT13" s="35" t="str">
        <f t="shared" si="16"/>
        <v/>
      </c>
      <c r="AU13" s="36" t="str">
        <f t="shared" si="17"/>
        <v/>
      </c>
      <c r="AV13" s="37"/>
      <c r="AW13" s="33"/>
      <c r="AX13" s="34"/>
      <c r="AY13" s="35" t="str">
        <f t="shared" si="18"/>
        <v/>
      </c>
      <c r="AZ13" s="36" t="str">
        <f t="shared" si="19"/>
        <v/>
      </c>
      <c r="BA13" s="37"/>
      <c r="BB13" s="33"/>
      <c r="BC13" s="34"/>
      <c r="BD13" s="35" t="str">
        <f t="shared" si="20"/>
        <v/>
      </c>
      <c r="BE13" s="36" t="str">
        <f t="shared" si="21"/>
        <v/>
      </c>
      <c r="BF13" s="37"/>
      <c r="BG13" s="33"/>
      <c r="BH13" s="34"/>
      <c r="BI13" s="35" t="str">
        <f t="shared" si="22"/>
        <v/>
      </c>
      <c r="BJ13" s="36" t="str">
        <f t="shared" si="23"/>
        <v/>
      </c>
      <c r="BK13" s="37"/>
      <c r="BL13" s="33"/>
      <c r="BM13" s="34"/>
      <c r="BN13" s="35" t="str">
        <f t="shared" si="24"/>
        <v/>
      </c>
      <c r="BO13" s="36" t="str">
        <f t="shared" si="25"/>
        <v/>
      </c>
      <c r="BP13" s="37"/>
      <c r="BQ13" s="33"/>
      <c r="BR13" s="34"/>
      <c r="BS13" s="35" t="str">
        <f t="shared" si="26"/>
        <v/>
      </c>
      <c r="BT13" s="36" t="str">
        <f t="shared" si="27"/>
        <v/>
      </c>
      <c r="BU13" s="37"/>
      <c r="BV13" s="33"/>
      <c r="BW13" s="34"/>
      <c r="BX13" s="35" t="str">
        <f t="shared" si="28"/>
        <v/>
      </c>
      <c r="BY13" s="36" t="str">
        <f t="shared" si="29"/>
        <v/>
      </c>
      <c r="BZ13" s="37"/>
      <c r="CA13" s="33"/>
      <c r="CB13" s="34"/>
      <c r="CC13" s="35" t="str">
        <f t="shared" si="30"/>
        <v/>
      </c>
      <c r="CD13" s="36" t="str">
        <f t="shared" si="31"/>
        <v/>
      </c>
      <c r="CE13" s="37"/>
      <c r="CF13" s="33"/>
      <c r="CG13" s="34"/>
      <c r="CH13" s="35" t="str">
        <f t="shared" si="32"/>
        <v/>
      </c>
      <c r="CI13" s="36" t="str">
        <f t="shared" si="33"/>
        <v/>
      </c>
      <c r="CJ13" s="37"/>
      <c r="CK13" s="33"/>
      <c r="CL13" s="34"/>
      <c r="CM13" s="35" t="str">
        <f t="shared" si="34"/>
        <v/>
      </c>
      <c r="CN13" s="36" t="str">
        <f t="shared" si="35"/>
        <v/>
      </c>
      <c r="CO13" s="37"/>
      <c r="CP13" s="33"/>
      <c r="CQ13" s="34"/>
      <c r="CR13" s="35" t="str">
        <f t="shared" si="36"/>
        <v/>
      </c>
      <c r="CS13" s="36" t="str">
        <f t="shared" si="37"/>
        <v/>
      </c>
      <c r="CT13" s="37"/>
      <c r="CU13" s="33"/>
      <c r="CV13" s="34"/>
      <c r="CW13" s="35" t="str">
        <f t="shared" si="38"/>
        <v/>
      </c>
      <c r="CX13" s="36" t="str">
        <f t="shared" si="39"/>
        <v/>
      </c>
      <c r="CY13" s="37"/>
      <c r="CZ13" s="33"/>
      <c r="DA13" s="34"/>
      <c r="DB13" s="35" t="str">
        <f t="shared" si="40"/>
        <v/>
      </c>
      <c r="DC13" s="36" t="str">
        <f t="shared" si="41"/>
        <v/>
      </c>
      <c r="DD13" s="37"/>
      <c r="DE13" s="33"/>
      <c r="DF13" s="34"/>
      <c r="DG13" s="35" t="str">
        <f t="shared" si="42"/>
        <v/>
      </c>
      <c r="DH13" s="36" t="str">
        <f t="shared" si="43"/>
        <v/>
      </c>
      <c r="DI13" s="37"/>
      <c r="DJ13" s="33"/>
      <c r="DK13" s="34"/>
      <c r="DL13" s="35" t="str">
        <f t="shared" si="44"/>
        <v/>
      </c>
      <c r="DM13" s="36" t="str">
        <f t="shared" si="45"/>
        <v/>
      </c>
      <c r="DN13" s="37"/>
      <c r="DO13" s="33"/>
      <c r="DP13" s="34"/>
      <c r="DQ13" s="35" t="str">
        <f t="shared" si="46"/>
        <v/>
      </c>
      <c r="DR13" s="36" t="str">
        <f t="shared" si="47"/>
        <v/>
      </c>
      <c r="DS13" s="37"/>
      <c r="DT13" s="33"/>
      <c r="DU13" s="34"/>
      <c r="DV13" s="35" t="str">
        <f t="shared" si="48"/>
        <v/>
      </c>
      <c r="DW13" s="36" t="str">
        <f t="shared" si="49"/>
        <v/>
      </c>
      <c r="DX13" s="37"/>
      <c r="DY13" s="33"/>
      <c r="DZ13" s="34"/>
      <c r="EA13" s="35" t="str">
        <f t="shared" si="50"/>
        <v/>
      </c>
      <c r="EB13" s="36" t="str">
        <f t="shared" si="51"/>
        <v/>
      </c>
      <c r="EC13" s="37"/>
      <c r="ED13" s="33"/>
      <c r="EE13" s="34"/>
      <c r="EF13" s="35" t="str">
        <f t="shared" si="52"/>
        <v/>
      </c>
      <c r="EG13" s="36" t="str">
        <f t="shared" si="53"/>
        <v/>
      </c>
      <c r="EH13" s="37"/>
      <c r="EI13" s="33"/>
      <c r="EJ13" s="34"/>
      <c r="EK13" s="35" t="str">
        <f t="shared" si="54"/>
        <v/>
      </c>
      <c r="EL13" s="36" t="str">
        <f t="shared" si="55"/>
        <v/>
      </c>
      <c r="EM13" s="37"/>
      <c r="EN13" s="33"/>
      <c r="EO13" s="34"/>
      <c r="EP13" s="35" t="str">
        <f t="shared" si="56"/>
        <v/>
      </c>
      <c r="EQ13" s="36" t="str">
        <f t="shared" si="57"/>
        <v/>
      </c>
      <c r="ER13" s="37"/>
      <c r="ES13" s="33"/>
      <c r="ET13" s="34"/>
      <c r="EU13" s="35" t="str">
        <f t="shared" si="58"/>
        <v/>
      </c>
      <c r="EV13" s="36" t="str">
        <f t="shared" si="59"/>
        <v/>
      </c>
      <c r="EW13" s="37"/>
    </row>
    <row r="14" spans="1:153" ht="19.5" customHeight="1">
      <c r="A14" s="32">
        <f>IF(DAY(DATE(対象年度,6,11))&lt;&gt;11,"",11)</f>
        <v>11</v>
      </c>
      <c r="B14" s="32" t="str">
        <f>IF(DAY(DATE(対象年度,6,11))&lt;&gt;11,"",CHOOSE(WEEKDAY(DATE(対象年度,6,11),2),"月","火","水","木","金","土","日"))</f>
        <v>木</v>
      </c>
      <c r="C14" s="32" t="str">
        <f>IF(DAY(DATE(対象年度,6,11))&lt;&gt;11,"",IF(ISNUMBER(MATCH(DATE(対象年度,6,11),祝日リスト,0)),"祝",""))</f>
        <v/>
      </c>
      <c r="D14" s="33"/>
      <c r="E14" s="34"/>
      <c r="F14" s="35" t="str">
        <f t="shared" si="0"/>
        <v/>
      </c>
      <c r="G14" s="36" t="str">
        <f t="shared" si="1"/>
        <v/>
      </c>
      <c r="H14" s="37"/>
      <c r="I14" s="33"/>
      <c r="J14" s="34"/>
      <c r="K14" s="35" t="str">
        <f t="shared" si="2"/>
        <v/>
      </c>
      <c r="L14" s="36" t="str">
        <f t="shared" si="3"/>
        <v/>
      </c>
      <c r="M14" s="37"/>
      <c r="N14" s="33"/>
      <c r="O14" s="34"/>
      <c r="P14" s="35" t="str">
        <f t="shared" si="4"/>
        <v/>
      </c>
      <c r="Q14" s="36" t="str">
        <f t="shared" si="5"/>
        <v/>
      </c>
      <c r="R14" s="37"/>
      <c r="S14" s="33"/>
      <c r="T14" s="34"/>
      <c r="U14" s="35" t="str">
        <f t="shared" si="6"/>
        <v/>
      </c>
      <c r="V14" s="36" t="str">
        <f t="shared" si="7"/>
        <v/>
      </c>
      <c r="W14" s="37"/>
      <c r="X14" s="33"/>
      <c r="Y14" s="34"/>
      <c r="Z14" s="35" t="str">
        <f t="shared" si="8"/>
        <v/>
      </c>
      <c r="AA14" s="36" t="str">
        <f t="shared" si="9"/>
        <v/>
      </c>
      <c r="AB14" s="37"/>
      <c r="AC14" s="33"/>
      <c r="AD14" s="34"/>
      <c r="AE14" s="35" t="str">
        <f t="shared" si="10"/>
        <v/>
      </c>
      <c r="AF14" s="36" t="str">
        <f t="shared" si="11"/>
        <v/>
      </c>
      <c r="AG14" s="37"/>
      <c r="AH14" s="33"/>
      <c r="AI14" s="34"/>
      <c r="AJ14" s="35" t="str">
        <f t="shared" si="12"/>
        <v/>
      </c>
      <c r="AK14" s="36" t="str">
        <f t="shared" si="13"/>
        <v/>
      </c>
      <c r="AL14" s="37"/>
      <c r="AM14" s="33"/>
      <c r="AN14" s="34"/>
      <c r="AO14" s="35" t="str">
        <f t="shared" si="14"/>
        <v/>
      </c>
      <c r="AP14" s="36" t="str">
        <f t="shared" si="15"/>
        <v/>
      </c>
      <c r="AQ14" s="37"/>
      <c r="AR14" s="33"/>
      <c r="AS14" s="34"/>
      <c r="AT14" s="35" t="str">
        <f t="shared" si="16"/>
        <v/>
      </c>
      <c r="AU14" s="36" t="str">
        <f t="shared" si="17"/>
        <v/>
      </c>
      <c r="AV14" s="37"/>
      <c r="AW14" s="33"/>
      <c r="AX14" s="34"/>
      <c r="AY14" s="35" t="str">
        <f t="shared" si="18"/>
        <v/>
      </c>
      <c r="AZ14" s="36" t="str">
        <f t="shared" si="19"/>
        <v/>
      </c>
      <c r="BA14" s="37"/>
      <c r="BB14" s="33"/>
      <c r="BC14" s="34"/>
      <c r="BD14" s="35" t="str">
        <f t="shared" si="20"/>
        <v/>
      </c>
      <c r="BE14" s="36" t="str">
        <f t="shared" si="21"/>
        <v/>
      </c>
      <c r="BF14" s="37"/>
      <c r="BG14" s="33"/>
      <c r="BH14" s="34"/>
      <c r="BI14" s="35" t="str">
        <f t="shared" si="22"/>
        <v/>
      </c>
      <c r="BJ14" s="36" t="str">
        <f t="shared" si="23"/>
        <v/>
      </c>
      <c r="BK14" s="37"/>
      <c r="BL14" s="33"/>
      <c r="BM14" s="34"/>
      <c r="BN14" s="35" t="str">
        <f t="shared" si="24"/>
        <v/>
      </c>
      <c r="BO14" s="36" t="str">
        <f t="shared" si="25"/>
        <v/>
      </c>
      <c r="BP14" s="37"/>
      <c r="BQ14" s="33"/>
      <c r="BR14" s="34"/>
      <c r="BS14" s="35" t="str">
        <f t="shared" si="26"/>
        <v/>
      </c>
      <c r="BT14" s="36" t="str">
        <f t="shared" si="27"/>
        <v/>
      </c>
      <c r="BU14" s="37"/>
      <c r="BV14" s="33"/>
      <c r="BW14" s="34"/>
      <c r="BX14" s="35" t="str">
        <f t="shared" si="28"/>
        <v/>
      </c>
      <c r="BY14" s="36" t="str">
        <f t="shared" si="29"/>
        <v/>
      </c>
      <c r="BZ14" s="37"/>
      <c r="CA14" s="33"/>
      <c r="CB14" s="34"/>
      <c r="CC14" s="35" t="str">
        <f t="shared" si="30"/>
        <v/>
      </c>
      <c r="CD14" s="36" t="str">
        <f t="shared" si="31"/>
        <v/>
      </c>
      <c r="CE14" s="37"/>
      <c r="CF14" s="33"/>
      <c r="CG14" s="34"/>
      <c r="CH14" s="35" t="str">
        <f t="shared" si="32"/>
        <v/>
      </c>
      <c r="CI14" s="36" t="str">
        <f t="shared" si="33"/>
        <v/>
      </c>
      <c r="CJ14" s="37"/>
      <c r="CK14" s="33"/>
      <c r="CL14" s="34"/>
      <c r="CM14" s="35" t="str">
        <f t="shared" si="34"/>
        <v/>
      </c>
      <c r="CN14" s="36" t="str">
        <f t="shared" si="35"/>
        <v/>
      </c>
      <c r="CO14" s="37"/>
      <c r="CP14" s="33"/>
      <c r="CQ14" s="34"/>
      <c r="CR14" s="35" t="str">
        <f t="shared" si="36"/>
        <v/>
      </c>
      <c r="CS14" s="36" t="str">
        <f t="shared" si="37"/>
        <v/>
      </c>
      <c r="CT14" s="37"/>
      <c r="CU14" s="33"/>
      <c r="CV14" s="34"/>
      <c r="CW14" s="35" t="str">
        <f t="shared" si="38"/>
        <v/>
      </c>
      <c r="CX14" s="36" t="str">
        <f t="shared" si="39"/>
        <v/>
      </c>
      <c r="CY14" s="37"/>
      <c r="CZ14" s="33"/>
      <c r="DA14" s="34"/>
      <c r="DB14" s="35" t="str">
        <f t="shared" si="40"/>
        <v/>
      </c>
      <c r="DC14" s="36" t="str">
        <f t="shared" si="41"/>
        <v/>
      </c>
      <c r="DD14" s="37"/>
      <c r="DE14" s="33"/>
      <c r="DF14" s="34"/>
      <c r="DG14" s="35" t="str">
        <f t="shared" si="42"/>
        <v/>
      </c>
      <c r="DH14" s="36" t="str">
        <f t="shared" si="43"/>
        <v/>
      </c>
      <c r="DI14" s="37"/>
      <c r="DJ14" s="33"/>
      <c r="DK14" s="34"/>
      <c r="DL14" s="35" t="str">
        <f t="shared" si="44"/>
        <v/>
      </c>
      <c r="DM14" s="36" t="str">
        <f t="shared" si="45"/>
        <v/>
      </c>
      <c r="DN14" s="37"/>
      <c r="DO14" s="33"/>
      <c r="DP14" s="34"/>
      <c r="DQ14" s="35" t="str">
        <f t="shared" si="46"/>
        <v/>
      </c>
      <c r="DR14" s="36" t="str">
        <f t="shared" si="47"/>
        <v/>
      </c>
      <c r="DS14" s="37"/>
      <c r="DT14" s="33"/>
      <c r="DU14" s="34"/>
      <c r="DV14" s="35" t="str">
        <f t="shared" si="48"/>
        <v/>
      </c>
      <c r="DW14" s="36" t="str">
        <f t="shared" si="49"/>
        <v/>
      </c>
      <c r="DX14" s="37"/>
      <c r="DY14" s="33"/>
      <c r="DZ14" s="34"/>
      <c r="EA14" s="35" t="str">
        <f t="shared" si="50"/>
        <v/>
      </c>
      <c r="EB14" s="36" t="str">
        <f t="shared" si="51"/>
        <v/>
      </c>
      <c r="EC14" s="37"/>
      <c r="ED14" s="33"/>
      <c r="EE14" s="34"/>
      <c r="EF14" s="35" t="str">
        <f t="shared" si="52"/>
        <v/>
      </c>
      <c r="EG14" s="36" t="str">
        <f t="shared" si="53"/>
        <v/>
      </c>
      <c r="EH14" s="37"/>
      <c r="EI14" s="33"/>
      <c r="EJ14" s="34"/>
      <c r="EK14" s="35" t="str">
        <f t="shared" si="54"/>
        <v/>
      </c>
      <c r="EL14" s="36" t="str">
        <f t="shared" si="55"/>
        <v/>
      </c>
      <c r="EM14" s="37"/>
      <c r="EN14" s="33"/>
      <c r="EO14" s="34"/>
      <c r="EP14" s="35" t="str">
        <f t="shared" si="56"/>
        <v/>
      </c>
      <c r="EQ14" s="36" t="str">
        <f t="shared" si="57"/>
        <v/>
      </c>
      <c r="ER14" s="37"/>
      <c r="ES14" s="33"/>
      <c r="ET14" s="34"/>
      <c r="EU14" s="35" t="str">
        <f t="shared" si="58"/>
        <v/>
      </c>
      <c r="EV14" s="36" t="str">
        <f t="shared" si="59"/>
        <v/>
      </c>
      <c r="EW14" s="37"/>
    </row>
    <row r="15" spans="1:153" ht="19.5" customHeight="1">
      <c r="A15" s="32">
        <f>IF(DAY(DATE(対象年度,6,12))&lt;&gt;12,"",12)</f>
        <v>12</v>
      </c>
      <c r="B15" s="32" t="str">
        <f>IF(DAY(DATE(対象年度,6,12))&lt;&gt;12,"",CHOOSE(WEEKDAY(DATE(対象年度,6,12),2),"月","火","水","木","金","土","日"))</f>
        <v>金</v>
      </c>
      <c r="C15" s="32" t="str">
        <f>IF(DAY(DATE(対象年度,6,12))&lt;&gt;12,"",IF(ISNUMBER(MATCH(DATE(対象年度,6,12),祝日リスト,0)),"祝",""))</f>
        <v/>
      </c>
      <c r="D15" s="33"/>
      <c r="E15" s="34"/>
      <c r="F15" s="35" t="str">
        <f t="shared" si="0"/>
        <v/>
      </c>
      <c r="G15" s="36" t="str">
        <f t="shared" si="1"/>
        <v/>
      </c>
      <c r="H15" s="37"/>
      <c r="I15" s="33"/>
      <c r="J15" s="34"/>
      <c r="K15" s="35" t="str">
        <f t="shared" si="2"/>
        <v/>
      </c>
      <c r="L15" s="36" t="str">
        <f t="shared" si="3"/>
        <v/>
      </c>
      <c r="M15" s="37"/>
      <c r="N15" s="33"/>
      <c r="O15" s="34"/>
      <c r="P15" s="35" t="str">
        <f t="shared" si="4"/>
        <v/>
      </c>
      <c r="Q15" s="36" t="str">
        <f t="shared" si="5"/>
        <v/>
      </c>
      <c r="R15" s="37"/>
      <c r="S15" s="33"/>
      <c r="T15" s="34"/>
      <c r="U15" s="35" t="str">
        <f t="shared" si="6"/>
        <v/>
      </c>
      <c r="V15" s="36" t="str">
        <f t="shared" si="7"/>
        <v/>
      </c>
      <c r="W15" s="37"/>
      <c r="X15" s="33"/>
      <c r="Y15" s="34"/>
      <c r="Z15" s="35" t="str">
        <f t="shared" si="8"/>
        <v/>
      </c>
      <c r="AA15" s="36" t="str">
        <f t="shared" si="9"/>
        <v/>
      </c>
      <c r="AB15" s="37"/>
      <c r="AC15" s="33"/>
      <c r="AD15" s="34"/>
      <c r="AE15" s="35" t="str">
        <f t="shared" si="10"/>
        <v/>
      </c>
      <c r="AF15" s="36" t="str">
        <f t="shared" si="11"/>
        <v/>
      </c>
      <c r="AG15" s="37"/>
      <c r="AH15" s="33"/>
      <c r="AI15" s="34"/>
      <c r="AJ15" s="35" t="str">
        <f t="shared" si="12"/>
        <v/>
      </c>
      <c r="AK15" s="36" t="str">
        <f t="shared" si="13"/>
        <v/>
      </c>
      <c r="AL15" s="37"/>
      <c r="AM15" s="33"/>
      <c r="AN15" s="34"/>
      <c r="AO15" s="35" t="str">
        <f t="shared" si="14"/>
        <v/>
      </c>
      <c r="AP15" s="36" t="str">
        <f t="shared" si="15"/>
        <v/>
      </c>
      <c r="AQ15" s="37"/>
      <c r="AR15" s="33"/>
      <c r="AS15" s="34"/>
      <c r="AT15" s="35" t="str">
        <f t="shared" si="16"/>
        <v/>
      </c>
      <c r="AU15" s="36" t="str">
        <f t="shared" si="17"/>
        <v/>
      </c>
      <c r="AV15" s="37"/>
      <c r="AW15" s="33"/>
      <c r="AX15" s="34"/>
      <c r="AY15" s="35" t="str">
        <f t="shared" si="18"/>
        <v/>
      </c>
      <c r="AZ15" s="36" t="str">
        <f t="shared" si="19"/>
        <v/>
      </c>
      <c r="BA15" s="37"/>
      <c r="BB15" s="33"/>
      <c r="BC15" s="34"/>
      <c r="BD15" s="35" t="str">
        <f t="shared" si="20"/>
        <v/>
      </c>
      <c r="BE15" s="36" t="str">
        <f t="shared" si="21"/>
        <v/>
      </c>
      <c r="BF15" s="37"/>
      <c r="BG15" s="33"/>
      <c r="BH15" s="34"/>
      <c r="BI15" s="35" t="str">
        <f t="shared" si="22"/>
        <v/>
      </c>
      <c r="BJ15" s="36" t="str">
        <f t="shared" si="23"/>
        <v/>
      </c>
      <c r="BK15" s="37"/>
      <c r="BL15" s="33"/>
      <c r="BM15" s="34"/>
      <c r="BN15" s="35" t="str">
        <f t="shared" si="24"/>
        <v/>
      </c>
      <c r="BO15" s="36" t="str">
        <f t="shared" si="25"/>
        <v/>
      </c>
      <c r="BP15" s="37"/>
      <c r="BQ15" s="33"/>
      <c r="BR15" s="34"/>
      <c r="BS15" s="35" t="str">
        <f t="shared" si="26"/>
        <v/>
      </c>
      <c r="BT15" s="36" t="str">
        <f t="shared" si="27"/>
        <v/>
      </c>
      <c r="BU15" s="37"/>
      <c r="BV15" s="33"/>
      <c r="BW15" s="34"/>
      <c r="BX15" s="35" t="str">
        <f t="shared" si="28"/>
        <v/>
      </c>
      <c r="BY15" s="36" t="str">
        <f t="shared" si="29"/>
        <v/>
      </c>
      <c r="BZ15" s="37"/>
      <c r="CA15" s="33"/>
      <c r="CB15" s="34"/>
      <c r="CC15" s="35" t="str">
        <f t="shared" si="30"/>
        <v/>
      </c>
      <c r="CD15" s="36" t="str">
        <f t="shared" si="31"/>
        <v/>
      </c>
      <c r="CE15" s="37"/>
      <c r="CF15" s="33"/>
      <c r="CG15" s="34"/>
      <c r="CH15" s="35" t="str">
        <f t="shared" si="32"/>
        <v/>
      </c>
      <c r="CI15" s="36" t="str">
        <f t="shared" si="33"/>
        <v/>
      </c>
      <c r="CJ15" s="37"/>
      <c r="CK15" s="33"/>
      <c r="CL15" s="34"/>
      <c r="CM15" s="35" t="str">
        <f t="shared" si="34"/>
        <v/>
      </c>
      <c r="CN15" s="36" t="str">
        <f t="shared" si="35"/>
        <v/>
      </c>
      <c r="CO15" s="37"/>
      <c r="CP15" s="33"/>
      <c r="CQ15" s="34"/>
      <c r="CR15" s="35" t="str">
        <f t="shared" si="36"/>
        <v/>
      </c>
      <c r="CS15" s="36" t="str">
        <f t="shared" si="37"/>
        <v/>
      </c>
      <c r="CT15" s="37"/>
      <c r="CU15" s="33"/>
      <c r="CV15" s="34"/>
      <c r="CW15" s="35" t="str">
        <f t="shared" si="38"/>
        <v/>
      </c>
      <c r="CX15" s="36" t="str">
        <f t="shared" si="39"/>
        <v/>
      </c>
      <c r="CY15" s="37"/>
      <c r="CZ15" s="33"/>
      <c r="DA15" s="34"/>
      <c r="DB15" s="35" t="str">
        <f t="shared" si="40"/>
        <v/>
      </c>
      <c r="DC15" s="36" t="str">
        <f t="shared" si="41"/>
        <v/>
      </c>
      <c r="DD15" s="37"/>
      <c r="DE15" s="33"/>
      <c r="DF15" s="34"/>
      <c r="DG15" s="35" t="str">
        <f t="shared" si="42"/>
        <v/>
      </c>
      <c r="DH15" s="36" t="str">
        <f t="shared" si="43"/>
        <v/>
      </c>
      <c r="DI15" s="37"/>
      <c r="DJ15" s="33"/>
      <c r="DK15" s="34"/>
      <c r="DL15" s="35" t="str">
        <f t="shared" si="44"/>
        <v/>
      </c>
      <c r="DM15" s="36" t="str">
        <f t="shared" si="45"/>
        <v/>
      </c>
      <c r="DN15" s="37"/>
      <c r="DO15" s="33"/>
      <c r="DP15" s="34"/>
      <c r="DQ15" s="35" t="str">
        <f t="shared" si="46"/>
        <v/>
      </c>
      <c r="DR15" s="36" t="str">
        <f t="shared" si="47"/>
        <v/>
      </c>
      <c r="DS15" s="37"/>
      <c r="DT15" s="33"/>
      <c r="DU15" s="34"/>
      <c r="DV15" s="35" t="str">
        <f t="shared" si="48"/>
        <v/>
      </c>
      <c r="DW15" s="36" t="str">
        <f t="shared" si="49"/>
        <v/>
      </c>
      <c r="DX15" s="37"/>
      <c r="DY15" s="33"/>
      <c r="DZ15" s="34"/>
      <c r="EA15" s="35" t="str">
        <f t="shared" si="50"/>
        <v/>
      </c>
      <c r="EB15" s="36" t="str">
        <f t="shared" si="51"/>
        <v/>
      </c>
      <c r="EC15" s="37"/>
      <c r="ED15" s="33"/>
      <c r="EE15" s="34"/>
      <c r="EF15" s="35" t="str">
        <f t="shared" si="52"/>
        <v/>
      </c>
      <c r="EG15" s="36" t="str">
        <f t="shared" si="53"/>
        <v/>
      </c>
      <c r="EH15" s="37"/>
      <c r="EI15" s="33"/>
      <c r="EJ15" s="34"/>
      <c r="EK15" s="35" t="str">
        <f t="shared" si="54"/>
        <v/>
      </c>
      <c r="EL15" s="36" t="str">
        <f t="shared" si="55"/>
        <v/>
      </c>
      <c r="EM15" s="37"/>
      <c r="EN15" s="33"/>
      <c r="EO15" s="34"/>
      <c r="EP15" s="35" t="str">
        <f t="shared" si="56"/>
        <v/>
      </c>
      <c r="EQ15" s="36" t="str">
        <f t="shared" si="57"/>
        <v/>
      </c>
      <c r="ER15" s="37"/>
      <c r="ES15" s="33"/>
      <c r="ET15" s="34"/>
      <c r="EU15" s="35" t="str">
        <f t="shared" si="58"/>
        <v/>
      </c>
      <c r="EV15" s="36" t="str">
        <f t="shared" si="59"/>
        <v/>
      </c>
      <c r="EW15" s="37"/>
    </row>
    <row r="16" spans="1:153" ht="19.5" customHeight="1">
      <c r="A16" s="32">
        <f>IF(DAY(DATE(対象年度,6,13))&lt;&gt;13,"",13)</f>
        <v>13</v>
      </c>
      <c r="B16" s="32" t="str">
        <f>IF(DAY(DATE(対象年度,6,13))&lt;&gt;13,"",CHOOSE(WEEKDAY(DATE(対象年度,6,13),2),"月","火","水","木","金","土","日"))</f>
        <v>土</v>
      </c>
      <c r="C16" s="32" t="str">
        <f>IF(DAY(DATE(対象年度,6,13))&lt;&gt;13,"",IF(ISNUMBER(MATCH(DATE(対象年度,6,13),祝日リスト,0)),"祝",""))</f>
        <v/>
      </c>
      <c r="D16" s="33"/>
      <c r="E16" s="34"/>
      <c r="F16" s="35" t="str">
        <f t="shared" si="0"/>
        <v/>
      </c>
      <c r="G16" s="36" t="str">
        <f t="shared" si="1"/>
        <v/>
      </c>
      <c r="H16" s="37"/>
      <c r="I16" s="33"/>
      <c r="J16" s="34"/>
      <c r="K16" s="35" t="str">
        <f t="shared" si="2"/>
        <v/>
      </c>
      <c r="L16" s="36" t="str">
        <f t="shared" si="3"/>
        <v/>
      </c>
      <c r="M16" s="37"/>
      <c r="N16" s="33"/>
      <c r="O16" s="34"/>
      <c r="P16" s="35" t="str">
        <f t="shared" si="4"/>
        <v/>
      </c>
      <c r="Q16" s="36" t="str">
        <f t="shared" si="5"/>
        <v/>
      </c>
      <c r="R16" s="37"/>
      <c r="S16" s="33"/>
      <c r="T16" s="34"/>
      <c r="U16" s="35" t="str">
        <f t="shared" si="6"/>
        <v/>
      </c>
      <c r="V16" s="36" t="str">
        <f t="shared" si="7"/>
        <v/>
      </c>
      <c r="W16" s="37"/>
      <c r="X16" s="33"/>
      <c r="Y16" s="34"/>
      <c r="Z16" s="35" t="str">
        <f t="shared" si="8"/>
        <v/>
      </c>
      <c r="AA16" s="36" t="str">
        <f t="shared" si="9"/>
        <v/>
      </c>
      <c r="AB16" s="37"/>
      <c r="AC16" s="33"/>
      <c r="AD16" s="34"/>
      <c r="AE16" s="35" t="str">
        <f t="shared" si="10"/>
        <v/>
      </c>
      <c r="AF16" s="36" t="str">
        <f t="shared" si="11"/>
        <v/>
      </c>
      <c r="AG16" s="37"/>
      <c r="AH16" s="33"/>
      <c r="AI16" s="34"/>
      <c r="AJ16" s="35" t="str">
        <f t="shared" si="12"/>
        <v/>
      </c>
      <c r="AK16" s="36" t="str">
        <f t="shared" si="13"/>
        <v/>
      </c>
      <c r="AL16" s="37"/>
      <c r="AM16" s="33"/>
      <c r="AN16" s="34"/>
      <c r="AO16" s="35" t="str">
        <f t="shared" si="14"/>
        <v/>
      </c>
      <c r="AP16" s="36" t="str">
        <f t="shared" si="15"/>
        <v/>
      </c>
      <c r="AQ16" s="37"/>
      <c r="AR16" s="33"/>
      <c r="AS16" s="34"/>
      <c r="AT16" s="35" t="str">
        <f t="shared" si="16"/>
        <v/>
      </c>
      <c r="AU16" s="36" t="str">
        <f t="shared" si="17"/>
        <v/>
      </c>
      <c r="AV16" s="37"/>
      <c r="AW16" s="33"/>
      <c r="AX16" s="34"/>
      <c r="AY16" s="35" t="str">
        <f t="shared" si="18"/>
        <v/>
      </c>
      <c r="AZ16" s="36" t="str">
        <f t="shared" si="19"/>
        <v/>
      </c>
      <c r="BA16" s="37"/>
      <c r="BB16" s="33"/>
      <c r="BC16" s="34"/>
      <c r="BD16" s="35" t="str">
        <f t="shared" si="20"/>
        <v/>
      </c>
      <c r="BE16" s="36" t="str">
        <f t="shared" si="21"/>
        <v/>
      </c>
      <c r="BF16" s="37"/>
      <c r="BG16" s="33"/>
      <c r="BH16" s="34"/>
      <c r="BI16" s="35" t="str">
        <f t="shared" si="22"/>
        <v/>
      </c>
      <c r="BJ16" s="36" t="str">
        <f t="shared" si="23"/>
        <v/>
      </c>
      <c r="BK16" s="37"/>
      <c r="BL16" s="33"/>
      <c r="BM16" s="34"/>
      <c r="BN16" s="35" t="str">
        <f t="shared" si="24"/>
        <v/>
      </c>
      <c r="BO16" s="36" t="str">
        <f t="shared" si="25"/>
        <v/>
      </c>
      <c r="BP16" s="37"/>
      <c r="BQ16" s="33"/>
      <c r="BR16" s="34"/>
      <c r="BS16" s="35" t="str">
        <f t="shared" si="26"/>
        <v/>
      </c>
      <c r="BT16" s="36" t="str">
        <f t="shared" si="27"/>
        <v/>
      </c>
      <c r="BU16" s="37"/>
      <c r="BV16" s="33"/>
      <c r="BW16" s="34"/>
      <c r="BX16" s="35" t="str">
        <f t="shared" si="28"/>
        <v/>
      </c>
      <c r="BY16" s="36" t="str">
        <f t="shared" si="29"/>
        <v/>
      </c>
      <c r="BZ16" s="37"/>
      <c r="CA16" s="33"/>
      <c r="CB16" s="34"/>
      <c r="CC16" s="35" t="str">
        <f t="shared" si="30"/>
        <v/>
      </c>
      <c r="CD16" s="36" t="str">
        <f t="shared" si="31"/>
        <v/>
      </c>
      <c r="CE16" s="37"/>
      <c r="CF16" s="33"/>
      <c r="CG16" s="34"/>
      <c r="CH16" s="35" t="str">
        <f t="shared" si="32"/>
        <v/>
      </c>
      <c r="CI16" s="36" t="str">
        <f t="shared" si="33"/>
        <v/>
      </c>
      <c r="CJ16" s="37"/>
      <c r="CK16" s="33"/>
      <c r="CL16" s="34"/>
      <c r="CM16" s="35" t="str">
        <f t="shared" si="34"/>
        <v/>
      </c>
      <c r="CN16" s="36" t="str">
        <f t="shared" si="35"/>
        <v/>
      </c>
      <c r="CO16" s="37"/>
      <c r="CP16" s="33"/>
      <c r="CQ16" s="34"/>
      <c r="CR16" s="35" t="str">
        <f t="shared" si="36"/>
        <v/>
      </c>
      <c r="CS16" s="36" t="str">
        <f t="shared" si="37"/>
        <v/>
      </c>
      <c r="CT16" s="37"/>
      <c r="CU16" s="33"/>
      <c r="CV16" s="34"/>
      <c r="CW16" s="35" t="str">
        <f t="shared" si="38"/>
        <v/>
      </c>
      <c r="CX16" s="36" t="str">
        <f t="shared" si="39"/>
        <v/>
      </c>
      <c r="CY16" s="37"/>
      <c r="CZ16" s="33"/>
      <c r="DA16" s="34"/>
      <c r="DB16" s="35" t="str">
        <f t="shared" si="40"/>
        <v/>
      </c>
      <c r="DC16" s="36" t="str">
        <f t="shared" si="41"/>
        <v/>
      </c>
      <c r="DD16" s="37"/>
      <c r="DE16" s="33"/>
      <c r="DF16" s="34"/>
      <c r="DG16" s="35" t="str">
        <f t="shared" si="42"/>
        <v/>
      </c>
      <c r="DH16" s="36" t="str">
        <f t="shared" si="43"/>
        <v/>
      </c>
      <c r="DI16" s="37"/>
      <c r="DJ16" s="33"/>
      <c r="DK16" s="34"/>
      <c r="DL16" s="35" t="str">
        <f t="shared" si="44"/>
        <v/>
      </c>
      <c r="DM16" s="36" t="str">
        <f t="shared" si="45"/>
        <v/>
      </c>
      <c r="DN16" s="37"/>
      <c r="DO16" s="33"/>
      <c r="DP16" s="34"/>
      <c r="DQ16" s="35" t="str">
        <f t="shared" si="46"/>
        <v/>
      </c>
      <c r="DR16" s="36" t="str">
        <f t="shared" si="47"/>
        <v/>
      </c>
      <c r="DS16" s="37"/>
      <c r="DT16" s="33"/>
      <c r="DU16" s="34"/>
      <c r="DV16" s="35" t="str">
        <f t="shared" si="48"/>
        <v/>
      </c>
      <c r="DW16" s="36" t="str">
        <f t="shared" si="49"/>
        <v/>
      </c>
      <c r="DX16" s="37"/>
      <c r="DY16" s="33"/>
      <c r="DZ16" s="34"/>
      <c r="EA16" s="35" t="str">
        <f t="shared" si="50"/>
        <v/>
      </c>
      <c r="EB16" s="36" t="str">
        <f t="shared" si="51"/>
        <v/>
      </c>
      <c r="EC16" s="37"/>
      <c r="ED16" s="33"/>
      <c r="EE16" s="34"/>
      <c r="EF16" s="35" t="str">
        <f t="shared" si="52"/>
        <v/>
      </c>
      <c r="EG16" s="36" t="str">
        <f t="shared" si="53"/>
        <v/>
      </c>
      <c r="EH16" s="37"/>
      <c r="EI16" s="33"/>
      <c r="EJ16" s="34"/>
      <c r="EK16" s="35" t="str">
        <f t="shared" si="54"/>
        <v/>
      </c>
      <c r="EL16" s="36" t="str">
        <f t="shared" si="55"/>
        <v/>
      </c>
      <c r="EM16" s="37"/>
      <c r="EN16" s="33"/>
      <c r="EO16" s="34"/>
      <c r="EP16" s="35" t="str">
        <f t="shared" si="56"/>
        <v/>
      </c>
      <c r="EQ16" s="36" t="str">
        <f t="shared" si="57"/>
        <v/>
      </c>
      <c r="ER16" s="37"/>
      <c r="ES16" s="33"/>
      <c r="ET16" s="34"/>
      <c r="EU16" s="35" t="str">
        <f t="shared" si="58"/>
        <v/>
      </c>
      <c r="EV16" s="36" t="str">
        <f t="shared" si="59"/>
        <v/>
      </c>
      <c r="EW16" s="37"/>
    </row>
    <row r="17" spans="1:153" ht="19.5" customHeight="1">
      <c r="A17" s="32">
        <f>IF(DAY(DATE(対象年度,6,14))&lt;&gt;14,"",14)</f>
        <v>14</v>
      </c>
      <c r="B17" s="32" t="str">
        <f>IF(DAY(DATE(対象年度,6,14))&lt;&gt;14,"",CHOOSE(WEEKDAY(DATE(対象年度,6,14),2),"月","火","水","木","金","土","日"))</f>
        <v>日</v>
      </c>
      <c r="C17" s="32" t="str">
        <f>IF(DAY(DATE(対象年度,6,14))&lt;&gt;14,"",IF(ISNUMBER(MATCH(DATE(対象年度,6,14),祝日リスト,0)),"祝",""))</f>
        <v/>
      </c>
      <c r="D17" s="33"/>
      <c r="E17" s="34"/>
      <c r="F17" s="35" t="str">
        <f t="shared" si="0"/>
        <v/>
      </c>
      <c r="G17" s="36" t="str">
        <f t="shared" si="1"/>
        <v/>
      </c>
      <c r="H17" s="37"/>
      <c r="I17" s="33"/>
      <c r="J17" s="34"/>
      <c r="K17" s="35" t="str">
        <f t="shared" si="2"/>
        <v/>
      </c>
      <c r="L17" s="36" t="str">
        <f t="shared" si="3"/>
        <v/>
      </c>
      <c r="M17" s="37"/>
      <c r="N17" s="33"/>
      <c r="O17" s="34"/>
      <c r="P17" s="35" t="str">
        <f t="shared" si="4"/>
        <v/>
      </c>
      <c r="Q17" s="36" t="str">
        <f t="shared" si="5"/>
        <v/>
      </c>
      <c r="R17" s="37"/>
      <c r="S17" s="33"/>
      <c r="T17" s="34"/>
      <c r="U17" s="35" t="str">
        <f t="shared" si="6"/>
        <v/>
      </c>
      <c r="V17" s="36" t="str">
        <f t="shared" si="7"/>
        <v/>
      </c>
      <c r="W17" s="37"/>
      <c r="X17" s="33"/>
      <c r="Y17" s="34"/>
      <c r="Z17" s="35" t="str">
        <f t="shared" si="8"/>
        <v/>
      </c>
      <c r="AA17" s="36" t="str">
        <f t="shared" si="9"/>
        <v/>
      </c>
      <c r="AB17" s="37"/>
      <c r="AC17" s="33"/>
      <c r="AD17" s="34"/>
      <c r="AE17" s="35" t="str">
        <f t="shared" si="10"/>
        <v/>
      </c>
      <c r="AF17" s="36" t="str">
        <f t="shared" si="11"/>
        <v/>
      </c>
      <c r="AG17" s="37"/>
      <c r="AH17" s="33"/>
      <c r="AI17" s="34"/>
      <c r="AJ17" s="35" t="str">
        <f t="shared" si="12"/>
        <v/>
      </c>
      <c r="AK17" s="36" t="str">
        <f t="shared" si="13"/>
        <v/>
      </c>
      <c r="AL17" s="37"/>
      <c r="AM17" s="33"/>
      <c r="AN17" s="34"/>
      <c r="AO17" s="35" t="str">
        <f t="shared" si="14"/>
        <v/>
      </c>
      <c r="AP17" s="36" t="str">
        <f t="shared" si="15"/>
        <v/>
      </c>
      <c r="AQ17" s="37"/>
      <c r="AR17" s="33"/>
      <c r="AS17" s="34"/>
      <c r="AT17" s="35" t="str">
        <f t="shared" si="16"/>
        <v/>
      </c>
      <c r="AU17" s="36" t="str">
        <f t="shared" si="17"/>
        <v/>
      </c>
      <c r="AV17" s="37"/>
      <c r="AW17" s="33"/>
      <c r="AX17" s="34"/>
      <c r="AY17" s="35" t="str">
        <f t="shared" si="18"/>
        <v/>
      </c>
      <c r="AZ17" s="36" t="str">
        <f t="shared" si="19"/>
        <v/>
      </c>
      <c r="BA17" s="37"/>
      <c r="BB17" s="33"/>
      <c r="BC17" s="34"/>
      <c r="BD17" s="35" t="str">
        <f t="shared" si="20"/>
        <v/>
      </c>
      <c r="BE17" s="36" t="str">
        <f t="shared" si="21"/>
        <v/>
      </c>
      <c r="BF17" s="37"/>
      <c r="BG17" s="33"/>
      <c r="BH17" s="34"/>
      <c r="BI17" s="35" t="str">
        <f t="shared" si="22"/>
        <v/>
      </c>
      <c r="BJ17" s="36" t="str">
        <f t="shared" si="23"/>
        <v/>
      </c>
      <c r="BK17" s="37"/>
      <c r="BL17" s="33"/>
      <c r="BM17" s="34"/>
      <c r="BN17" s="35" t="str">
        <f t="shared" si="24"/>
        <v/>
      </c>
      <c r="BO17" s="36" t="str">
        <f t="shared" si="25"/>
        <v/>
      </c>
      <c r="BP17" s="37"/>
      <c r="BQ17" s="33"/>
      <c r="BR17" s="34"/>
      <c r="BS17" s="35" t="str">
        <f t="shared" si="26"/>
        <v/>
      </c>
      <c r="BT17" s="36" t="str">
        <f t="shared" si="27"/>
        <v/>
      </c>
      <c r="BU17" s="37"/>
      <c r="BV17" s="33"/>
      <c r="BW17" s="34"/>
      <c r="BX17" s="35" t="str">
        <f t="shared" si="28"/>
        <v/>
      </c>
      <c r="BY17" s="36" t="str">
        <f t="shared" si="29"/>
        <v/>
      </c>
      <c r="BZ17" s="37"/>
      <c r="CA17" s="33"/>
      <c r="CB17" s="34"/>
      <c r="CC17" s="35" t="str">
        <f t="shared" si="30"/>
        <v/>
      </c>
      <c r="CD17" s="36" t="str">
        <f t="shared" si="31"/>
        <v/>
      </c>
      <c r="CE17" s="37"/>
      <c r="CF17" s="33"/>
      <c r="CG17" s="34"/>
      <c r="CH17" s="35" t="str">
        <f t="shared" si="32"/>
        <v/>
      </c>
      <c r="CI17" s="36" t="str">
        <f t="shared" si="33"/>
        <v/>
      </c>
      <c r="CJ17" s="37"/>
      <c r="CK17" s="33"/>
      <c r="CL17" s="34"/>
      <c r="CM17" s="35" t="str">
        <f t="shared" si="34"/>
        <v/>
      </c>
      <c r="CN17" s="36" t="str">
        <f t="shared" si="35"/>
        <v/>
      </c>
      <c r="CO17" s="37"/>
      <c r="CP17" s="33"/>
      <c r="CQ17" s="34"/>
      <c r="CR17" s="35" t="str">
        <f t="shared" si="36"/>
        <v/>
      </c>
      <c r="CS17" s="36" t="str">
        <f t="shared" si="37"/>
        <v/>
      </c>
      <c r="CT17" s="37"/>
      <c r="CU17" s="33"/>
      <c r="CV17" s="34"/>
      <c r="CW17" s="35" t="str">
        <f t="shared" si="38"/>
        <v/>
      </c>
      <c r="CX17" s="36" t="str">
        <f t="shared" si="39"/>
        <v/>
      </c>
      <c r="CY17" s="37"/>
      <c r="CZ17" s="33"/>
      <c r="DA17" s="34"/>
      <c r="DB17" s="35" t="str">
        <f t="shared" si="40"/>
        <v/>
      </c>
      <c r="DC17" s="36" t="str">
        <f t="shared" si="41"/>
        <v/>
      </c>
      <c r="DD17" s="37"/>
      <c r="DE17" s="33"/>
      <c r="DF17" s="34"/>
      <c r="DG17" s="35" t="str">
        <f t="shared" si="42"/>
        <v/>
      </c>
      <c r="DH17" s="36" t="str">
        <f t="shared" si="43"/>
        <v/>
      </c>
      <c r="DI17" s="37"/>
      <c r="DJ17" s="33"/>
      <c r="DK17" s="34"/>
      <c r="DL17" s="35" t="str">
        <f t="shared" si="44"/>
        <v/>
      </c>
      <c r="DM17" s="36" t="str">
        <f t="shared" si="45"/>
        <v/>
      </c>
      <c r="DN17" s="37"/>
      <c r="DO17" s="33"/>
      <c r="DP17" s="34"/>
      <c r="DQ17" s="35" t="str">
        <f t="shared" si="46"/>
        <v/>
      </c>
      <c r="DR17" s="36" t="str">
        <f t="shared" si="47"/>
        <v/>
      </c>
      <c r="DS17" s="37"/>
      <c r="DT17" s="33"/>
      <c r="DU17" s="34"/>
      <c r="DV17" s="35" t="str">
        <f t="shared" si="48"/>
        <v/>
      </c>
      <c r="DW17" s="36" t="str">
        <f t="shared" si="49"/>
        <v/>
      </c>
      <c r="DX17" s="37"/>
      <c r="DY17" s="33"/>
      <c r="DZ17" s="34"/>
      <c r="EA17" s="35" t="str">
        <f t="shared" si="50"/>
        <v/>
      </c>
      <c r="EB17" s="36" t="str">
        <f t="shared" si="51"/>
        <v/>
      </c>
      <c r="EC17" s="37"/>
      <c r="ED17" s="33"/>
      <c r="EE17" s="34"/>
      <c r="EF17" s="35" t="str">
        <f t="shared" si="52"/>
        <v/>
      </c>
      <c r="EG17" s="36" t="str">
        <f t="shared" si="53"/>
        <v/>
      </c>
      <c r="EH17" s="37"/>
      <c r="EI17" s="33"/>
      <c r="EJ17" s="34"/>
      <c r="EK17" s="35" t="str">
        <f t="shared" si="54"/>
        <v/>
      </c>
      <c r="EL17" s="36" t="str">
        <f t="shared" si="55"/>
        <v/>
      </c>
      <c r="EM17" s="37"/>
      <c r="EN17" s="33"/>
      <c r="EO17" s="34"/>
      <c r="EP17" s="35" t="str">
        <f t="shared" si="56"/>
        <v/>
      </c>
      <c r="EQ17" s="36" t="str">
        <f t="shared" si="57"/>
        <v/>
      </c>
      <c r="ER17" s="37"/>
      <c r="ES17" s="33"/>
      <c r="ET17" s="34"/>
      <c r="EU17" s="35" t="str">
        <f t="shared" si="58"/>
        <v/>
      </c>
      <c r="EV17" s="36" t="str">
        <f t="shared" si="59"/>
        <v/>
      </c>
      <c r="EW17" s="37"/>
    </row>
    <row r="18" spans="1:153" ht="19.5" customHeight="1">
      <c r="A18" s="32">
        <f>IF(DAY(DATE(対象年度,6,15))&lt;&gt;15,"",15)</f>
        <v>15</v>
      </c>
      <c r="B18" s="32" t="str">
        <f>IF(DAY(DATE(対象年度,6,15))&lt;&gt;15,"",CHOOSE(WEEKDAY(DATE(対象年度,6,15),2),"月","火","水","木","金","土","日"))</f>
        <v>月</v>
      </c>
      <c r="C18" s="32" t="str">
        <f>IF(DAY(DATE(対象年度,6,15))&lt;&gt;15,"",IF(ISNUMBER(MATCH(DATE(対象年度,6,15),祝日リスト,0)),"祝",""))</f>
        <v/>
      </c>
      <c r="D18" s="33"/>
      <c r="E18" s="34"/>
      <c r="F18" s="35" t="str">
        <f t="shared" si="0"/>
        <v/>
      </c>
      <c r="G18" s="36" t="str">
        <f t="shared" si="1"/>
        <v/>
      </c>
      <c r="H18" s="37"/>
      <c r="I18" s="33"/>
      <c r="J18" s="34"/>
      <c r="K18" s="35" t="str">
        <f t="shared" si="2"/>
        <v/>
      </c>
      <c r="L18" s="36" t="str">
        <f t="shared" si="3"/>
        <v/>
      </c>
      <c r="M18" s="37"/>
      <c r="N18" s="33"/>
      <c r="O18" s="34"/>
      <c r="P18" s="35" t="str">
        <f t="shared" si="4"/>
        <v/>
      </c>
      <c r="Q18" s="36" t="str">
        <f t="shared" si="5"/>
        <v/>
      </c>
      <c r="R18" s="37"/>
      <c r="S18" s="33"/>
      <c r="T18" s="34"/>
      <c r="U18" s="35" t="str">
        <f t="shared" si="6"/>
        <v/>
      </c>
      <c r="V18" s="36" t="str">
        <f t="shared" si="7"/>
        <v/>
      </c>
      <c r="W18" s="37"/>
      <c r="X18" s="33"/>
      <c r="Y18" s="34"/>
      <c r="Z18" s="35" t="str">
        <f t="shared" si="8"/>
        <v/>
      </c>
      <c r="AA18" s="36" t="str">
        <f t="shared" si="9"/>
        <v/>
      </c>
      <c r="AB18" s="37"/>
      <c r="AC18" s="33"/>
      <c r="AD18" s="34"/>
      <c r="AE18" s="35" t="str">
        <f t="shared" si="10"/>
        <v/>
      </c>
      <c r="AF18" s="36" t="str">
        <f t="shared" si="11"/>
        <v/>
      </c>
      <c r="AG18" s="37"/>
      <c r="AH18" s="33"/>
      <c r="AI18" s="34"/>
      <c r="AJ18" s="35" t="str">
        <f t="shared" si="12"/>
        <v/>
      </c>
      <c r="AK18" s="36" t="str">
        <f t="shared" si="13"/>
        <v/>
      </c>
      <c r="AL18" s="37"/>
      <c r="AM18" s="33"/>
      <c r="AN18" s="34"/>
      <c r="AO18" s="35" t="str">
        <f t="shared" si="14"/>
        <v/>
      </c>
      <c r="AP18" s="36" t="str">
        <f t="shared" si="15"/>
        <v/>
      </c>
      <c r="AQ18" s="37"/>
      <c r="AR18" s="33"/>
      <c r="AS18" s="34"/>
      <c r="AT18" s="35" t="str">
        <f t="shared" si="16"/>
        <v/>
      </c>
      <c r="AU18" s="36" t="str">
        <f t="shared" si="17"/>
        <v/>
      </c>
      <c r="AV18" s="37"/>
      <c r="AW18" s="33"/>
      <c r="AX18" s="34"/>
      <c r="AY18" s="35" t="str">
        <f t="shared" si="18"/>
        <v/>
      </c>
      <c r="AZ18" s="36" t="str">
        <f t="shared" si="19"/>
        <v/>
      </c>
      <c r="BA18" s="37"/>
      <c r="BB18" s="33"/>
      <c r="BC18" s="34"/>
      <c r="BD18" s="35" t="str">
        <f t="shared" si="20"/>
        <v/>
      </c>
      <c r="BE18" s="36" t="str">
        <f t="shared" si="21"/>
        <v/>
      </c>
      <c r="BF18" s="37"/>
      <c r="BG18" s="33"/>
      <c r="BH18" s="34"/>
      <c r="BI18" s="35" t="str">
        <f t="shared" si="22"/>
        <v/>
      </c>
      <c r="BJ18" s="36" t="str">
        <f t="shared" si="23"/>
        <v/>
      </c>
      <c r="BK18" s="37"/>
      <c r="BL18" s="33"/>
      <c r="BM18" s="34"/>
      <c r="BN18" s="35" t="str">
        <f t="shared" si="24"/>
        <v/>
      </c>
      <c r="BO18" s="36" t="str">
        <f t="shared" si="25"/>
        <v/>
      </c>
      <c r="BP18" s="37"/>
      <c r="BQ18" s="33"/>
      <c r="BR18" s="34"/>
      <c r="BS18" s="35" t="str">
        <f t="shared" si="26"/>
        <v/>
      </c>
      <c r="BT18" s="36" t="str">
        <f t="shared" si="27"/>
        <v/>
      </c>
      <c r="BU18" s="37"/>
      <c r="BV18" s="33"/>
      <c r="BW18" s="34"/>
      <c r="BX18" s="35" t="str">
        <f t="shared" si="28"/>
        <v/>
      </c>
      <c r="BY18" s="36" t="str">
        <f t="shared" si="29"/>
        <v/>
      </c>
      <c r="BZ18" s="37"/>
      <c r="CA18" s="33"/>
      <c r="CB18" s="34"/>
      <c r="CC18" s="35" t="str">
        <f t="shared" si="30"/>
        <v/>
      </c>
      <c r="CD18" s="36" t="str">
        <f t="shared" si="31"/>
        <v/>
      </c>
      <c r="CE18" s="37"/>
      <c r="CF18" s="33"/>
      <c r="CG18" s="34"/>
      <c r="CH18" s="35" t="str">
        <f t="shared" si="32"/>
        <v/>
      </c>
      <c r="CI18" s="36" t="str">
        <f t="shared" si="33"/>
        <v/>
      </c>
      <c r="CJ18" s="37"/>
      <c r="CK18" s="33"/>
      <c r="CL18" s="34"/>
      <c r="CM18" s="35" t="str">
        <f t="shared" si="34"/>
        <v/>
      </c>
      <c r="CN18" s="36" t="str">
        <f t="shared" si="35"/>
        <v/>
      </c>
      <c r="CO18" s="37"/>
      <c r="CP18" s="33"/>
      <c r="CQ18" s="34"/>
      <c r="CR18" s="35" t="str">
        <f t="shared" si="36"/>
        <v/>
      </c>
      <c r="CS18" s="36" t="str">
        <f t="shared" si="37"/>
        <v/>
      </c>
      <c r="CT18" s="37"/>
      <c r="CU18" s="33"/>
      <c r="CV18" s="34"/>
      <c r="CW18" s="35" t="str">
        <f t="shared" si="38"/>
        <v/>
      </c>
      <c r="CX18" s="36" t="str">
        <f t="shared" si="39"/>
        <v/>
      </c>
      <c r="CY18" s="37"/>
      <c r="CZ18" s="33"/>
      <c r="DA18" s="34"/>
      <c r="DB18" s="35" t="str">
        <f t="shared" si="40"/>
        <v/>
      </c>
      <c r="DC18" s="36" t="str">
        <f t="shared" si="41"/>
        <v/>
      </c>
      <c r="DD18" s="37"/>
      <c r="DE18" s="33"/>
      <c r="DF18" s="34"/>
      <c r="DG18" s="35" t="str">
        <f t="shared" si="42"/>
        <v/>
      </c>
      <c r="DH18" s="36" t="str">
        <f t="shared" si="43"/>
        <v/>
      </c>
      <c r="DI18" s="37"/>
      <c r="DJ18" s="33"/>
      <c r="DK18" s="34"/>
      <c r="DL18" s="35" t="str">
        <f t="shared" si="44"/>
        <v/>
      </c>
      <c r="DM18" s="36" t="str">
        <f t="shared" si="45"/>
        <v/>
      </c>
      <c r="DN18" s="37"/>
      <c r="DO18" s="33"/>
      <c r="DP18" s="34"/>
      <c r="DQ18" s="35" t="str">
        <f t="shared" si="46"/>
        <v/>
      </c>
      <c r="DR18" s="36" t="str">
        <f t="shared" si="47"/>
        <v/>
      </c>
      <c r="DS18" s="37"/>
      <c r="DT18" s="33"/>
      <c r="DU18" s="34"/>
      <c r="DV18" s="35" t="str">
        <f t="shared" si="48"/>
        <v/>
      </c>
      <c r="DW18" s="36" t="str">
        <f t="shared" si="49"/>
        <v/>
      </c>
      <c r="DX18" s="37"/>
      <c r="DY18" s="33"/>
      <c r="DZ18" s="34"/>
      <c r="EA18" s="35" t="str">
        <f t="shared" si="50"/>
        <v/>
      </c>
      <c r="EB18" s="36" t="str">
        <f t="shared" si="51"/>
        <v/>
      </c>
      <c r="EC18" s="37"/>
      <c r="ED18" s="33"/>
      <c r="EE18" s="34"/>
      <c r="EF18" s="35" t="str">
        <f t="shared" si="52"/>
        <v/>
      </c>
      <c r="EG18" s="36" t="str">
        <f t="shared" si="53"/>
        <v/>
      </c>
      <c r="EH18" s="37"/>
      <c r="EI18" s="33"/>
      <c r="EJ18" s="34"/>
      <c r="EK18" s="35" t="str">
        <f t="shared" si="54"/>
        <v/>
      </c>
      <c r="EL18" s="36" t="str">
        <f t="shared" si="55"/>
        <v/>
      </c>
      <c r="EM18" s="37"/>
      <c r="EN18" s="33"/>
      <c r="EO18" s="34"/>
      <c r="EP18" s="35" t="str">
        <f t="shared" si="56"/>
        <v/>
      </c>
      <c r="EQ18" s="36" t="str">
        <f t="shared" si="57"/>
        <v/>
      </c>
      <c r="ER18" s="37"/>
      <c r="ES18" s="33"/>
      <c r="ET18" s="34"/>
      <c r="EU18" s="35" t="str">
        <f t="shared" si="58"/>
        <v/>
      </c>
      <c r="EV18" s="36" t="str">
        <f t="shared" si="59"/>
        <v/>
      </c>
      <c r="EW18" s="37"/>
    </row>
    <row r="19" spans="1:153" ht="19.5" customHeight="1">
      <c r="A19" s="32">
        <f>IF(DAY(DATE(対象年度,6,16))&lt;&gt;16,"",16)</f>
        <v>16</v>
      </c>
      <c r="B19" s="32" t="str">
        <f>IF(DAY(DATE(対象年度,6,16))&lt;&gt;16,"",CHOOSE(WEEKDAY(DATE(対象年度,6,16),2),"月","火","水","木","金","土","日"))</f>
        <v>火</v>
      </c>
      <c r="C19" s="32" t="str">
        <f>IF(DAY(DATE(対象年度,6,16))&lt;&gt;16,"",IF(ISNUMBER(MATCH(DATE(対象年度,6,16),祝日リスト,0)),"祝",""))</f>
        <v/>
      </c>
      <c r="D19" s="33"/>
      <c r="E19" s="34"/>
      <c r="F19" s="35" t="str">
        <f t="shared" si="0"/>
        <v/>
      </c>
      <c r="G19" s="36" t="str">
        <f t="shared" si="1"/>
        <v/>
      </c>
      <c r="H19" s="37"/>
      <c r="I19" s="33"/>
      <c r="J19" s="34"/>
      <c r="K19" s="35" t="str">
        <f t="shared" si="2"/>
        <v/>
      </c>
      <c r="L19" s="36" t="str">
        <f t="shared" si="3"/>
        <v/>
      </c>
      <c r="M19" s="37"/>
      <c r="N19" s="33"/>
      <c r="O19" s="34"/>
      <c r="P19" s="35" t="str">
        <f t="shared" si="4"/>
        <v/>
      </c>
      <c r="Q19" s="36" t="str">
        <f t="shared" si="5"/>
        <v/>
      </c>
      <c r="R19" s="37"/>
      <c r="S19" s="33"/>
      <c r="T19" s="34"/>
      <c r="U19" s="35" t="str">
        <f t="shared" si="6"/>
        <v/>
      </c>
      <c r="V19" s="36" t="str">
        <f t="shared" si="7"/>
        <v/>
      </c>
      <c r="W19" s="37"/>
      <c r="X19" s="33"/>
      <c r="Y19" s="34"/>
      <c r="Z19" s="35" t="str">
        <f t="shared" si="8"/>
        <v/>
      </c>
      <c r="AA19" s="36" t="str">
        <f t="shared" si="9"/>
        <v/>
      </c>
      <c r="AB19" s="37"/>
      <c r="AC19" s="33"/>
      <c r="AD19" s="34"/>
      <c r="AE19" s="35" t="str">
        <f t="shared" si="10"/>
        <v/>
      </c>
      <c r="AF19" s="36" t="str">
        <f t="shared" si="11"/>
        <v/>
      </c>
      <c r="AG19" s="37"/>
      <c r="AH19" s="33"/>
      <c r="AI19" s="34"/>
      <c r="AJ19" s="35" t="str">
        <f t="shared" si="12"/>
        <v/>
      </c>
      <c r="AK19" s="36" t="str">
        <f t="shared" si="13"/>
        <v/>
      </c>
      <c r="AL19" s="37"/>
      <c r="AM19" s="33"/>
      <c r="AN19" s="34"/>
      <c r="AO19" s="35" t="str">
        <f t="shared" si="14"/>
        <v/>
      </c>
      <c r="AP19" s="36" t="str">
        <f t="shared" si="15"/>
        <v/>
      </c>
      <c r="AQ19" s="37"/>
      <c r="AR19" s="33"/>
      <c r="AS19" s="34"/>
      <c r="AT19" s="35" t="str">
        <f t="shared" si="16"/>
        <v/>
      </c>
      <c r="AU19" s="36" t="str">
        <f t="shared" si="17"/>
        <v/>
      </c>
      <c r="AV19" s="37"/>
      <c r="AW19" s="33"/>
      <c r="AX19" s="34"/>
      <c r="AY19" s="35" t="str">
        <f t="shared" si="18"/>
        <v/>
      </c>
      <c r="AZ19" s="36" t="str">
        <f t="shared" si="19"/>
        <v/>
      </c>
      <c r="BA19" s="37"/>
      <c r="BB19" s="33"/>
      <c r="BC19" s="34"/>
      <c r="BD19" s="35" t="str">
        <f t="shared" si="20"/>
        <v/>
      </c>
      <c r="BE19" s="36" t="str">
        <f t="shared" si="21"/>
        <v/>
      </c>
      <c r="BF19" s="37"/>
      <c r="BG19" s="33"/>
      <c r="BH19" s="34"/>
      <c r="BI19" s="35" t="str">
        <f t="shared" si="22"/>
        <v/>
      </c>
      <c r="BJ19" s="36" t="str">
        <f t="shared" si="23"/>
        <v/>
      </c>
      <c r="BK19" s="37"/>
      <c r="BL19" s="33"/>
      <c r="BM19" s="34"/>
      <c r="BN19" s="35" t="str">
        <f t="shared" si="24"/>
        <v/>
      </c>
      <c r="BO19" s="36" t="str">
        <f t="shared" si="25"/>
        <v/>
      </c>
      <c r="BP19" s="37"/>
      <c r="BQ19" s="33"/>
      <c r="BR19" s="34"/>
      <c r="BS19" s="35" t="str">
        <f t="shared" si="26"/>
        <v/>
      </c>
      <c r="BT19" s="36" t="str">
        <f t="shared" si="27"/>
        <v/>
      </c>
      <c r="BU19" s="37"/>
      <c r="BV19" s="33"/>
      <c r="BW19" s="34"/>
      <c r="BX19" s="35" t="str">
        <f t="shared" si="28"/>
        <v/>
      </c>
      <c r="BY19" s="36" t="str">
        <f t="shared" si="29"/>
        <v/>
      </c>
      <c r="BZ19" s="37"/>
      <c r="CA19" s="33"/>
      <c r="CB19" s="34"/>
      <c r="CC19" s="35" t="str">
        <f t="shared" si="30"/>
        <v/>
      </c>
      <c r="CD19" s="36" t="str">
        <f t="shared" si="31"/>
        <v/>
      </c>
      <c r="CE19" s="37"/>
      <c r="CF19" s="33"/>
      <c r="CG19" s="34"/>
      <c r="CH19" s="35" t="str">
        <f t="shared" si="32"/>
        <v/>
      </c>
      <c r="CI19" s="36" t="str">
        <f t="shared" si="33"/>
        <v/>
      </c>
      <c r="CJ19" s="37"/>
      <c r="CK19" s="33"/>
      <c r="CL19" s="34"/>
      <c r="CM19" s="35" t="str">
        <f t="shared" si="34"/>
        <v/>
      </c>
      <c r="CN19" s="36" t="str">
        <f t="shared" si="35"/>
        <v/>
      </c>
      <c r="CO19" s="37"/>
      <c r="CP19" s="33"/>
      <c r="CQ19" s="34"/>
      <c r="CR19" s="35" t="str">
        <f t="shared" si="36"/>
        <v/>
      </c>
      <c r="CS19" s="36" t="str">
        <f t="shared" si="37"/>
        <v/>
      </c>
      <c r="CT19" s="37"/>
      <c r="CU19" s="33"/>
      <c r="CV19" s="34"/>
      <c r="CW19" s="35" t="str">
        <f t="shared" si="38"/>
        <v/>
      </c>
      <c r="CX19" s="36" t="str">
        <f t="shared" si="39"/>
        <v/>
      </c>
      <c r="CY19" s="37"/>
      <c r="CZ19" s="33"/>
      <c r="DA19" s="34"/>
      <c r="DB19" s="35" t="str">
        <f t="shared" si="40"/>
        <v/>
      </c>
      <c r="DC19" s="36" t="str">
        <f t="shared" si="41"/>
        <v/>
      </c>
      <c r="DD19" s="37"/>
      <c r="DE19" s="33"/>
      <c r="DF19" s="34"/>
      <c r="DG19" s="35" t="str">
        <f t="shared" si="42"/>
        <v/>
      </c>
      <c r="DH19" s="36" t="str">
        <f t="shared" si="43"/>
        <v/>
      </c>
      <c r="DI19" s="37"/>
      <c r="DJ19" s="33"/>
      <c r="DK19" s="34"/>
      <c r="DL19" s="35" t="str">
        <f t="shared" si="44"/>
        <v/>
      </c>
      <c r="DM19" s="36" t="str">
        <f t="shared" si="45"/>
        <v/>
      </c>
      <c r="DN19" s="37"/>
      <c r="DO19" s="33"/>
      <c r="DP19" s="34"/>
      <c r="DQ19" s="35" t="str">
        <f t="shared" si="46"/>
        <v/>
      </c>
      <c r="DR19" s="36" t="str">
        <f t="shared" si="47"/>
        <v/>
      </c>
      <c r="DS19" s="37"/>
      <c r="DT19" s="33"/>
      <c r="DU19" s="34"/>
      <c r="DV19" s="35" t="str">
        <f t="shared" si="48"/>
        <v/>
      </c>
      <c r="DW19" s="36" t="str">
        <f t="shared" si="49"/>
        <v/>
      </c>
      <c r="DX19" s="37"/>
      <c r="DY19" s="33"/>
      <c r="DZ19" s="34"/>
      <c r="EA19" s="35" t="str">
        <f t="shared" si="50"/>
        <v/>
      </c>
      <c r="EB19" s="36" t="str">
        <f t="shared" si="51"/>
        <v/>
      </c>
      <c r="EC19" s="37"/>
      <c r="ED19" s="33"/>
      <c r="EE19" s="34"/>
      <c r="EF19" s="35" t="str">
        <f t="shared" si="52"/>
        <v/>
      </c>
      <c r="EG19" s="36" t="str">
        <f t="shared" si="53"/>
        <v/>
      </c>
      <c r="EH19" s="37"/>
      <c r="EI19" s="33"/>
      <c r="EJ19" s="34"/>
      <c r="EK19" s="35" t="str">
        <f t="shared" si="54"/>
        <v/>
      </c>
      <c r="EL19" s="36" t="str">
        <f t="shared" si="55"/>
        <v/>
      </c>
      <c r="EM19" s="37"/>
      <c r="EN19" s="33"/>
      <c r="EO19" s="34"/>
      <c r="EP19" s="35" t="str">
        <f t="shared" si="56"/>
        <v/>
      </c>
      <c r="EQ19" s="36" t="str">
        <f t="shared" si="57"/>
        <v/>
      </c>
      <c r="ER19" s="37"/>
      <c r="ES19" s="33"/>
      <c r="ET19" s="34"/>
      <c r="EU19" s="35" t="str">
        <f t="shared" si="58"/>
        <v/>
      </c>
      <c r="EV19" s="36" t="str">
        <f t="shared" si="59"/>
        <v/>
      </c>
      <c r="EW19" s="37"/>
    </row>
    <row r="20" spans="1:153" ht="19.5" customHeight="1">
      <c r="A20" s="32">
        <f>IF(DAY(DATE(対象年度,6,17))&lt;&gt;17,"",17)</f>
        <v>17</v>
      </c>
      <c r="B20" s="32" t="str">
        <f>IF(DAY(DATE(対象年度,6,17))&lt;&gt;17,"",CHOOSE(WEEKDAY(DATE(対象年度,6,17),2),"月","火","水","木","金","土","日"))</f>
        <v>水</v>
      </c>
      <c r="C20" s="32" t="str">
        <f>IF(DAY(DATE(対象年度,6,17))&lt;&gt;17,"",IF(ISNUMBER(MATCH(DATE(対象年度,6,17),祝日リスト,0)),"祝",""))</f>
        <v/>
      </c>
      <c r="D20" s="33"/>
      <c r="E20" s="34"/>
      <c r="F20" s="35" t="str">
        <f t="shared" si="0"/>
        <v/>
      </c>
      <c r="G20" s="36" t="str">
        <f t="shared" si="1"/>
        <v/>
      </c>
      <c r="H20" s="37"/>
      <c r="I20" s="33"/>
      <c r="J20" s="34"/>
      <c r="K20" s="35" t="str">
        <f t="shared" si="2"/>
        <v/>
      </c>
      <c r="L20" s="36" t="str">
        <f t="shared" si="3"/>
        <v/>
      </c>
      <c r="M20" s="37"/>
      <c r="N20" s="33"/>
      <c r="O20" s="34"/>
      <c r="P20" s="35" t="str">
        <f t="shared" si="4"/>
        <v/>
      </c>
      <c r="Q20" s="36" t="str">
        <f t="shared" si="5"/>
        <v/>
      </c>
      <c r="R20" s="37"/>
      <c r="S20" s="33"/>
      <c r="T20" s="34"/>
      <c r="U20" s="35" t="str">
        <f t="shared" si="6"/>
        <v/>
      </c>
      <c r="V20" s="36" t="str">
        <f t="shared" si="7"/>
        <v/>
      </c>
      <c r="W20" s="37"/>
      <c r="X20" s="33"/>
      <c r="Y20" s="34"/>
      <c r="Z20" s="35" t="str">
        <f t="shared" si="8"/>
        <v/>
      </c>
      <c r="AA20" s="36" t="str">
        <f t="shared" si="9"/>
        <v/>
      </c>
      <c r="AB20" s="37"/>
      <c r="AC20" s="33"/>
      <c r="AD20" s="34"/>
      <c r="AE20" s="35" t="str">
        <f t="shared" si="10"/>
        <v/>
      </c>
      <c r="AF20" s="36" t="str">
        <f t="shared" si="11"/>
        <v/>
      </c>
      <c r="AG20" s="37"/>
      <c r="AH20" s="33"/>
      <c r="AI20" s="34"/>
      <c r="AJ20" s="35" t="str">
        <f t="shared" si="12"/>
        <v/>
      </c>
      <c r="AK20" s="36" t="str">
        <f t="shared" si="13"/>
        <v/>
      </c>
      <c r="AL20" s="37"/>
      <c r="AM20" s="33"/>
      <c r="AN20" s="34"/>
      <c r="AO20" s="35" t="str">
        <f t="shared" si="14"/>
        <v/>
      </c>
      <c r="AP20" s="36" t="str">
        <f t="shared" si="15"/>
        <v/>
      </c>
      <c r="AQ20" s="37"/>
      <c r="AR20" s="33"/>
      <c r="AS20" s="34"/>
      <c r="AT20" s="35" t="str">
        <f t="shared" si="16"/>
        <v/>
      </c>
      <c r="AU20" s="36" t="str">
        <f t="shared" si="17"/>
        <v/>
      </c>
      <c r="AV20" s="37"/>
      <c r="AW20" s="33"/>
      <c r="AX20" s="34"/>
      <c r="AY20" s="35" t="str">
        <f t="shared" si="18"/>
        <v/>
      </c>
      <c r="AZ20" s="36" t="str">
        <f t="shared" si="19"/>
        <v/>
      </c>
      <c r="BA20" s="37"/>
      <c r="BB20" s="33"/>
      <c r="BC20" s="34"/>
      <c r="BD20" s="35" t="str">
        <f t="shared" si="20"/>
        <v/>
      </c>
      <c r="BE20" s="36" t="str">
        <f t="shared" si="21"/>
        <v/>
      </c>
      <c r="BF20" s="37"/>
      <c r="BG20" s="33"/>
      <c r="BH20" s="34"/>
      <c r="BI20" s="35" t="str">
        <f t="shared" si="22"/>
        <v/>
      </c>
      <c r="BJ20" s="36" t="str">
        <f t="shared" si="23"/>
        <v/>
      </c>
      <c r="BK20" s="37"/>
      <c r="BL20" s="33"/>
      <c r="BM20" s="34"/>
      <c r="BN20" s="35" t="str">
        <f t="shared" si="24"/>
        <v/>
      </c>
      <c r="BO20" s="36" t="str">
        <f t="shared" si="25"/>
        <v/>
      </c>
      <c r="BP20" s="37"/>
      <c r="BQ20" s="33"/>
      <c r="BR20" s="34"/>
      <c r="BS20" s="35" t="str">
        <f t="shared" si="26"/>
        <v/>
      </c>
      <c r="BT20" s="36" t="str">
        <f t="shared" si="27"/>
        <v/>
      </c>
      <c r="BU20" s="37"/>
      <c r="BV20" s="33"/>
      <c r="BW20" s="34"/>
      <c r="BX20" s="35" t="str">
        <f t="shared" si="28"/>
        <v/>
      </c>
      <c r="BY20" s="36" t="str">
        <f t="shared" si="29"/>
        <v/>
      </c>
      <c r="BZ20" s="37"/>
      <c r="CA20" s="33"/>
      <c r="CB20" s="34"/>
      <c r="CC20" s="35" t="str">
        <f t="shared" si="30"/>
        <v/>
      </c>
      <c r="CD20" s="36" t="str">
        <f t="shared" si="31"/>
        <v/>
      </c>
      <c r="CE20" s="37"/>
      <c r="CF20" s="33"/>
      <c r="CG20" s="34"/>
      <c r="CH20" s="35" t="str">
        <f t="shared" si="32"/>
        <v/>
      </c>
      <c r="CI20" s="36" t="str">
        <f t="shared" si="33"/>
        <v/>
      </c>
      <c r="CJ20" s="37"/>
      <c r="CK20" s="33"/>
      <c r="CL20" s="34"/>
      <c r="CM20" s="35" t="str">
        <f t="shared" si="34"/>
        <v/>
      </c>
      <c r="CN20" s="36" t="str">
        <f t="shared" si="35"/>
        <v/>
      </c>
      <c r="CO20" s="37"/>
      <c r="CP20" s="33"/>
      <c r="CQ20" s="34"/>
      <c r="CR20" s="35" t="str">
        <f t="shared" si="36"/>
        <v/>
      </c>
      <c r="CS20" s="36" t="str">
        <f t="shared" si="37"/>
        <v/>
      </c>
      <c r="CT20" s="37"/>
      <c r="CU20" s="33"/>
      <c r="CV20" s="34"/>
      <c r="CW20" s="35" t="str">
        <f t="shared" si="38"/>
        <v/>
      </c>
      <c r="CX20" s="36" t="str">
        <f t="shared" si="39"/>
        <v/>
      </c>
      <c r="CY20" s="37"/>
      <c r="CZ20" s="33"/>
      <c r="DA20" s="34"/>
      <c r="DB20" s="35" t="str">
        <f t="shared" si="40"/>
        <v/>
      </c>
      <c r="DC20" s="36" t="str">
        <f t="shared" si="41"/>
        <v/>
      </c>
      <c r="DD20" s="37"/>
      <c r="DE20" s="33"/>
      <c r="DF20" s="34"/>
      <c r="DG20" s="35" t="str">
        <f t="shared" si="42"/>
        <v/>
      </c>
      <c r="DH20" s="36" t="str">
        <f t="shared" si="43"/>
        <v/>
      </c>
      <c r="DI20" s="37"/>
      <c r="DJ20" s="33"/>
      <c r="DK20" s="34"/>
      <c r="DL20" s="35" t="str">
        <f t="shared" si="44"/>
        <v/>
      </c>
      <c r="DM20" s="36" t="str">
        <f t="shared" si="45"/>
        <v/>
      </c>
      <c r="DN20" s="37"/>
      <c r="DO20" s="33"/>
      <c r="DP20" s="34"/>
      <c r="DQ20" s="35" t="str">
        <f t="shared" si="46"/>
        <v/>
      </c>
      <c r="DR20" s="36" t="str">
        <f t="shared" si="47"/>
        <v/>
      </c>
      <c r="DS20" s="37"/>
      <c r="DT20" s="33"/>
      <c r="DU20" s="34"/>
      <c r="DV20" s="35" t="str">
        <f t="shared" si="48"/>
        <v/>
      </c>
      <c r="DW20" s="36" t="str">
        <f t="shared" si="49"/>
        <v/>
      </c>
      <c r="DX20" s="37"/>
      <c r="DY20" s="33"/>
      <c r="DZ20" s="34"/>
      <c r="EA20" s="35" t="str">
        <f t="shared" si="50"/>
        <v/>
      </c>
      <c r="EB20" s="36" t="str">
        <f t="shared" si="51"/>
        <v/>
      </c>
      <c r="EC20" s="37"/>
      <c r="ED20" s="33"/>
      <c r="EE20" s="34"/>
      <c r="EF20" s="35" t="str">
        <f t="shared" si="52"/>
        <v/>
      </c>
      <c r="EG20" s="36" t="str">
        <f t="shared" si="53"/>
        <v/>
      </c>
      <c r="EH20" s="37"/>
      <c r="EI20" s="33"/>
      <c r="EJ20" s="34"/>
      <c r="EK20" s="35" t="str">
        <f t="shared" si="54"/>
        <v/>
      </c>
      <c r="EL20" s="36" t="str">
        <f t="shared" si="55"/>
        <v/>
      </c>
      <c r="EM20" s="37"/>
      <c r="EN20" s="33"/>
      <c r="EO20" s="34"/>
      <c r="EP20" s="35" t="str">
        <f t="shared" si="56"/>
        <v/>
      </c>
      <c r="EQ20" s="36" t="str">
        <f t="shared" si="57"/>
        <v/>
      </c>
      <c r="ER20" s="37"/>
      <c r="ES20" s="33"/>
      <c r="ET20" s="34"/>
      <c r="EU20" s="35" t="str">
        <f t="shared" si="58"/>
        <v/>
      </c>
      <c r="EV20" s="36" t="str">
        <f t="shared" si="59"/>
        <v/>
      </c>
      <c r="EW20" s="37"/>
    </row>
    <row r="21" spans="1:153" ht="19.5" customHeight="1">
      <c r="A21" s="32">
        <f>IF(DAY(DATE(対象年度,6,18))&lt;&gt;18,"",18)</f>
        <v>18</v>
      </c>
      <c r="B21" s="32" t="str">
        <f>IF(DAY(DATE(対象年度,6,18))&lt;&gt;18,"",CHOOSE(WEEKDAY(DATE(対象年度,6,18),2),"月","火","水","木","金","土","日"))</f>
        <v>木</v>
      </c>
      <c r="C21" s="32" t="str">
        <f>IF(DAY(DATE(対象年度,6,18))&lt;&gt;18,"",IF(ISNUMBER(MATCH(DATE(対象年度,6,18),祝日リスト,0)),"祝",""))</f>
        <v/>
      </c>
      <c r="D21" s="33"/>
      <c r="E21" s="34"/>
      <c r="F21" s="35" t="str">
        <f t="shared" si="0"/>
        <v/>
      </c>
      <c r="G21" s="36" t="str">
        <f t="shared" si="1"/>
        <v/>
      </c>
      <c r="H21" s="37"/>
      <c r="I21" s="33"/>
      <c r="J21" s="34"/>
      <c r="K21" s="35" t="str">
        <f t="shared" si="2"/>
        <v/>
      </c>
      <c r="L21" s="36" t="str">
        <f t="shared" si="3"/>
        <v/>
      </c>
      <c r="M21" s="37"/>
      <c r="N21" s="33"/>
      <c r="O21" s="34"/>
      <c r="P21" s="35" t="str">
        <f t="shared" si="4"/>
        <v/>
      </c>
      <c r="Q21" s="36" t="str">
        <f t="shared" si="5"/>
        <v/>
      </c>
      <c r="R21" s="37"/>
      <c r="S21" s="33"/>
      <c r="T21" s="34"/>
      <c r="U21" s="35" t="str">
        <f t="shared" si="6"/>
        <v/>
      </c>
      <c r="V21" s="36" t="str">
        <f t="shared" si="7"/>
        <v/>
      </c>
      <c r="W21" s="37"/>
      <c r="X21" s="33"/>
      <c r="Y21" s="34"/>
      <c r="Z21" s="35" t="str">
        <f t="shared" si="8"/>
        <v/>
      </c>
      <c r="AA21" s="36" t="str">
        <f t="shared" si="9"/>
        <v/>
      </c>
      <c r="AB21" s="37"/>
      <c r="AC21" s="33"/>
      <c r="AD21" s="34"/>
      <c r="AE21" s="35" t="str">
        <f t="shared" si="10"/>
        <v/>
      </c>
      <c r="AF21" s="36" t="str">
        <f t="shared" si="11"/>
        <v/>
      </c>
      <c r="AG21" s="37"/>
      <c r="AH21" s="33"/>
      <c r="AI21" s="34"/>
      <c r="AJ21" s="35" t="str">
        <f t="shared" si="12"/>
        <v/>
      </c>
      <c r="AK21" s="36" t="str">
        <f t="shared" si="13"/>
        <v/>
      </c>
      <c r="AL21" s="37"/>
      <c r="AM21" s="33"/>
      <c r="AN21" s="34"/>
      <c r="AO21" s="35" t="str">
        <f t="shared" si="14"/>
        <v/>
      </c>
      <c r="AP21" s="36" t="str">
        <f t="shared" si="15"/>
        <v/>
      </c>
      <c r="AQ21" s="37"/>
      <c r="AR21" s="33"/>
      <c r="AS21" s="34"/>
      <c r="AT21" s="35" t="str">
        <f t="shared" si="16"/>
        <v/>
      </c>
      <c r="AU21" s="36" t="str">
        <f t="shared" si="17"/>
        <v/>
      </c>
      <c r="AV21" s="37"/>
      <c r="AW21" s="33"/>
      <c r="AX21" s="34"/>
      <c r="AY21" s="35" t="str">
        <f t="shared" si="18"/>
        <v/>
      </c>
      <c r="AZ21" s="36" t="str">
        <f t="shared" si="19"/>
        <v/>
      </c>
      <c r="BA21" s="37"/>
      <c r="BB21" s="33"/>
      <c r="BC21" s="34"/>
      <c r="BD21" s="35" t="str">
        <f t="shared" si="20"/>
        <v/>
      </c>
      <c r="BE21" s="36" t="str">
        <f t="shared" si="21"/>
        <v/>
      </c>
      <c r="BF21" s="37"/>
      <c r="BG21" s="33"/>
      <c r="BH21" s="34"/>
      <c r="BI21" s="35" t="str">
        <f t="shared" si="22"/>
        <v/>
      </c>
      <c r="BJ21" s="36" t="str">
        <f t="shared" si="23"/>
        <v/>
      </c>
      <c r="BK21" s="37"/>
      <c r="BL21" s="33"/>
      <c r="BM21" s="34"/>
      <c r="BN21" s="35" t="str">
        <f t="shared" si="24"/>
        <v/>
      </c>
      <c r="BO21" s="36" t="str">
        <f t="shared" si="25"/>
        <v/>
      </c>
      <c r="BP21" s="37"/>
      <c r="BQ21" s="33"/>
      <c r="BR21" s="34"/>
      <c r="BS21" s="35" t="str">
        <f t="shared" si="26"/>
        <v/>
      </c>
      <c r="BT21" s="36" t="str">
        <f t="shared" si="27"/>
        <v/>
      </c>
      <c r="BU21" s="37"/>
      <c r="BV21" s="33"/>
      <c r="BW21" s="34"/>
      <c r="BX21" s="35" t="str">
        <f t="shared" si="28"/>
        <v/>
      </c>
      <c r="BY21" s="36" t="str">
        <f t="shared" si="29"/>
        <v/>
      </c>
      <c r="BZ21" s="37"/>
      <c r="CA21" s="33"/>
      <c r="CB21" s="34"/>
      <c r="CC21" s="35" t="str">
        <f t="shared" si="30"/>
        <v/>
      </c>
      <c r="CD21" s="36" t="str">
        <f t="shared" si="31"/>
        <v/>
      </c>
      <c r="CE21" s="37"/>
      <c r="CF21" s="33"/>
      <c r="CG21" s="34"/>
      <c r="CH21" s="35" t="str">
        <f t="shared" si="32"/>
        <v/>
      </c>
      <c r="CI21" s="36" t="str">
        <f t="shared" si="33"/>
        <v/>
      </c>
      <c r="CJ21" s="37"/>
      <c r="CK21" s="33"/>
      <c r="CL21" s="34"/>
      <c r="CM21" s="35" t="str">
        <f t="shared" si="34"/>
        <v/>
      </c>
      <c r="CN21" s="36" t="str">
        <f t="shared" si="35"/>
        <v/>
      </c>
      <c r="CO21" s="37"/>
      <c r="CP21" s="33"/>
      <c r="CQ21" s="34"/>
      <c r="CR21" s="35" t="str">
        <f t="shared" si="36"/>
        <v/>
      </c>
      <c r="CS21" s="36" t="str">
        <f t="shared" si="37"/>
        <v/>
      </c>
      <c r="CT21" s="37"/>
      <c r="CU21" s="33"/>
      <c r="CV21" s="34"/>
      <c r="CW21" s="35" t="str">
        <f t="shared" si="38"/>
        <v/>
      </c>
      <c r="CX21" s="36" t="str">
        <f t="shared" si="39"/>
        <v/>
      </c>
      <c r="CY21" s="37"/>
      <c r="CZ21" s="33"/>
      <c r="DA21" s="34"/>
      <c r="DB21" s="35" t="str">
        <f t="shared" si="40"/>
        <v/>
      </c>
      <c r="DC21" s="36" t="str">
        <f t="shared" si="41"/>
        <v/>
      </c>
      <c r="DD21" s="37"/>
      <c r="DE21" s="33"/>
      <c r="DF21" s="34"/>
      <c r="DG21" s="35" t="str">
        <f t="shared" si="42"/>
        <v/>
      </c>
      <c r="DH21" s="36" t="str">
        <f t="shared" si="43"/>
        <v/>
      </c>
      <c r="DI21" s="37"/>
      <c r="DJ21" s="33"/>
      <c r="DK21" s="34"/>
      <c r="DL21" s="35" t="str">
        <f t="shared" si="44"/>
        <v/>
      </c>
      <c r="DM21" s="36" t="str">
        <f t="shared" si="45"/>
        <v/>
      </c>
      <c r="DN21" s="37"/>
      <c r="DO21" s="33"/>
      <c r="DP21" s="34"/>
      <c r="DQ21" s="35" t="str">
        <f t="shared" si="46"/>
        <v/>
      </c>
      <c r="DR21" s="36" t="str">
        <f t="shared" si="47"/>
        <v/>
      </c>
      <c r="DS21" s="37"/>
      <c r="DT21" s="33"/>
      <c r="DU21" s="34"/>
      <c r="DV21" s="35" t="str">
        <f t="shared" si="48"/>
        <v/>
      </c>
      <c r="DW21" s="36" t="str">
        <f t="shared" si="49"/>
        <v/>
      </c>
      <c r="DX21" s="37"/>
      <c r="DY21" s="33"/>
      <c r="DZ21" s="34"/>
      <c r="EA21" s="35" t="str">
        <f t="shared" si="50"/>
        <v/>
      </c>
      <c r="EB21" s="36" t="str">
        <f t="shared" si="51"/>
        <v/>
      </c>
      <c r="EC21" s="37"/>
      <c r="ED21" s="33"/>
      <c r="EE21" s="34"/>
      <c r="EF21" s="35" t="str">
        <f t="shared" si="52"/>
        <v/>
      </c>
      <c r="EG21" s="36" t="str">
        <f t="shared" si="53"/>
        <v/>
      </c>
      <c r="EH21" s="37"/>
      <c r="EI21" s="33"/>
      <c r="EJ21" s="34"/>
      <c r="EK21" s="35" t="str">
        <f t="shared" si="54"/>
        <v/>
      </c>
      <c r="EL21" s="36" t="str">
        <f t="shared" si="55"/>
        <v/>
      </c>
      <c r="EM21" s="37"/>
      <c r="EN21" s="33"/>
      <c r="EO21" s="34"/>
      <c r="EP21" s="35" t="str">
        <f t="shared" si="56"/>
        <v/>
      </c>
      <c r="EQ21" s="36" t="str">
        <f t="shared" si="57"/>
        <v/>
      </c>
      <c r="ER21" s="37"/>
      <c r="ES21" s="33"/>
      <c r="ET21" s="34"/>
      <c r="EU21" s="35" t="str">
        <f t="shared" si="58"/>
        <v/>
      </c>
      <c r="EV21" s="36" t="str">
        <f t="shared" si="59"/>
        <v/>
      </c>
      <c r="EW21" s="37"/>
    </row>
    <row r="22" spans="1:153" ht="19.5" customHeight="1">
      <c r="A22" s="32">
        <f>IF(DAY(DATE(対象年度,6,19))&lt;&gt;19,"",19)</f>
        <v>19</v>
      </c>
      <c r="B22" s="32" t="str">
        <f>IF(DAY(DATE(対象年度,6,19))&lt;&gt;19,"",CHOOSE(WEEKDAY(DATE(対象年度,6,19),2),"月","火","水","木","金","土","日"))</f>
        <v>金</v>
      </c>
      <c r="C22" s="32" t="str">
        <f>IF(DAY(DATE(対象年度,6,19))&lt;&gt;19,"",IF(ISNUMBER(MATCH(DATE(対象年度,6,19),祝日リスト,0)),"祝",""))</f>
        <v/>
      </c>
      <c r="D22" s="33"/>
      <c r="E22" s="34"/>
      <c r="F22" s="35" t="str">
        <f t="shared" si="0"/>
        <v/>
      </c>
      <c r="G22" s="36" t="str">
        <f t="shared" si="1"/>
        <v/>
      </c>
      <c r="H22" s="37"/>
      <c r="I22" s="33"/>
      <c r="J22" s="34"/>
      <c r="K22" s="35" t="str">
        <f t="shared" si="2"/>
        <v/>
      </c>
      <c r="L22" s="36" t="str">
        <f t="shared" si="3"/>
        <v/>
      </c>
      <c r="M22" s="37"/>
      <c r="N22" s="33"/>
      <c r="O22" s="34"/>
      <c r="P22" s="35" t="str">
        <f t="shared" si="4"/>
        <v/>
      </c>
      <c r="Q22" s="36" t="str">
        <f t="shared" si="5"/>
        <v/>
      </c>
      <c r="R22" s="37"/>
      <c r="S22" s="33"/>
      <c r="T22" s="34"/>
      <c r="U22" s="35" t="str">
        <f t="shared" si="6"/>
        <v/>
      </c>
      <c r="V22" s="36" t="str">
        <f t="shared" si="7"/>
        <v/>
      </c>
      <c r="W22" s="37"/>
      <c r="X22" s="33"/>
      <c r="Y22" s="34"/>
      <c r="Z22" s="35" t="str">
        <f t="shared" si="8"/>
        <v/>
      </c>
      <c r="AA22" s="36" t="str">
        <f t="shared" si="9"/>
        <v/>
      </c>
      <c r="AB22" s="37"/>
      <c r="AC22" s="33"/>
      <c r="AD22" s="34"/>
      <c r="AE22" s="35" t="str">
        <f t="shared" si="10"/>
        <v/>
      </c>
      <c r="AF22" s="36" t="str">
        <f t="shared" si="11"/>
        <v/>
      </c>
      <c r="AG22" s="37"/>
      <c r="AH22" s="33"/>
      <c r="AI22" s="34"/>
      <c r="AJ22" s="35" t="str">
        <f t="shared" si="12"/>
        <v/>
      </c>
      <c r="AK22" s="36" t="str">
        <f t="shared" si="13"/>
        <v/>
      </c>
      <c r="AL22" s="37"/>
      <c r="AM22" s="33"/>
      <c r="AN22" s="34"/>
      <c r="AO22" s="35" t="str">
        <f t="shared" si="14"/>
        <v/>
      </c>
      <c r="AP22" s="36" t="str">
        <f t="shared" si="15"/>
        <v/>
      </c>
      <c r="AQ22" s="37"/>
      <c r="AR22" s="33"/>
      <c r="AS22" s="34"/>
      <c r="AT22" s="35" t="str">
        <f t="shared" si="16"/>
        <v/>
      </c>
      <c r="AU22" s="36" t="str">
        <f t="shared" si="17"/>
        <v/>
      </c>
      <c r="AV22" s="37"/>
      <c r="AW22" s="33"/>
      <c r="AX22" s="34"/>
      <c r="AY22" s="35" t="str">
        <f t="shared" si="18"/>
        <v/>
      </c>
      <c r="AZ22" s="36" t="str">
        <f t="shared" si="19"/>
        <v/>
      </c>
      <c r="BA22" s="37"/>
      <c r="BB22" s="33"/>
      <c r="BC22" s="34"/>
      <c r="BD22" s="35" t="str">
        <f t="shared" si="20"/>
        <v/>
      </c>
      <c r="BE22" s="36" t="str">
        <f t="shared" si="21"/>
        <v/>
      </c>
      <c r="BF22" s="37"/>
      <c r="BG22" s="33"/>
      <c r="BH22" s="34"/>
      <c r="BI22" s="35" t="str">
        <f t="shared" si="22"/>
        <v/>
      </c>
      <c r="BJ22" s="36" t="str">
        <f t="shared" si="23"/>
        <v/>
      </c>
      <c r="BK22" s="37"/>
      <c r="BL22" s="33"/>
      <c r="BM22" s="34"/>
      <c r="BN22" s="35" t="str">
        <f t="shared" si="24"/>
        <v/>
      </c>
      <c r="BO22" s="36" t="str">
        <f t="shared" si="25"/>
        <v/>
      </c>
      <c r="BP22" s="37"/>
      <c r="BQ22" s="33"/>
      <c r="BR22" s="34"/>
      <c r="BS22" s="35" t="str">
        <f t="shared" si="26"/>
        <v/>
      </c>
      <c r="BT22" s="36" t="str">
        <f t="shared" si="27"/>
        <v/>
      </c>
      <c r="BU22" s="37"/>
      <c r="BV22" s="33"/>
      <c r="BW22" s="34"/>
      <c r="BX22" s="35" t="str">
        <f t="shared" si="28"/>
        <v/>
      </c>
      <c r="BY22" s="36" t="str">
        <f t="shared" si="29"/>
        <v/>
      </c>
      <c r="BZ22" s="37"/>
      <c r="CA22" s="33"/>
      <c r="CB22" s="34"/>
      <c r="CC22" s="35" t="str">
        <f t="shared" si="30"/>
        <v/>
      </c>
      <c r="CD22" s="36" t="str">
        <f t="shared" si="31"/>
        <v/>
      </c>
      <c r="CE22" s="37"/>
      <c r="CF22" s="33"/>
      <c r="CG22" s="34"/>
      <c r="CH22" s="35" t="str">
        <f t="shared" si="32"/>
        <v/>
      </c>
      <c r="CI22" s="36" t="str">
        <f t="shared" si="33"/>
        <v/>
      </c>
      <c r="CJ22" s="37"/>
      <c r="CK22" s="33"/>
      <c r="CL22" s="34"/>
      <c r="CM22" s="35" t="str">
        <f t="shared" si="34"/>
        <v/>
      </c>
      <c r="CN22" s="36" t="str">
        <f t="shared" si="35"/>
        <v/>
      </c>
      <c r="CO22" s="37"/>
      <c r="CP22" s="33"/>
      <c r="CQ22" s="34"/>
      <c r="CR22" s="35" t="str">
        <f t="shared" si="36"/>
        <v/>
      </c>
      <c r="CS22" s="36" t="str">
        <f t="shared" si="37"/>
        <v/>
      </c>
      <c r="CT22" s="37"/>
      <c r="CU22" s="33"/>
      <c r="CV22" s="34"/>
      <c r="CW22" s="35" t="str">
        <f t="shared" si="38"/>
        <v/>
      </c>
      <c r="CX22" s="36" t="str">
        <f t="shared" si="39"/>
        <v/>
      </c>
      <c r="CY22" s="37"/>
      <c r="CZ22" s="33"/>
      <c r="DA22" s="34"/>
      <c r="DB22" s="35" t="str">
        <f t="shared" si="40"/>
        <v/>
      </c>
      <c r="DC22" s="36" t="str">
        <f t="shared" si="41"/>
        <v/>
      </c>
      <c r="DD22" s="37"/>
      <c r="DE22" s="33"/>
      <c r="DF22" s="34"/>
      <c r="DG22" s="35" t="str">
        <f t="shared" si="42"/>
        <v/>
      </c>
      <c r="DH22" s="36" t="str">
        <f t="shared" si="43"/>
        <v/>
      </c>
      <c r="DI22" s="37"/>
      <c r="DJ22" s="33"/>
      <c r="DK22" s="34"/>
      <c r="DL22" s="35" t="str">
        <f t="shared" si="44"/>
        <v/>
      </c>
      <c r="DM22" s="36" t="str">
        <f t="shared" si="45"/>
        <v/>
      </c>
      <c r="DN22" s="37"/>
      <c r="DO22" s="33"/>
      <c r="DP22" s="34"/>
      <c r="DQ22" s="35" t="str">
        <f t="shared" si="46"/>
        <v/>
      </c>
      <c r="DR22" s="36" t="str">
        <f t="shared" si="47"/>
        <v/>
      </c>
      <c r="DS22" s="37"/>
      <c r="DT22" s="33"/>
      <c r="DU22" s="34"/>
      <c r="DV22" s="35" t="str">
        <f t="shared" si="48"/>
        <v/>
      </c>
      <c r="DW22" s="36" t="str">
        <f t="shared" si="49"/>
        <v/>
      </c>
      <c r="DX22" s="37"/>
      <c r="DY22" s="33"/>
      <c r="DZ22" s="34"/>
      <c r="EA22" s="35" t="str">
        <f t="shared" si="50"/>
        <v/>
      </c>
      <c r="EB22" s="36" t="str">
        <f t="shared" si="51"/>
        <v/>
      </c>
      <c r="EC22" s="37"/>
      <c r="ED22" s="33"/>
      <c r="EE22" s="34"/>
      <c r="EF22" s="35" t="str">
        <f t="shared" si="52"/>
        <v/>
      </c>
      <c r="EG22" s="36" t="str">
        <f t="shared" si="53"/>
        <v/>
      </c>
      <c r="EH22" s="37"/>
      <c r="EI22" s="33"/>
      <c r="EJ22" s="34"/>
      <c r="EK22" s="35" t="str">
        <f t="shared" si="54"/>
        <v/>
      </c>
      <c r="EL22" s="36" t="str">
        <f t="shared" si="55"/>
        <v/>
      </c>
      <c r="EM22" s="37"/>
      <c r="EN22" s="33"/>
      <c r="EO22" s="34"/>
      <c r="EP22" s="35" t="str">
        <f t="shared" si="56"/>
        <v/>
      </c>
      <c r="EQ22" s="36" t="str">
        <f t="shared" si="57"/>
        <v/>
      </c>
      <c r="ER22" s="37"/>
      <c r="ES22" s="33"/>
      <c r="ET22" s="34"/>
      <c r="EU22" s="35" t="str">
        <f t="shared" si="58"/>
        <v/>
      </c>
      <c r="EV22" s="36" t="str">
        <f t="shared" si="59"/>
        <v/>
      </c>
      <c r="EW22" s="37"/>
    </row>
    <row r="23" spans="1:153" ht="19.5" customHeight="1">
      <c r="A23" s="32">
        <f>IF(DAY(DATE(対象年度,6,20))&lt;&gt;20,"",20)</f>
        <v>20</v>
      </c>
      <c r="B23" s="32" t="str">
        <f>IF(DAY(DATE(対象年度,6,20))&lt;&gt;20,"",CHOOSE(WEEKDAY(DATE(対象年度,6,20),2),"月","火","水","木","金","土","日"))</f>
        <v>土</v>
      </c>
      <c r="C23" s="32" t="str">
        <f>IF(DAY(DATE(対象年度,6,20))&lt;&gt;20,"",IF(ISNUMBER(MATCH(DATE(対象年度,6,20),祝日リスト,0)),"祝",""))</f>
        <v/>
      </c>
      <c r="D23" s="33"/>
      <c r="E23" s="34"/>
      <c r="F23" s="35" t="str">
        <f t="shared" si="0"/>
        <v/>
      </c>
      <c r="G23" s="36" t="str">
        <f t="shared" si="1"/>
        <v/>
      </c>
      <c r="H23" s="37"/>
      <c r="I23" s="33"/>
      <c r="J23" s="34"/>
      <c r="K23" s="35" t="str">
        <f t="shared" si="2"/>
        <v/>
      </c>
      <c r="L23" s="36" t="str">
        <f t="shared" si="3"/>
        <v/>
      </c>
      <c r="M23" s="37"/>
      <c r="N23" s="33"/>
      <c r="O23" s="34"/>
      <c r="P23" s="35" t="str">
        <f t="shared" si="4"/>
        <v/>
      </c>
      <c r="Q23" s="36" t="str">
        <f t="shared" si="5"/>
        <v/>
      </c>
      <c r="R23" s="37"/>
      <c r="S23" s="33"/>
      <c r="T23" s="34"/>
      <c r="U23" s="35" t="str">
        <f t="shared" si="6"/>
        <v/>
      </c>
      <c r="V23" s="36" t="str">
        <f t="shared" si="7"/>
        <v/>
      </c>
      <c r="W23" s="37"/>
      <c r="X23" s="33"/>
      <c r="Y23" s="34"/>
      <c r="Z23" s="35" t="str">
        <f t="shared" si="8"/>
        <v/>
      </c>
      <c r="AA23" s="36" t="str">
        <f t="shared" si="9"/>
        <v/>
      </c>
      <c r="AB23" s="37"/>
      <c r="AC23" s="33"/>
      <c r="AD23" s="34"/>
      <c r="AE23" s="35" t="str">
        <f t="shared" si="10"/>
        <v/>
      </c>
      <c r="AF23" s="36" t="str">
        <f t="shared" si="11"/>
        <v/>
      </c>
      <c r="AG23" s="37"/>
      <c r="AH23" s="33"/>
      <c r="AI23" s="34"/>
      <c r="AJ23" s="35" t="str">
        <f t="shared" si="12"/>
        <v/>
      </c>
      <c r="AK23" s="36" t="str">
        <f t="shared" si="13"/>
        <v/>
      </c>
      <c r="AL23" s="37"/>
      <c r="AM23" s="33"/>
      <c r="AN23" s="34"/>
      <c r="AO23" s="35" t="str">
        <f t="shared" si="14"/>
        <v/>
      </c>
      <c r="AP23" s="36" t="str">
        <f t="shared" si="15"/>
        <v/>
      </c>
      <c r="AQ23" s="37"/>
      <c r="AR23" s="33"/>
      <c r="AS23" s="34"/>
      <c r="AT23" s="35" t="str">
        <f t="shared" si="16"/>
        <v/>
      </c>
      <c r="AU23" s="36" t="str">
        <f t="shared" si="17"/>
        <v/>
      </c>
      <c r="AV23" s="37"/>
      <c r="AW23" s="33"/>
      <c r="AX23" s="34"/>
      <c r="AY23" s="35" t="str">
        <f t="shared" si="18"/>
        <v/>
      </c>
      <c r="AZ23" s="36" t="str">
        <f t="shared" si="19"/>
        <v/>
      </c>
      <c r="BA23" s="37"/>
      <c r="BB23" s="33"/>
      <c r="BC23" s="34"/>
      <c r="BD23" s="35" t="str">
        <f t="shared" si="20"/>
        <v/>
      </c>
      <c r="BE23" s="36" t="str">
        <f t="shared" si="21"/>
        <v/>
      </c>
      <c r="BF23" s="37"/>
      <c r="BG23" s="33"/>
      <c r="BH23" s="34"/>
      <c r="BI23" s="35" t="str">
        <f t="shared" si="22"/>
        <v/>
      </c>
      <c r="BJ23" s="36" t="str">
        <f t="shared" si="23"/>
        <v/>
      </c>
      <c r="BK23" s="37"/>
      <c r="BL23" s="33"/>
      <c r="BM23" s="34"/>
      <c r="BN23" s="35" t="str">
        <f t="shared" si="24"/>
        <v/>
      </c>
      <c r="BO23" s="36" t="str">
        <f t="shared" si="25"/>
        <v/>
      </c>
      <c r="BP23" s="37"/>
      <c r="BQ23" s="33"/>
      <c r="BR23" s="34"/>
      <c r="BS23" s="35" t="str">
        <f t="shared" si="26"/>
        <v/>
      </c>
      <c r="BT23" s="36" t="str">
        <f t="shared" si="27"/>
        <v/>
      </c>
      <c r="BU23" s="37"/>
      <c r="BV23" s="33"/>
      <c r="BW23" s="34"/>
      <c r="BX23" s="35" t="str">
        <f t="shared" si="28"/>
        <v/>
      </c>
      <c r="BY23" s="36" t="str">
        <f t="shared" si="29"/>
        <v/>
      </c>
      <c r="BZ23" s="37"/>
      <c r="CA23" s="33"/>
      <c r="CB23" s="34"/>
      <c r="CC23" s="35" t="str">
        <f t="shared" si="30"/>
        <v/>
      </c>
      <c r="CD23" s="36" t="str">
        <f t="shared" si="31"/>
        <v/>
      </c>
      <c r="CE23" s="37"/>
      <c r="CF23" s="33"/>
      <c r="CG23" s="34"/>
      <c r="CH23" s="35" t="str">
        <f t="shared" si="32"/>
        <v/>
      </c>
      <c r="CI23" s="36" t="str">
        <f t="shared" si="33"/>
        <v/>
      </c>
      <c r="CJ23" s="37"/>
      <c r="CK23" s="33"/>
      <c r="CL23" s="34"/>
      <c r="CM23" s="35" t="str">
        <f t="shared" si="34"/>
        <v/>
      </c>
      <c r="CN23" s="36" t="str">
        <f t="shared" si="35"/>
        <v/>
      </c>
      <c r="CO23" s="37"/>
      <c r="CP23" s="33"/>
      <c r="CQ23" s="34"/>
      <c r="CR23" s="35" t="str">
        <f t="shared" si="36"/>
        <v/>
      </c>
      <c r="CS23" s="36" t="str">
        <f t="shared" si="37"/>
        <v/>
      </c>
      <c r="CT23" s="37"/>
      <c r="CU23" s="33"/>
      <c r="CV23" s="34"/>
      <c r="CW23" s="35" t="str">
        <f t="shared" si="38"/>
        <v/>
      </c>
      <c r="CX23" s="36" t="str">
        <f t="shared" si="39"/>
        <v/>
      </c>
      <c r="CY23" s="37"/>
      <c r="CZ23" s="33"/>
      <c r="DA23" s="34"/>
      <c r="DB23" s="35" t="str">
        <f t="shared" si="40"/>
        <v/>
      </c>
      <c r="DC23" s="36" t="str">
        <f t="shared" si="41"/>
        <v/>
      </c>
      <c r="DD23" s="37"/>
      <c r="DE23" s="33"/>
      <c r="DF23" s="34"/>
      <c r="DG23" s="35" t="str">
        <f t="shared" si="42"/>
        <v/>
      </c>
      <c r="DH23" s="36" t="str">
        <f t="shared" si="43"/>
        <v/>
      </c>
      <c r="DI23" s="37"/>
      <c r="DJ23" s="33"/>
      <c r="DK23" s="34"/>
      <c r="DL23" s="35" t="str">
        <f t="shared" si="44"/>
        <v/>
      </c>
      <c r="DM23" s="36" t="str">
        <f t="shared" si="45"/>
        <v/>
      </c>
      <c r="DN23" s="37"/>
      <c r="DO23" s="33"/>
      <c r="DP23" s="34"/>
      <c r="DQ23" s="35" t="str">
        <f t="shared" si="46"/>
        <v/>
      </c>
      <c r="DR23" s="36" t="str">
        <f t="shared" si="47"/>
        <v/>
      </c>
      <c r="DS23" s="37"/>
      <c r="DT23" s="33"/>
      <c r="DU23" s="34"/>
      <c r="DV23" s="35" t="str">
        <f t="shared" si="48"/>
        <v/>
      </c>
      <c r="DW23" s="36" t="str">
        <f t="shared" si="49"/>
        <v/>
      </c>
      <c r="DX23" s="37"/>
      <c r="DY23" s="33"/>
      <c r="DZ23" s="34"/>
      <c r="EA23" s="35" t="str">
        <f t="shared" si="50"/>
        <v/>
      </c>
      <c r="EB23" s="36" t="str">
        <f t="shared" si="51"/>
        <v/>
      </c>
      <c r="EC23" s="37"/>
      <c r="ED23" s="33"/>
      <c r="EE23" s="34"/>
      <c r="EF23" s="35" t="str">
        <f t="shared" si="52"/>
        <v/>
      </c>
      <c r="EG23" s="36" t="str">
        <f t="shared" si="53"/>
        <v/>
      </c>
      <c r="EH23" s="37"/>
      <c r="EI23" s="33"/>
      <c r="EJ23" s="34"/>
      <c r="EK23" s="35" t="str">
        <f t="shared" si="54"/>
        <v/>
      </c>
      <c r="EL23" s="36" t="str">
        <f t="shared" si="55"/>
        <v/>
      </c>
      <c r="EM23" s="37"/>
      <c r="EN23" s="33"/>
      <c r="EO23" s="34"/>
      <c r="EP23" s="35" t="str">
        <f t="shared" si="56"/>
        <v/>
      </c>
      <c r="EQ23" s="36" t="str">
        <f t="shared" si="57"/>
        <v/>
      </c>
      <c r="ER23" s="37"/>
      <c r="ES23" s="33"/>
      <c r="ET23" s="34"/>
      <c r="EU23" s="35" t="str">
        <f t="shared" si="58"/>
        <v/>
      </c>
      <c r="EV23" s="36" t="str">
        <f t="shared" si="59"/>
        <v/>
      </c>
      <c r="EW23" s="37"/>
    </row>
    <row r="24" spans="1:153" ht="19.5" customHeight="1">
      <c r="A24" s="32">
        <f>IF(DAY(DATE(対象年度,6,21))&lt;&gt;21,"",21)</f>
        <v>21</v>
      </c>
      <c r="B24" s="32" t="str">
        <f>IF(DAY(DATE(対象年度,6,21))&lt;&gt;21,"",CHOOSE(WEEKDAY(DATE(対象年度,6,21),2),"月","火","水","木","金","土","日"))</f>
        <v>日</v>
      </c>
      <c r="C24" s="32" t="str">
        <f>IF(DAY(DATE(対象年度,6,21))&lt;&gt;21,"",IF(ISNUMBER(MATCH(DATE(対象年度,6,21),祝日リスト,0)),"祝",""))</f>
        <v/>
      </c>
      <c r="D24" s="33"/>
      <c r="E24" s="34"/>
      <c r="F24" s="35" t="str">
        <f t="shared" si="0"/>
        <v/>
      </c>
      <c r="G24" s="36" t="str">
        <f t="shared" si="1"/>
        <v/>
      </c>
      <c r="H24" s="37"/>
      <c r="I24" s="33"/>
      <c r="J24" s="34"/>
      <c r="K24" s="35" t="str">
        <f t="shared" si="2"/>
        <v/>
      </c>
      <c r="L24" s="36" t="str">
        <f t="shared" si="3"/>
        <v/>
      </c>
      <c r="M24" s="37"/>
      <c r="N24" s="33"/>
      <c r="O24" s="34"/>
      <c r="P24" s="35" t="str">
        <f t="shared" si="4"/>
        <v/>
      </c>
      <c r="Q24" s="36" t="str">
        <f t="shared" si="5"/>
        <v/>
      </c>
      <c r="R24" s="37"/>
      <c r="S24" s="33"/>
      <c r="T24" s="34"/>
      <c r="U24" s="35" t="str">
        <f t="shared" si="6"/>
        <v/>
      </c>
      <c r="V24" s="36" t="str">
        <f t="shared" si="7"/>
        <v/>
      </c>
      <c r="W24" s="37"/>
      <c r="X24" s="33"/>
      <c r="Y24" s="34"/>
      <c r="Z24" s="35" t="str">
        <f t="shared" si="8"/>
        <v/>
      </c>
      <c r="AA24" s="36" t="str">
        <f t="shared" si="9"/>
        <v/>
      </c>
      <c r="AB24" s="37"/>
      <c r="AC24" s="33"/>
      <c r="AD24" s="34"/>
      <c r="AE24" s="35" t="str">
        <f t="shared" si="10"/>
        <v/>
      </c>
      <c r="AF24" s="36" t="str">
        <f t="shared" si="11"/>
        <v/>
      </c>
      <c r="AG24" s="37"/>
      <c r="AH24" s="33"/>
      <c r="AI24" s="34"/>
      <c r="AJ24" s="35" t="str">
        <f t="shared" si="12"/>
        <v/>
      </c>
      <c r="AK24" s="36" t="str">
        <f t="shared" si="13"/>
        <v/>
      </c>
      <c r="AL24" s="37"/>
      <c r="AM24" s="33"/>
      <c r="AN24" s="34"/>
      <c r="AO24" s="35" t="str">
        <f t="shared" si="14"/>
        <v/>
      </c>
      <c r="AP24" s="36" t="str">
        <f t="shared" si="15"/>
        <v/>
      </c>
      <c r="AQ24" s="37"/>
      <c r="AR24" s="33"/>
      <c r="AS24" s="34"/>
      <c r="AT24" s="35" t="str">
        <f t="shared" si="16"/>
        <v/>
      </c>
      <c r="AU24" s="36" t="str">
        <f t="shared" si="17"/>
        <v/>
      </c>
      <c r="AV24" s="37"/>
      <c r="AW24" s="33"/>
      <c r="AX24" s="34"/>
      <c r="AY24" s="35" t="str">
        <f t="shared" si="18"/>
        <v/>
      </c>
      <c r="AZ24" s="36" t="str">
        <f t="shared" si="19"/>
        <v/>
      </c>
      <c r="BA24" s="37"/>
      <c r="BB24" s="33"/>
      <c r="BC24" s="34"/>
      <c r="BD24" s="35" t="str">
        <f t="shared" si="20"/>
        <v/>
      </c>
      <c r="BE24" s="36" t="str">
        <f t="shared" si="21"/>
        <v/>
      </c>
      <c r="BF24" s="37"/>
      <c r="BG24" s="33"/>
      <c r="BH24" s="34"/>
      <c r="BI24" s="35" t="str">
        <f t="shared" si="22"/>
        <v/>
      </c>
      <c r="BJ24" s="36" t="str">
        <f t="shared" si="23"/>
        <v/>
      </c>
      <c r="BK24" s="37"/>
      <c r="BL24" s="33"/>
      <c r="BM24" s="34"/>
      <c r="BN24" s="35" t="str">
        <f t="shared" si="24"/>
        <v/>
      </c>
      <c r="BO24" s="36" t="str">
        <f t="shared" si="25"/>
        <v/>
      </c>
      <c r="BP24" s="37"/>
      <c r="BQ24" s="33"/>
      <c r="BR24" s="34"/>
      <c r="BS24" s="35" t="str">
        <f t="shared" si="26"/>
        <v/>
      </c>
      <c r="BT24" s="36" t="str">
        <f t="shared" si="27"/>
        <v/>
      </c>
      <c r="BU24" s="37"/>
      <c r="BV24" s="33"/>
      <c r="BW24" s="34"/>
      <c r="BX24" s="35" t="str">
        <f t="shared" si="28"/>
        <v/>
      </c>
      <c r="BY24" s="36" t="str">
        <f t="shared" si="29"/>
        <v/>
      </c>
      <c r="BZ24" s="37"/>
      <c r="CA24" s="33"/>
      <c r="CB24" s="34"/>
      <c r="CC24" s="35" t="str">
        <f t="shared" si="30"/>
        <v/>
      </c>
      <c r="CD24" s="36" t="str">
        <f t="shared" si="31"/>
        <v/>
      </c>
      <c r="CE24" s="37"/>
      <c r="CF24" s="33"/>
      <c r="CG24" s="34"/>
      <c r="CH24" s="35" t="str">
        <f t="shared" si="32"/>
        <v/>
      </c>
      <c r="CI24" s="36" t="str">
        <f t="shared" si="33"/>
        <v/>
      </c>
      <c r="CJ24" s="37"/>
      <c r="CK24" s="33"/>
      <c r="CL24" s="34"/>
      <c r="CM24" s="35" t="str">
        <f t="shared" si="34"/>
        <v/>
      </c>
      <c r="CN24" s="36" t="str">
        <f t="shared" si="35"/>
        <v/>
      </c>
      <c r="CO24" s="37"/>
      <c r="CP24" s="33"/>
      <c r="CQ24" s="34"/>
      <c r="CR24" s="35" t="str">
        <f t="shared" si="36"/>
        <v/>
      </c>
      <c r="CS24" s="36" t="str">
        <f t="shared" si="37"/>
        <v/>
      </c>
      <c r="CT24" s="37"/>
      <c r="CU24" s="33"/>
      <c r="CV24" s="34"/>
      <c r="CW24" s="35" t="str">
        <f t="shared" si="38"/>
        <v/>
      </c>
      <c r="CX24" s="36" t="str">
        <f t="shared" si="39"/>
        <v/>
      </c>
      <c r="CY24" s="37"/>
      <c r="CZ24" s="33"/>
      <c r="DA24" s="34"/>
      <c r="DB24" s="35" t="str">
        <f t="shared" si="40"/>
        <v/>
      </c>
      <c r="DC24" s="36" t="str">
        <f t="shared" si="41"/>
        <v/>
      </c>
      <c r="DD24" s="37"/>
      <c r="DE24" s="33"/>
      <c r="DF24" s="34"/>
      <c r="DG24" s="35" t="str">
        <f t="shared" si="42"/>
        <v/>
      </c>
      <c r="DH24" s="36" t="str">
        <f t="shared" si="43"/>
        <v/>
      </c>
      <c r="DI24" s="37"/>
      <c r="DJ24" s="33"/>
      <c r="DK24" s="34"/>
      <c r="DL24" s="35" t="str">
        <f t="shared" si="44"/>
        <v/>
      </c>
      <c r="DM24" s="36" t="str">
        <f t="shared" si="45"/>
        <v/>
      </c>
      <c r="DN24" s="37"/>
      <c r="DO24" s="33"/>
      <c r="DP24" s="34"/>
      <c r="DQ24" s="35" t="str">
        <f t="shared" si="46"/>
        <v/>
      </c>
      <c r="DR24" s="36" t="str">
        <f t="shared" si="47"/>
        <v/>
      </c>
      <c r="DS24" s="37"/>
      <c r="DT24" s="33"/>
      <c r="DU24" s="34"/>
      <c r="DV24" s="35" t="str">
        <f t="shared" si="48"/>
        <v/>
      </c>
      <c r="DW24" s="36" t="str">
        <f t="shared" si="49"/>
        <v/>
      </c>
      <c r="DX24" s="37"/>
      <c r="DY24" s="33"/>
      <c r="DZ24" s="34"/>
      <c r="EA24" s="35" t="str">
        <f t="shared" si="50"/>
        <v/>
      </c>
      <c r="EB24" s="36" t="str">
        <f t="shared" si="51"/>
        <v/>
      </c>
      <c r="EC24" s="37"/>
      <c r="ED24" s="33"/>
      <c r="EE24" s="34"/>
      <c r="EF24" s="35" t="str">
        <f t="shared" si="52"/>
        <v/>
      </c>
      <c r="EG24" s="36" t="str">
        <f t="shared" si="53"/>
        <v/>
      </c>
      <c r="EH24" s="37"/>
      <c r="EI24" s="33"/>
      <c r="EJ24" s="34"/>
      <c r="EK24" s="35" t="str">
        <f t="shared" si="54"/>
        <v/>
      </c>
      <c r="EL24" s="36" t="str">
        <f t="shared" si="55"/>
        <v/>
      </c>
      <c r="EM24" s="37"/>
      <c r="EN24" s="33"/>
      <c r="EO24" s="34"/>
      <c r="EP24" s="35" t="str">
        <f t="shared" si="56"/>
        <v/>
      </c>
      <c r="EQ24" s="36" t="str">
        <f t="shared" si="57"/>
        <v/>
      </c>
      <c r="ER24" s="37"/>
      <c r="ES24" s="33"/>
      <c r="ET24" s="34"/>
      <c r="EU24" s="35" t="str">
        <f t="shared" si="58"/>
        <v/>
      </c>
      <c r="EV24" s="36" t="str">
        <f t="shared" si="59"/>
        <v/>
      </c>
      <c r="EW24" s="37"/>
    </row>
    <row r="25" spans="1:153" ht="19.5" customHeight="1">
      <c r="A25" s="32">
        <f>IF(DAY(DATE(対象年度,6,22))&lt;&gt;22,"",22)</f>
        <v>22</v>
      </c>
      <c r="B25" s="32" t="str">
        <f>IF(DAY(DATE(対象年度,6,22))&lt;&gt;22,"",CHOOSE(WEEKDAY(DATE(対象年度,6,22),2),"月","火","水","木","金","土","日"))</f>
        <v>月</v>
      </c>
      <c r="C25" s="32" t="str">
        <f>IF(DAY(DATE(対象年度,6,22))&lt;&gt;22,"",IF(ISNUMBER(MATCH(DATE(対象年度,6,22),祝日リスト,0)),"祝",""))</f>
        <v/>
      </c>
      <c r="D25" s="33"/>
      <c r="E25" s="34"/>
      <c r="F25" s="35" t="str">
        <f t="shared" si="0"/>
        <v/>
      </c>
      <c r="G25" s="36" t="str">
        <f t="shared" si="1"/>
        <v/>
      </c>
      <c r="H25" s="37"/>
      <c r="I25" s="33"/>
      <c r="J25" s="34"/>
      <c r="K25" s="35" t="str">
        <f t="shared" si="2"/>
        <v/>
      </c>
      <c r="L25" s="36" t="str">
        <f t="shared" si="3"/>
        <v/>
      </c>
      <c r="M25" s="37"/>
      <c r="N25" s="33"/>
      <c r="O25" s="34"/>
      <c r="P25" s="35" t="str">
        <f t="shared" si="4"/>
        <v/>
      </c>
      <c r="Q25" s="36" t="str">
        <f t="shared" si="5"/>
        <v/>
      </c>
      <c r="R25" s="37"/>
      <c r="S25" s="33"/>
      <c r="T25" s="34"/>
      <c r="U25" s="35" t="str">
        <f t="shared" si="6"/>
        <v/>
      </c>
      <c r="V25" s="36" t="str">
        <f t="shared" si="7"/>
        <v/>
      </c>
      <c r="W25" s="37"/>
      <c r="X25" s="33"/>
      <c r="Y25" s="34"/>
      <c r="Z25" s="35" t="str">
        <f t="shared" si="8"/>
        <v/>
      </c>
      <c r="AA25" s="36" t="str">
        <f t="shared" si="9"/>
        <v/>
      </c>
      <c r="AB25" s="37"/>
      <c r="AC25" s="33"/>
      <c r="AD25" s="34"/>
      <c r="AE25" s="35" t="str">
        <f t="shared" si="10"/>
        <v/>
      </c>
      <c r="AF25" s="36" t="str">
        <f t="shared" si="11"/>
        <v/>
      </c>
      <c r="AG25" s="37"/>
      <c r="AH25" s="33"/>
      <c r="AI25" s="34"/>
      <c r="AJ25" s="35" t="str">
        <f t="shared" si="12"/>
        <v/>
      </c>
      <c r="AK25" s="36" t="str">
        <f t="shared" si="13"/>
        <v/>
      </c>
      <c r="AL25" s="37"/>
      <c r="AM25" s="33"/>
      <c r="AN25" s="34"/>
      <c r="AO25" s="35" t="str">
        <f t="shared" si="14"/>
        <v/>
      </c>
      <c r="AP25" s="36" t="str">
        <f t="shared" si="15"/>
        <v/>
      </c>
      <c r="AQ25" s="37"/>
      <c r="AR25" s="33"/>
      <c r="AS25" s="34"/>
      <c r="AT25" s="35" t="str">
        <f t="shared" si="16"/>
        <v/>
      </c>
      <c r="AU25" s="36" t="str">
        <f t="shared" si="17"/>
        <v/>
      </c>
      <c r="AV25" s="37"/>
      <c r="AW25" s="33"/>
      <c r="AX25" s="34"/>
      <c r="AY25" s="35" t="str">
        <f t="shared" si="18"/>
        <v/>
      </c>
      <c r="AZ25" s="36" t="str">
        <f t="shared" si="19"/>
        <v/>
      </c>
      <c r="BA25" s="37"/>
      <c r="BB25" s="33"/>
      <c r="BC25" s="34"/>
      <c r="BD25" s="35" t="str">
        <f t="shared" si="20"/>
        <v/>
      </c>
      <c r="BE25" s="36" t="str">
        <f t="shared" si="21"/>
        <v/>
      </c>
      <c r="BF25" s="37"/>
      <c r="BG25" s="33"/>
      <c r="BH25" s="34"/>
      <c r="BI25" s="35" t="str">
        <f t="shared" si="22"/>
        <v/>
      </c>
      <c r="BJ25" s="36" t="str">
        <f t="shared" si="23"/>
        <v/>
      </c>
      <c r="BK25" s="37"/>
      <c r="BL25" s="33"/>
      <c r="BM25" s="34"/>
      <c r="BN25" s="35" t="str">
        <f t="shared" si="24"/>
        <v/>
      </c>
      <c r="BO25" s="36" t="str">
        <f t="shared" si="25"/>
        <v/>
      </c>
      <c r="BP25" s="37"/>
      <c r="BQ25" s="33"/>
      <c r="BR25" s="34"/>
      <c r="BS25" s="35" t="str">
        <f t="shared" si="26"/>
        <v/>
      </c>
      <c r="BT25" s="36" t="str">
        <f t="shared" si="27"/>
        <v/>
      </c>
      <c r="BU25" s="37"/>
      <c r="BV25" s="33"/>
      <c r="BW25" s="34"/>
      <c r="BX25" s="35" t="str">
        <f t="shared" si="28"/>
        <v/>
      </c>
      <c r="BY25" s="36" t="str">
        <f t="shared" si="29"/>
        <v/>
      </c>
      <c r="BZ25" s="37"/>
      <c r="CA25" s="33"/>
      <c r="CB25" s="34"/>
      <c r="CC25" s="35" t="str">
        <f t="shared" si="30"/>
        <v/>
      </c>
      <c r="CD25" s="36" t="str">
        <f t="shared" si="31"/>
        <v/>
      </c>
      <c r="CE25" s="37"/>
      <c r="CF25" s="33"/>
      <c r="CG25" s="34"/>
      <c r="CH25" s="35" t="str">
        <f t="shared" si="32"/>
        <v/>
      </c>
      <c r="CI25" s="36" t="str">
        <f t="shared" si="33"/>
        <v/>
      </c>
      <c r="CJ25" s="37"/>
      <c r="CK25" s="33"/>
      <c r="CL25" s="34"/>
      <c r="CM25" s="35" t="str">
        <f t="shared" si="34"/>
        <v/>
      </c>
      <c r="CN25" s="36" t="str">
        <f t="shared" si="35"/>
        <v/>
      </c>
      <c r="CO25" s="37"/>
      <c r="CP25" s="33"/>
      <c r="CQ25" s="34"/>
      <c r="CR25" s="35" t="str">
        <f t="shared" si="36"/>
        <v/>
      </c>
      <c r="CS25" s="36" t="str">
        <f t="shared" si="37"/>
        <v/>
      </c>
      <c r="CT25" s="37"/>
      <c r="CU25" s="33"/>
      <c r="CV25" s="34"/>
      <c r="CW25" s="35" t="str">
        <f t="shared" si="38"/>
        <v/>
      </c>
      <c r="CX25" s="36" t="str">
        <f t="shared" si="39"/>
        <v/>
      </c>
      <c r="CY25" s="37"/>
      <c r="CZ25" s="33"/>
      <c r="DA25" s="34"/>
      <c r="DB25" s="35" t="str">
        <f t="shared" si="40"/>
        <v/>
      </c>
      <c r="DC25" s="36" t="str">
        <f t="shared" si="41"/>
        <v/>
      </c>
      <c r="DD25" s="37"/>
      <c r="DE25" s="33"/>
      <c r="DF25" s="34"/>
      <c r="DG25" s="35" t="str">
        <f t="shared" si="42"/>
        <v/>
      </c>
      <c r="DH25" s="36" t="str">
        <f t="shared" si="43"/>
        <v/>
      </c>
      <c r="DI25" s="37"/>
      <c r="DJ25" s="33"/>
      <c r="DK25" s="34"/>
      <c r="DL25" s="35" t="str">
        <f t="shared" si="44"/>
        <v/>
      </c>
      <c r="DM25" s="36" t="str">
        <f t="shared" si="45"/>
        <v/>
      </c>
      <c r="DN25" s="37"/>
      <c r="DO25" s="33"/>
      <c r="DP25" s="34"/>
      <c r="DQ25" s="35" t="str">
        <f t="shared" si="46"/>
        <v/>
      </c>
      <c r="DR25" s="36" t="str">
        <f t="shared" si="47"/>
        <v/>
      </c>
      <c r="DS25" s="37"/>
      <c r="DT25" s="33"/>
      <c r="DU25" s="34"/>
      <c r="DV25" s="35" t="str">
        <f t="shared" si="48"/>
        <v/>
      </c>
      <c r="DW25" s="36" t="str">
        <f t="shared" si="49"/>
        <v/>
      </c>
      <c r="DX25" s="37"/>
      <c r="DY25" s="33"/>
      <c r="DZ25" s="34"/>
      <c r="EA25" s="35" t="str">
        <f t="shared" si="50"/>
        <v/>
      </c>
      <c r="EB25" s="36" t="str">
        <f t="shared" si="51"/>
        <v/>
      </c>
      <c r="EC25" s="37"/>
      <c r="ED25" s="33"/>
      <c r="EE25" s="34"/>
      <c r="EF25" s="35" t="str">
        <f t="shared" si="52"/>
        <v/>
      </c>
      <c r="EG25" s="36" t="str">
        <f t="shared" si="53"/>
        <v/>
      </c>
      <c r="EH25" s="37"/>
      <c r="EI25" s="33"/>
      <c r="EJ25" s="34"/>
      <c r="EK25" s="35" t="str">
        <f t="shared" si="54"/>
        <v/>
      </c>
      <c r="EL25" s="36" t="str">
        <f t="shared" si="55"/>
        <v/>
      </c>
      <c r="EM25" s="37"/>
      <c r="EN25" s="33"/>
      <c r="EO25" s="34"/>
      <c r="EP25" s="35" t="str">
        <f t="shared" si="56"/>
        <v/>
      </c>
      <c r="EQ25" s="36" t="str">
        <f t="shared" si="57"/>
        <v/>
      </c>
      <c r="ER25" s="37"/>
      <c r="ES25" s="33"/>
      <c r="ET25" s="34"/>
      <c r="EU25" s="35" t="str">
        <f t="shared" si="58"/>
        <v/>
      </c>
      <c r="EV25" s="36" t="str">
        <f t="shared" si="59"/>
        <v/>
      </c>
      <c r="EW25" s="37"/>
    </row>
    <row r="26" spans="1:153" ht="19.5" customHeight="1">
      <c r="A26" s="32">
        <f>IF(DAY(DATE(対象年度,6,23))&lt;&gt;23,"",23)</f>
        <v>23</v>
      </c>
      <c r="B26" s="32" t="str">
        <f>IF(DAY(DATE(対象年度,6,23))&lt;&gt;23,"",CHOOSE(WEEKDAY(DATE(対象年度,6,23),2),"月","火","水","木","金","土","日"))</f>
        <v>火</v>
      </c>
      <c r="C26" s="32" t="str">
        <f>IF(DAY(DATE(対象年度,6,23))&lt;&gt;23,"",IF(ISNUMBER(MATCH(DATE(対象年度,6,23),祝日リスト,0)),"祝",""))</f>
        <v/>
      </c>
      <c r="D26" s="33"/>
      <c r="E26" s="34"/>
      <c r="F26" s="35" t="str">
        <f t="shared" si="0"/>
        <v/>
      </c>
      <c r="G26" s="36" t="str">
        <f t="shared" si="1"/>
        <v/>
      </c>
      <c r="H26" s="37"/>
      <c r="I26" s="33"/>
      <c r="J26" s="34"/>
      <c r="K26" s="35" t="str">
        <f t="shared" si="2"/>
        <v/>
      </c>
      <c r="L26" s="36" t="str">
        <f t="shared" si="3"/>
        <v/>
      </c>
      <c r="M26" s="37"/>
      <c r="N26" s="33"/>
      <c r="O26" s="34"/>
      <c r="P26" s="35" t="str">
        <f t="shared" si="4"/>
        <v/>
      </c>
      <c r="Q26" s="36" t="str">
        <f t="shared" si="5"/>
        <v/>
      </c>
      <c r="R26" s="37"/>
      <c r="S26" s="33"/>
      <c r="T26" s="34"/>
      <c r="U26" s="35" t="str">
        <f t="shared" si="6"/>
        <v/>
      </c>
      <c r="V26" s="36" t="str">
        <f t="shared" si="7"/>
        <v/>
      </c>
      <c r="W26" s="37"/>
      <c r="X26" s="33"/>
      <c r="Y26" s="34"/>
      <c r="Z26" s="35" t="str">
        <f t="shared" si="8"/>
        <v/>
      </c>
      <c r="AA26" s="36" t="str">
        <f t="shared" si="9"/>
        <v/>
      </c>
      <c r="AB26" s="37"/>
      <c r="AC26" s="33"/>
      <c r="AD26" s="34"/>
      <c r="AE26" s="35" t="str">
        <f t="shared" si="10"/>
        <v/>
      </c>
      <c r="AF26" s="36" t="str">
        <f t="shared" si="11"/>
        <v/>
      </c>
      <c r="AG26" s="37"/>
      <c r="AH26" s="33"/>
      <c r="AI26" s="34"/>
      <c r="AJ26" s="35" t="str">
        <f t="shared" si="12"/>
        <v/>
      </c>
      <c r="AK26" s="36" t="str">
        <f t="shared" si="13"/>
        <v/>
      </c>
      <c r="AL26" s="37"/>
      <c r="AM26" s="33"/>
      <c r="AN26" s="34"/>
      <c r="AO26" s="35" t="str">
        <f t="shared" si="14"/>
        <v/>
      </c>
      <c r="AP26" s="36" t="str">
        <f t="shared" si="15"/>
        <v/>
      </c>
      <c r="AQ26" s="37"/>
      <c r="AR26" s="33"/>
      <c r="AS26" s="34"/>
      <c r="AT26" s="35" t="str">
        <f t="shared" si="16"/>
        <v/>
      </c>
      <c r="AU26" s="36" t="str">
        <f t="shared" si="17"/>
        <v/>
      </c>
      <c r="AV26" s="37"/>
      <c r="AW26" s="33"/>
      <c r="AX26" s="34"/>
      <c r="AY26" s="35" t="str">
        <f t="shared" si="18"/>
        <v/>
      </c>
      <c r="AZ26" s="36" t="str">
        <f t="shared" si="19"/>
        <v/>
      </c>
      <c r="BA26" s="37"/>
      <c r="BB26" s="33"/>
      <c r="BC26" s="34"/>
      <c r="BD26" s="35" t="str">
        <f t="shared" si="20"/>
        <v/>
      </c>
      <c r="BE26" s="36" t="str">
        <f t="shared" si="21"/>
        <v/>
      </c>
      <c r="BF26" s="37"/>
      <c r="BG26" s="33"/>
      <c r="BH26" s="34"/>
      <c r="BI26" s="35" t="str">
        <f t="shared" si="22"/>
        <v/>
      </c>
      <c r="BJ26" s="36" t="str">
        <f t="shared" si="23"/>
        <v/>
      </c>
      <c r="BK26" s="37"/>
      <c r="BL26" s="33"/>
      <c r="BM26" s="34"/>
      <c r="BN26" s="35" t="str">
        <f t="shared" si="24"/>
        <v/>
      </c>
      <c r="BO26" s="36" t="str">
        <f t="shared" si="25"/>
        <v/>
      </c>
      <c r="BP26" s="37"/>
      <c r="BQ26" s="33"/>
      <c r="BR26" s="34"/>
      <c r="BS26" s="35" t="str">
        <f t="shared" si="26"/>
        <v/>
      </c>
      <c r="BT26" s="36" t="str">
        <f t="shared" si="27"/>
        <v/>
      </c>
      <c r="BU26" s="37"/>
      <c r="BV26" s="33"/>
      <c r="BW26" s="34"/>
      <c r="BX26" s="35" t="str">
        <f t="shared" si="28"/>
        <v/>
      </c>
      <c r="BY26" s="36" t="str">
        <f t="shared" si="29"/>
        <v/>
      </c>
      <c r="BZ26" s="37"/>
      <c r="CA26" s="33"/>
      <c r="CB26" s="34"/>
      <c r="CC26" s="35" t="str">
        <f t="shared" si="30"/>
        <v/>
      </c>
      <c r="CD26" s="36" t="str">
        <f t="shared" si="31"/>
        <v/>
      </c>
      <c r="CE26" s="37"/>
      <c r="CF26" s="33"/>
      <c r="CG26" s="34"/>
      <c r="CH26" s="35" t="str">
        <f t="shared" si="32"/>
        <v/>
      </c>
      <c r="CI26" s="36" t="str">
        <f t="shared" si="33"/>
        <v/>
      </c>
      <c r="CJ26" s="37"/>
      <c r="CK26" s="33"/>
      <c r="CL26" s="34"/>
      <c r="CM26" s="35" t="str">
        <f t="shared" si="34"/>
        <v/>
      </c>
      <c r="CN26" s="36" t="str">
        <f t="shared" si="35"/>
        <v/>
      </c>
      <c r="CO26" s="37"/>
      <c r="CP26" s="33"/>
      <c r="CQ26" s="34"/>
      <c r="CR26" s="35" t="str">
        <f t="shared" si="36"/>
        <v/>
      </c>
      <c r="CS26" s="36" t="str">
        <f t="shared" si="37"/>
        <v/>
      </c>
      <c r="CT26" s="37"/>
      <c r="CU26" s="33"/>
      <c r="CV26" s="34"/>
      <c r="CW26" s="35" t="str">
        <f t="shared" si="38"/>
        <v/>
      </c>
      <c r="CX26" s="36" t="str">
        <f t="shared" si="39"/>
        <v/>
      </c>
      <c r="CY26" s="37"/>
      <c r="CZ26" s="33"/>
      <c r="DA26" s="34"/>
      <c r="DB26" s="35" t="str">
        <f t="shared" si="40"/>
        <v/>
      </c>
      <c r="DC26" s="36" t="str">
        <f t="shared" si="41"/>
        <v/>
      </c>
      <c r="DD26" s="37"/>
      <c r="DE26" s="33"/>
      <c r="DF26" s="34"/>
      <c r="DG26" s="35" t="str">
        <f t="shared" si="42"/>
        <v/>
      </c>
      <c r="DH26" s="36" t="str">
        <f t="shared" si="43"/>
        <v/>
      </c>
      <c r="DI26" s="37"/>
      <c r="DJ26" s="33"/>
      <c r="DK26" s="34"/>
      <c r="DL26" s="35" t="str">
        <f t="shared" si="44"/>
        <v/>
      </c>
      <c r="DM26" s="36" t="str">
        <f t="shared" si="45"/>
        <v/>
      </c>
      <c r="DN26" s="37"/>
      <c r="DO26" s="33"/>
      <c r="DP26" s="34"/>
      <c r="DQ26" s="35" t="str">
        <f t="shared" si="46"/>
        <v/>
      </c>
      <c r="DR26" s="36" t="str">
        <f t="shared" si="47"/>
        <v/>
      </c>
      <c r="DS26" s="37"/>
      <c r="DT26" s="33"/>
      <c r="DU26" s="34"/>
      <c r="DV26" s="35" t="str">
        <f t="shared" si="48"/>
        <v/>
      </c>
      <c r="DW26" s="36" t="str">
        <f t="shared" si="49"/>
        <v/>
      </c>
      <c r="DX26" s="37"/>
      <c r="DY26" s="33"/>
      <c r="DZ26" s="34"/>
      <c r="EA26" s="35" t="str">
        <f t="shared" si="50"/>
        <v/>
      </c>
      <c r="EB26" s="36" t="str">
        <f t="shared" si="51"/>
        <v/>
      </c>
      <c r="EC26" s="37"/>
      <c r="ED26" s="33"/>
      <c r="EE26" s="34"/>
      <c r="EF26" s="35" t="str">
        <f t="shared" si="52"/>
        <v/>
      </c>
      <c r="EG26" s="36" t="str">
        <f t="shared" si="53"/>
        <v/>
      </c>
      <c r="EH26" s="37"/>
      <c r="EI26" s="33"/>
      <c r="EJ26" s="34"/>
      <c r="EK26" s="35" t="str">
        <f t="shared" si="54"/>
        <v/>
      </c>
      <c r="EL26" s="36" t="str">
        <f t="shared" si="55"/>
        <v/>
      </c>
      <c r="EM26" s="37"/>
      <c r="EN26" s="33"/>
      <c r="EO26" s="34"/>
      <c r="EP26" s="35" t="str">
        <f t="shared" si="56"/>
        <v/>
      </c>
      <c r="EQ26" s="36" t="str">
        <f t="shared" si="57"/>
        <v/>
      </c>
      <c r="ER26" s="37"/>
      <c r="ES26" s="33"/>
      <c r="ET26" s="34"/>
      <c r="EU26" s="35" t="str">
        <f t="shared" si="58"/>
        <v/>
      </c>
      <c r="EV26" s="36" t="str">
        <f t="shared" si="59"/>
        <v/>
      </c>
      <c r="EW26" s="37"/>
    </row>
    <row r="27" spans="1:153" ht="19.5" customHeight="1">
      <c r="A27" s="32">
        <f>IF(DAY(DATE(対象年度,6,24))&lt;&gt;24,"",24)</f>
        <v>24</v>
      </c>
      <c r="B27" s="32" t="str">
        <f>IF(DAY(DATE(対象年度,6,24))&lt;&gt;24,"",CHOOSE(WEEKDAY(DATE(対象年度,6,24),2),"月","火","水","木","金","土","日"))</f>
        <v>水</v>
      </c>
      <c r="C27" s="32" t="str">
        <f>IF(DAY(DATE(対象年度,6,24))&lt;&gt;24,"",IF(ISNUMBER(MATCH(DATE(対象年度,6,24),祝日リスト,0)),"祝",""))</f>
        <v/>
      </c>
      <c r="D27" s="33"/>
      <c r="E27" s="34"/>
      <c r="F27" s="35" t="str">
        <f t="shared" si="0"/>
        <v/>
      </c>
      <c r="G27" s="36" t="str">
        <f t="shared" si="1"/>
        <v/>
      </c>
      <c r="H27" s="37"/>
      <c r="I27" s="33"/>
      <c r="J27" s="34"/>
      <c r="K27" s="35" t="str">
        <f t="shared" si="2"/>
        <v/>
      </c>
      <c r="L27" s="36" t="str">
        <f t="shared" si="3"/>
        <v/>
      </c>
      <c r="M27" s="37"/>
      <c r="N27" s="33"/>
      <c r="O27" s="34"/>
      <c r="P27" s="35" t="str">
        <f t="shared" si="4"/>
        <v/>
      </c>
      <c r="Q27" s="36" t="str">
        <f t="shared" si="5"/>
        <v/>
      </c>
      <c r="R27" s="37"/>
      <c r="S27" s="33"/>
      <c r="T27" s="34"/>
      <c r="U27" s="35" t="str">
        <f t="shared" si="6"/>
        <v/>
      </c>
      <c r="V27" s="36" t="str">
        <f t="shared" si="7"/>
        <v/>
      </c>
      <c r="W27" s="37"/>
      <c r="X27" s="33"/>
      <c r="Y27" s="34"/>
      <c r="Z27" s="35" t="str">
        <f t="shared" si="8"/>
        <v/>
      </c>
      <c r="AA27" s="36" t="str">
        <f t="shared" si="9"/>
        <v/>
      </c>
      <c r="AB27" s="37"/>
      <c r="AC27" s="33"/>
      <c r="AD27" s="34"/>
      <c r="AE27" s="35" t="str">
        <f t="shared" si="10"/>
        <v/>
      </c>
      <c r="AF27" s="36" t="str">
        <f t="shared" si="11"/>
        <v/>
      </c>
      <c r="AG27" s="37"/>
      <c r="AH27" s="33"/>
      <c r="AI27" s="34"/>
      <c r="AJ27" s="35" t="str">
        <f t="shared" si="12"/>
        <v/>
      </c>
      <c r="AK27" s="36" t="str">
        <f t="shared" si="13"/>
        <v/>
      </c>
      <c r="AL27" s="37"/>
      <c r="AM27" s="33"/>
      <c r="AN27" s="34"/>
      <c r="AO27" s="35" t="str">
        <f t="shared" si="14"/>
        <v/>
      </c>
      <c r="AP27" s="36" t="str">
        <f t="shared" si="15"/>
        <v/>
      </c>
      <c r="AQ27" s="37"/>
      <c r="AR27" s="33"/>
      <c r="AS27" s="34"/>
      <c r="AT27" s="35" t="str">
        <f t="shared" si="16"/>
        <v/>
      </c>
      <c r="AU27" s="36" t="str">
        <f t="shared" si="17"/>
        <v/>
      </c>
      <c r="AV27" s="37"/>
      <c r="AW27" s="33"/>
      <c r="AX27" s="34"/>
      <c r="AY27" s="35" t="str">
        <f t="shared" si="18"/>
        <v/>
      </c>
      <c r="AZ27" s="36" t="str">
        <f t="shared" si="19"/>
        <v/>
      </c>
      <c r="BA27" s="37"/>
      <c r="BB27" s="33"/>
      <c r="BC27" s="34"/>
      <c r="BD27" s="35" t="str">
        <f t="shared" si="20"/>
        <v/>
      </c>
      <c r="BE27" s="36" t="str">
        <f t="shared" si="21"/>
        <v/>
      </c>
      <c r="BF27" s="37"/>
      <c r="BG27" s="33"/>
      <c r="BH27" s="34"/>
      <c r="BI27" s="35" t="str">
        <f t="shared" si="22"/>
        <v/>
      </c>
      <c r="BJ27" s="36" t="str">
        <f t="shared" si="23"/>
        <v/>
      </c>
      <c r="BK27" s="37"/>
      <c r="BL27" s="33"/>
      <c r="BM27" s="34"/>
      <c r="BN27" s="35" t="str">
        <f t="shared" si="24"/>
        <v/>
      </c>
      <c r="BO27" s="36" t="str">
        <f t="shared" si="25"/>
        <v/>
      </c>
      <c r="BP27" s="37"/>
      <c r="BQ27" s="33"/>
      <c r="BR27" s="34"/>
      <c r="BS27" s="35" t="str">
        <f t="shared" si="26"/>
        <v/>
      </c>
      <c r="BT27" s="36" t="str">
        <f t="shared" si="27"/>
        <v/>
      </c>
      <c r="BU27" s="37"/>
      <c r="BV27" s="33"/>
      <c r="BW27" s="34"/>
      <c r="BX27" s="35" t="str">
        <f t="shared" si="28"/>
        <v/>
      </c>
      <c r="BY27" s="36" t="str">
        <f t="shared" si="29"/>
        <v/>
      </c>
      <c r="BZ27" s="37"/>
      <c r="CA27" s="33"/>
      <c r="CB27" s="34"/>
      <c r="CC27" s="35" t="str">
        <f t="shared" si="30"/>
        <v/>
      </c>
      <c r="CD27" s="36" t="str">
        <f t="shared" si="31"/>
        <v/>
      </c>
      <c r="CE27" s="37"/>
      <c r="CF27" s="33"/>
      <c r="CG27" s="34"/>
      <c r="CH27" s="35" t="str">
        <f t="shared" si="32"/>
        <v/>
      </c>
      <c r="CI27" s="36" t="str">
        <f t="shared" si="33"/>
        <v/>
      </c>
      <c r="CJ27" s="37"/>
      <c r="CK27" s="33"/>
      <c r="CL27" s="34"/>
      <c r="CM27" s="35" t="str">
        <f t="shared" si="34"/>
        <v/>
      </c>
      <c r="CN27" s="36" t="str">
        <f t="shared" si="35"/>
        <v/>
      </c>
      <c r="CO27" s="37"/>
      <c r="CP27" s="33"/>
      <c r="CQ27" s="34"/>
      <c r="CR27" s="35" t="str">
        <f t="shared" si="36"/>
        <v/>
      </c>
      <c r="CS27" s="36" t="str">
        <f t="shared" si="37"/>
        <v/>
      </c>
      <c r="CT27" s="37"/>
      <c r="CU27" s="33"/>
      <c r="CV27" s="34"/>
      <c r="CW27" s="35" t="str">
        <f t="shared" si="38"/>
        <v/>
      </c>
      <c r="CX27" s="36" t="str">
        <f t="shared" si="39"/>
        <v/>
      </c>
      <c r="CY27" s="37"/>
      <c r="CZ27" s="33"/>
      <c r="DA27" s="34"/>
      <c r="DB27" s="35" t="str">
        <f t="shared" si="40"/>
        <v/>
      </c>
      <c r="DC27" s="36" t="str">
        <f t="shared" si="41"/>
        <v/>
      </c>
      <c r="DD27" s="37"/>
      <c r="DE27" s="33"/>
      <c r="DF27" s="34"/>
      <c r="DG27" s="35" t="str">
        <f t="shared" si="42"/>
        <v/>
      </c>
      <c r="DH27" s="36" t="str">
        <f t="shared" si="43"/>
        <v/>
      </c>
      <c r="DI27" s="37"/>
      <c r="DJ27" s="33"/>
      <c r="DK27" s="34"/>
      <c r="DL27" s="35" t="str">
        <f t="shared" si="44"/>
        <v/>
      </c>
      <c r="DM27" s="36" t="str">
        <f t="shared" si="45"/>
        <v/>
      </c>
      <c r="DN27" s="37"/>
      <c r="DO27" s="33"/>
      <c r="DP27" s="34"/>
      <c r="DQ27" s="35" t="str">
        <f t="shared" si="46"/>
        <v/>
      </c>
      <c r="DR27" s="36" t="str">
        <f t="shared" si="47"/>
        <v/>
      </c>
      <c r="DS27" s="37"/>
      <c r="DT27" s="33"/>
      <c r="DU27" s="34"/>
      <c r="DV27" s="35" t="str">
        <f t="shared" si="48"/>
        <v/>
      </c>
      <c r="DW27" s="36" t="str">
        <f t="shared" si="49"/>
        <v/>
      </c>
      <c r="DX27" s="37"/>
      <c r="DY27" s="33"/>
      <c r="DZ27" s="34"/>
      <c r="EA27" s="35" t="str">
        <f t="shared" si="50"/>
        <v/>
      </c>
      <c r="EB27" s="36" t="str">
        <f t="shared" si="51"/>
        <v/>
      </c>
      <c r="EC27" s="37"/>
      <c r="ED27" s="33"/>
      <c r="EE27" s="34"/>
      <c r="EF27" s="35" t="str">
        <f t="shared" si="52"/>
        <v/>
      </c>
      <c r="EG27" s="36" t="str">
        <f t="shared" si="53"/>
        <v/>
      </c>
      <c r="EH27" s="37"/>
      <c r="EI27" s="33"/>
      <c r="EJ27" s="34"/>
      <c r="EK27" s="35" t="str">
        <f t="shared" si="54"/>
        <v/>
      </c>
      <c r="EL27" s="36" t="str">
        <f t="shared" si="55"/>
        <v/>
      </c>
      <c r="EM27" s="37"/>
      <c r="EN27" s="33"/>
      <c r="EO27" s="34"/>
      <c r="EP27" s="35" t="str">
        <f t="shared" si="56"/>
        <v/>
      </c>
      <c r="EQ27" s="36" t="str">
        <f t="shared" si="57"/>
        <v/>
      </c>
      <c r="ER27" s="37"/>
      <c r="ES27" s="33"/>
      <c r="ET27" s="34"/>
      <c r="EU27" s="35" t="str">
        <f t="shared" si="58"/>
        <v/>
      </c>
      <c r="EV27" s="36" t="str">
        <f t="shared" si="59"/>
        <v/>
      </c>
      <c r="EW27" s="37"/>
    </row>
    <row r="28" spans="1:153" ht="19.5" customHeight="1">
      <c r="A28" s="32">
        <f>IF(DAY(DATE(対象年度,6,25))&lt;&gt;25,"",25)</f>
        <v>25</v>
      </c>
      <c r="B28" s="32" t="str">
        <f>IF(DAY(DATE(対象年度,6,25))&lt;&gt;25,"",CHOOSE(WEEKDAY(DATE(対象年度,6,25),2),"月","火","水","木","金","土","日"))</f>
        <v>木</v>
      </c>
      <c r="C28" s="32" t="str">
        <f>IF(DAY(DATE(対象年度,6,25))&lt;&gt;25,"",IF(ISNUMBER(MATCH(DATE(対象年度,6,25),祝日リスト,0)),"祝",""))</f>
        <v/>
      </c>
      <c r="D28" s="33"/>
      <c r="E28" s="34"/>
      <c r="F28" s="35" t="str">
        <f t="shared" si="0"/>
        <v/>
      </c>
      <c r="G28" s="36" t="str">
        <f t="shared" si="1"/>
        <v/>
      </c>
      <c r="H28" s="37"/>
      <c r="I28" s="33"/>
      <c r="J28" s="34"/>
      <c r="K28" s="35" t="str">
        <f t="shared" si="2"/>
        <v/>
      </c>
      <c r="L28" s="36" t="str">
        <f t="shared" si="3"/>
        <v/>
      </c>
      <c r="M28" s="37"/>
      <c r="N28" s="33"/>
      <c r="O28" s="34"/>
      <c r="P28" s="35" t="str">
        <f t="shared" si="4"/>
        <v/>
      </c>
      <c r="Q28" s="36" t="str">
        <f t="shared" si="5"/>
        <v/>
      </c>
      <c r="R28" s="37"/>
      <c r="S28" s="33"/>
      <c r="T28" s="34"/>
      <c r="U28" s="35" t="str">
        <f t="shared" si="6"/>
        <v/>
      </c>
      <c r="V28" s="36" t="str">
        <f t="shared" si="7"/>
        <v/>
      </c>
      <c r="W28" s="37"/>
      <c r="X28" s="33"/>
      <c r="Y28" s="34"/>
      <c r="Z28" s="35" t="str">
        <f t="shared" si="8"/>
        <v/>
      </c>
      <c r="AA28" s="36" t="str">
        <f t="shared" si="9"/>
        <v/>
      </c>
      <c r="AB28" s="37"/>
      <c r="AC28" s="33"/>
      <c r="AD28" s="34"/>
      <c r="AE28" s="35" t="str">
        <f t="shared" si="10"/>
        <v/>
      </c>
      <c r="AF28" s="36" t="str">
        <f t="shared" si="11"/>
        <v/>
      </c>
      <c r="AG28" s="37"/>
      <c r="AH28" s="33"/>
      <c r="AI28" s="34"/>
      <c r="AJ28" s="35" t="str">
        <f t="shared" si="12"/>
        <v/>
      </c>
      <c r="AK28" s="36" t="str">
        <f t="shared" si="13"/>
        <v/>
      </c>
      <c r="AL28" s="37"/>
      <c r="AM28" s="33"/>
      <c r="AN28" s="34"/>
      <c r="AO28" s="35" t="str">
        <f t="shared" si="14"/>
        <v/>
      </c>
      <c r="AP28" s="36" t="str">
        <f t="shared" si="15"/>
        <v/>
      </c>
      <c r="AQ28" s="37"/>
      <c r="AR28" s="33"/>
      <c r="AS28" s="34"/>
      <c r="AT28" s="35" t="str">
        <f t="shared" si="16"/>
        <v/>
      </c>
      <c r="AU28" s="36" t="str">
        <f t="shared" si="17"/>
        <v/>
      </c>
      <c r="AV28" s="37"/>
      <c r="AW28" s="33"/>
      <c r="AX28" s="34"/>
      <c r="AY28" s="35" t="str">
        <f t="shared" si="18"/>
        <v/>
      </c>
      <c r="AZ28" s="36" t="str">
        <f t="shared" si="19"/>
        <v/>
      </c>
      <c r="BA28" s="37"/>
      <c r="BB28" s="33"/>
      <c r="BC28" s="34"/>
      <c r="BD28" s="35" t="str">
        <f t="shared" si="20"/>
        <v/>
      </c>
      <c r="BE28" s="36" t="str">
        <f t="shared" si="21"/>
        <v/>
      </c>
      <c r="BF28" s="37"/>
      <c r="BG28" s="33"/>
      <c r="BH28" s="34"/>
      <c r="BI28" s="35" t="str">
        <f t="shared" si="22"/>
        <v/>
      </c>
      <c r="BJ28" s="36" t="str">
        <f t="shared" si="23"/>
        <v/>
      </c>
      <c r="BK28" s="37"/>
      <c r="BL28" s="33"/>
      <c r="BM28" s="34"/>
      <c r="BN28" s="35" t="str">
        <f t="shared" si="24"/>
        <v/>
      </c>
      <c r="BO28" s="36" t="str">
        <f t="shared" si="25"/>
        <v/>
      </c>
      <c r="BP28" s="37"/>
      <c r="BQ28" s="33"/>
      <c r="BR28" s="34"/>
      <c r="BS28" s="35" t="str">
        <f t="shared" si="26"/>
        <v/>
      </c>
      <c r="BT28" s="36" t="str">
        <f t="shared" si="27"/>
        <v/>
      </c>
      <c r="BU28" s="37"/>
      <c r="BV28" s="33"/>
      <c r="BW28" s="34"/>
      <c r="BX28" s="35" t="str">
        <f t="shared" si="28"/>
        <v/>
      </c>
      <c r="BY28" s="36" t="str">
        <f t="shared" si="29"/>
        <v/>
      </c>
      <c r="BZ28" s="37"/>
      <c r="CA28" s="33"/>
      <c r="CB28" s="34"/>
      <c r="CC28" s="35" t="str">
        <f t="shared" si="30"/>
        <v/>
      </c>
      <c r="CD28" s="36" t="str">
        <f t="shared" si="31"/>
        <v/>
      </c>
      <c r="CE28" s="37"/>
      <c r="CF28" s="33"/>
      <c r="CG28" s="34"/>
      <c r="CH28" s="35" t="str">
        <f t="shared" si="32"/>
        <v/>
      </c>
      <c r="CI28" s="36" t="str">
        <f t="shared" si="33"/>
        <v/>
      </c>
      <c r="CJ28" s="37"/>
      <c r="CK28" s="33"/>
      <c r="CL28" s="34"/>
      <c r="CM28" s="35" t="str">
        <f t="shared" si="34"/>
        <v/>
      </c>
      <c r="CN28" s="36" t="str">
        <f t="shared" si="35"/>
        <v/>
      </c>
      <c r="CO28" s="37"/>
      <c r="CP28" s="33"/>
      <c r="CQ28" s="34"/>
      <c r="CR28" s="35" t="str">
        <f t="shared" si="36"/>
        <v/>
      </c>
      <c r="CS28" s="36" t="str">
        <f t="shared" si="37"/>
        <v/>
      </c>
      <c r="CT28" s="37"/>
      <c r="CU28" s="33"/>
      <c r="CV28" s="34"/>
      <c r="CW28" s="35" t="str">
        <f t="shared" si="38"/>
        <v/>
      </c>
      <c r="CX28" s="36" t="str">
        <f t="shared" si="39"/>
        <v/>
      </c>
      <c r="CY28" s="37"/>
      <c r="CZ28" s="33"/>
      <c r="DA28" s="34"/>
      <c r="DB28" s="35" t="str">
        <f t="shared" si="40"/>
        <v/>
      </c>
      <c r="DC28" s="36" t="str">
        <f t="shared" si="41"/>
        <v/>
      </c>
      <c r="DD28" s="37"/>
      <c r="DE28" s="33"/>
      <c r="DF28" s="34"/>
      <c r="DG28" s="35" t="str">
        <f t="shared" si="42"/>
        <v/>
      </c>
      <c r="DH28" s="36" t="str">
        <f t="shared" si="43"/>
        <v/>
      </c>
      <c r="DI28" s="37"/>
      <c r="DJ28" s="33"/>
      <c r="DK28" s="34"/>
      <c r="DL28" s="35" t="str">
        <f t="shared" si="44"/>
        <v/>
      </c>
      <c r="DM28" s="36" t="str">
        <f t="shared" si="45"/>
        <v/>
      </c>
      <c r="DN28" s="37"/>
      <c r="DO28" s="33"/>
      <c r="DP28" s="34"/>
      <c r="DQ28" s="35" t="str">
        <f t="shared" si="46"/>
        <v/>
      </c>
      <c r="DR28" s="36" t="str">
        <f t="shared" si="47"/>
        <v/>
      </c>
      <c r="DS28" s="37"/>
      <c r="DT28" s="33"/>
      <c r="DU28" s="34"/>
      <c r="DV28" s="35" t="str">
        <f t="shared" si="48"/>
        <v/>
      </c>
      <c r="DW28" s="36" t="str">
        <f t="shared" si="49"/>
        <v/>
      </c>
      <c r="DX28" s="37"/>
      <c r="DY28" s="33"/>
      <c r="DZ28" s="34"/>
      <c r="EA28" s="35" t="str">
        <f t="shared" si="50"/>
        <v/>
      </c>
      <c r="EB28" s="36" t="str">
        <f t="shared" si="51"/>
        <v/>
      </c>
      <c r="EC28" s="37"/>
      <c r="ED28" s="33"/>
      <c r="EE28" s="34"/>
      <c r="EF28" s="35" t="str">
        <f t="shared" si="52"/>
        <v/>
      </c>
      <c r="EG28" s="36" t="str">
        <f t="shared" si="53"/>
        <v/>
      </c>
      <c r="EH28" s="37"/>
      <c r="EI28" s="33"/>
      <c r="EJ28" s="34"/>
      <c r="EK28" s="35" t="str">
        <f t="shared" si="54"/>
        <v/>
      </c>
      <c r="EL28" s="36" t="str">
        <f t="shared" si="55"/>
        <v/>
      </c>
      <c r="EM28" s="37"/>
      <c r="EN28" s="33"/>
      <c r="EO28" s="34"/>
      <c r="EP28" s="35" t="str">
        <f t="shared" si="56"/>
        <v/>
      </c>
      <c r="EQ28" s="36" t="str">
        <f t="shared" si="57"/>
        <v/>
      </c>
      <c r="ER28" s="37"/>
      <c r="ES28" s="33"/>
      <c r="ET28" s="34"/>
      <c r="EU28" s="35" t="str">
        <f t="shared" si="58"/>
        <v/>
      </c>
      <c r="EV28" s="36" t="str">
        <f t="shared" si="59"/>
        <v/>
      </c>
      <c r="EW28" s="37"/>
    </row>
    <row r="29" spans="1:153" ht="19.5" customHeight="1">
      <c r="A29" s="32">
        <f>IF(DAY(DATE(対象年度,6,26))&lt;&gt;26,"",26)</f>
        <v>26</v>
      </c>
      <c r="B29" s="32" t="str">
        <f>IF(DAY(DATE(対象年度,6,26))&lt;&gt;26,"",CHOOSE(WEEKDAY(DATE(対象年度,6,26),2),"月","火","水","木","金","土","日"))</f>
        <v>金</v>
      </c>
      <c r="C29" s="32" t="str">
        <f>IF(DAY(DATE(対象年度,6,26))&lt;&gt;26,"",IF(ISNUMBER(MATCH(DATE(対象年度,6,26),祝日リスト,0)),"祝",""))</f>
        <v/>
      </c>
      <c r="D29" s="33"/>
      <c r="E29" s="34"/>
      <c r="F29" s="35" t="str">
        <f t="shared" si="0"/>
        <v/>
      </c>
      <c r="G29" s="36" t="str">
        <f t="shared" si="1"/>
        <v/>
      </c>
      <c r="H29" s="37"/>
      <c r="I29" s="33"/>
      <c r="J29" s="34"/>
      <c r="K29" s="35" t="str">
        <f t="shared" si="2"/>
        <v/>
      </c>
      <c r="L29" s="36" t="str">
        <f t="shared" si="3"/>
        <v/>
      </c>
      <c r="M29" s="37"/>
      <c r="N29" s="33"/>
      <c r="O29" s="34"/>
      <c r="P29" s="35" t="str">
        <f t="shared" si="4"/>
        <v/>
      </c>
      <c r="Q29" s="36" t="str">
        <f t="shared" si="5"/>
        <v/>
      </c>
      <c r="R29" s="37"/>
      <c r="S29" s="33"/>
      <c r="T29" s="34"/>
      <c r="U29" s="35" t="str">
        <f t="shared" si="6"/>
        <v/>
      </c>
      <c r="V29" s="36" t="str">
        <f t="shared" si="7"/>
        <v/>
      </c>
      <c r="W29" s="37"/>
      <c r="X29" s="33"/>
      <c r="Y29" s="34"/>
      <c r="Z29" s="35" t="str">
        <f t="shared" si="8"/>
        <v/>
      </c>
      <c r="AA29" s="36" t="str">
        <f t="shared" si="9"/>
        <v/>
      </c>
      <c r="AB29" s="37"/>
      <c r="AC29" s="33"/>
      <c r="AD29" s="34"/>
      <c r="AE29" s="35" t="str">
        <f t="shared" si="10"/>
        <v/>
      </c>
      <c r="AF29" s="36" t="str">
        <f t="shared" si="11"/>
        <v/>
      </c>
      <c r="AG29" s="37"/>
      <c r="AH29" s="33"/>
      <c r="AI29" s="34"/>
      <c r="AJ29" s="35" t="str">
        <f t="shared" si="12"/>
        <v/>
      </c>
      <c r="AK29" s="36" t="str">
        <f t="shared" si="13"/>
        <v/>
      </c>
      <c r="AL29" s="37"/>
      <c r="AM29" s="33"/>
      <c r="AN29" s="34"/>
      <c r="AO29" s="35" t="str">
        <f t="shared" si="14"/>
        <v/>
      </c>
      <c r="AP29" s="36" t="str">
        <f t="shared" si="15"/>
        <v/>
      </c>
      <c r="AQ29" s="37"/>
      <c r="AR29" s="33"/>
      <c r="AS29" s="34"/>
      <c r="AT29" s="35" t="str">
        <f t="shared" si="16"/>
        <v/>
      </c>
      <c r="AU29" s="36" t="str">
        <f t="shared" si="17"/>
        <v/>
      </c>
      <c r="AV29" s="37"/>
      <c r="AW29" s="33"/>
      <c r="AX29" s="34"/>
      <c r="AY29" s="35" t="str">
        <f t="shared" si="18"/>
        <v/>
      </c>
      <c r="AZ29" s="36" t="str">
        <f t="shared" si="19"/>
        <v/>
      </c>
      <c r="BA29" s="37"/>
      <c r="BB29" s="33"/>
      <c r="BC29" s="34"/>
      <c r="BD29" s="35" t="str">
        <f t="shared" si="20"/>
        <v/>
      </c>
      <c r="BE29" s="36" t="str">
        <f t="shared" si="21"/>
        <v/>
      </c>
      <c r="BF29" s="37"/>
      <c r="BG29" s="33"/>
      <c r="BH29" s="34"/>
      <c r="BI29" s="35" t="str">
        <f t="shared" si="22"/>
        <v/>
      </c>
      <c r="BJ29" s="36" t="str">
        <f t="shared" si="23"/>
        <v/>
      </c>
      <c r="BK29" s="37"/>
      <c r="BL29" s="33"/>
      <c r="BM29" s="34"/>
      <c r="BN29" s="35" t="str">
        <f t="shared" si="24"/>
        <v/>
      </c>
      <c r="BO29" s="36" t="str">
        <f t="shared" si="25"/>
        <v/>
      </c>
      <c r="BP29" s="37"/>
      <c r="BQ29" s="33"/>
      <c r="BR29" s="34"/>
      <c r="BS29" s="35" t="str">
        <f t="shared" si="26"/>
        <v/>
      </c>
      <c r="BT29" s="36" t="str">
        <f t="shared" si="27"/>
        <v/>
      </c>
      <c r="BU29" s="37"/>
      <c r="BV29" s="33"/>
      <c r="BW29" s="34"/>
      <c r="BX29" s="35" t="str">
        <f t="shared" si="28"/>
        <v/>
      </c>
      <c r="BY29" s="36" t="str">
        <f t="shared" si="29"/>
        <v/>
      </c>
      <c r="BZ29" s="37"/>
      <c r="CA29" s="33"/>
      <c r="CB29" s="34"/>
      <c r="CC29" s="35" t="str">
        <f t="shared" si="30"/>
        <v/>
      </c>
      <c r="CD29" s="36" t="str">
        <f t="shared" si="31"/>
        <v/>
      </c>
      <c r="CE29" s="37"/>
      <c r="CF29" s="33"/>
      <c r="CG29" s="34"/>
      <c r="CH29" s="35" t="str">
        <f t="shared" si="32"/>
        <v/>
      </c>
      <c r="CI29" s="36" t="str">
        <f t="shared" si="33"/>
        <v/>
      </c>
      <c r="CJ29" s="37"/>
      <c r="CK29" s="33"/>
      <c r="CL29" s="34"/>
      <c r="CM29" s="35" t="str">
        <f t="shared" si="34"/>
        <v/>
      </c>
      <c r="CN29" s="36" t="str">
        <f t="shared" si="35"/>
        <v/>
      </c>
      <c r="CO29" s="37"/>
      <c r="CP29" s="33"/>
      <c r="CQ29" s="34"/>
      <c r="CR29" s="35" t="str">
        <f t="shared" si="36"/>
        <v/>
      </c>
      <c r="CS29" s="36" t="str">
        <f t="shared" si="37"/>
        <v/>
      </c>
      <c r="CT29" s="37"/>
      <c r="CU29" s="33"/>
      <c r="CV29" s="34"/>
      <c r="CW29" s="35" t="str">
        <f t="shared" si="38"/>
        <v/>
      </c>
      <c r="CX29" s="36" t="str">
        <f t="shared" si="39"/>
        <v/>
      </c>
      <c r="CY29" s="37"/>
      <c r="CZ29" s="33"/>
      <c r="DA29" s="34"/>
      <c r="DB29" s="35" t="str">
        <f t="shared" si="40"/>
        <v/>
      </c>
      <c r="DC29" s="36" t="str">
        <f t="shared" si="41"/>
        <v/>
      </c>
      <c r="DD29" s="37"/>
      <c r="DE29" s="33"/>
      <c r="DF29" s="34"/>
      <c r="DG29" s="35" t="str">
        <f t="shared" si="42"/>
        <v/>
      </c>
      <c r="DH29" s="36" t="str">
        <f t="shared" si="43"/>
        <v/>
      </c>
      <c r="DI29" s="37"/>
      <c r="DJ29" s="33"/>
      <c r="DK29" s="34"/>
      <c r="DL29" s="35" t="str">
        <f t="shared" si="44"/>
        <v/>
      </c>
      <c r="DM29" s="36" t="str">
        <f t="shared" si="45"/>
        <v/>
      </c>
      <c r="DN29" s="37"/>
      <c r="DO29" s="33"/>
      <c r="DP29" s="34"/>
      <c r="DQ29" s="35" t="str">
        <f t="shared" si="46"/>
        <v/>
      </c>
      <c r="DR29" s="36" t="str">
        <f t="shared" si="47"/>
        <v/>
      </c>
      <c r="DS29" s="37"/>
      <c r="DT29" s="33"/>
      <c r="DU29" s="34"/>
      <c r="DV29" s="35" t="str">
        <f t="shared" si="48"/>
        <v/>
      </c>
      <c r="DW29" s="36" t="str">
        <f t="shared" si="49"/>
        <v/>
      </c>
      <c r="DX29" s="37"/>
      <c r="DY29" s="33"/>
      <c r="DZ29" s="34"/>
      <c r="EA29" s="35" t="str">
        <f t="shared" si="50"/>
        <v/>
      </c>
      <c r="EB29" s="36" t="str">
        <f t="shared" si="51"/>
        <v/>
      </c>
      <c r="EC29" s="37"/>
      <c r="ED29" s="33"/>
      <c r="EE29" s="34"/>
      <c r="EF29" s="35" t="str">
        <f t="shared" si="52"/>
        <v/>
      </c>
      <c r="EG29" s="36" t="str">
        <f t="shared" si="53"/>
        <v/>
      </c>
      <c r="EH29" s="37"/>
      <c r="EI29" s="33"/>
      <c r="EJ29" s="34"/>
      <c r="EK29" s="35" t="str">
        <f t="shared" si="54"/>
        <v/>
      </c>
      <c r="EL29" s="36" t="str">
        <f t="shared" si="55"/>
        <v/>
      </c>
      <c r="EM29" s="37"/>
      <c r="EN29" s="33"/>
      <c r="EO29" s="34"/>
      <c r="EP29" s="35" t="str">
        <f t="shared" si="56"/>
        <v/>
      </c>
      <c r="EQ29" s="36" t="str">
        <f t="shared" si="57"/>
        <v/>
      </c>
      <c r="ER29" s="37"/>
      <c r="ES29" s="33"/>
      <c r="ET29" s="34"/>
      <c r="EU29" s="35" t="str">
        <f t="shared" si="58"/>
        <v/>
      </c>
      <c r="EV29" s="36" t="str">
        <f t="shared" si="59"/>
        <v/>
      </c>
      <c r="EW29" s="37"/>
    </row>
    <row r="30" spans="1:153" ht="19.5" customHeight="1">
      <c r="A30" s="32">
        <f>IF(DAY(DATE(対象年度,6,27))&lt;&gt;27,"",27)</f>
        <v>27</v>
      </c>
      <c r="B30" s="32" t="str">
        <f>IF(DAY(DATE(対象年度,6,27))&lt;&gt;27,"",CHOOSE(WEEKDAY(DATE(対象年度,6,27),2),"月","火","水","木","金","土","日"))</f>
        <v>土</v>
      </c>
      <c r="C30" s="32" t="str">
        <f>IF(DAY(DATE(対象年度,6,27))&lt;&gt;27,"",IF(ISNUMBER(MATCH(DATE(対象年度,6,27),祝日リスト,0)),"祝",""))</f>
        <v/>
      </c>
      <c r="D30" s="33"/>
      <c r="E30" s="34"/>
      <c r="F30" s="35" t="str">
        <f t="shared" si="0"/>
        <v/>
      </c>
      <c r="G30" s="36" t="str">
        <f t="shared" si="1"/>
        <v/>
      </c>
      <c r="H30" s="37"/>
      <c r="I30" s="33"/>
      <c r="J30" s="34"/>
      <c r="K30" s="35" t="str">
        <f t="shared" si="2"/>
        <v/>
      </c>
      <c r="L30" s="36" t="str">
        <f t="shared" si="3"/>
        <v/>
      </c>
      <c r="M30" s="37"/>
      <c r="N30" s="33"/>
      <c r="O30" s="34"/>
      <c r="P30" s="35" t="str">
        <f t="shared" si="4"/>
        <v/>
      </c>
      <c r="Q30" s="36" t="str">
        <f t="shared" si="5"/>
        <v/>
      </c>
      <c r="R30" s="37"/>
      <c r="S30" s="33"/>
      <c r="T30" s="34"/>
      <c r="U30" s="35" t="str">
        <f t="shared" si="6"/>
        <v/>
      </c>
      <c r="V30" s="36" t="str">
        <f t="shared" si="7"/>
        <v/>
      </c>
      <c r="W30" s="37"/>
      <c r="X30" s="33"/>
      <c r="Y30" s="34"/>
      <c r="Z30" s="35" t="str">
        <f t="shared" si="8"/>
        <v/>
      </c>
      <c r="AA30" s="36" t="str">
        <f t="shared" si="9"/>
        <v/>
      </c>
      <c r="AB30" s="37"/>
      <c r="AC30" s="33"/>
      <c r="AD30" s="34"/>
      <c r="AE30" s="35" t="str">
        <f t="shared" si="10"/>
        <v/>
      </c>
      <c r="AF30" s="36" t="str">
        <f t="shared" si="11"/>
        <v/>
      </c>
      <c r="AG30" s="37"/>
      <c r="AH30" s="33"/>
      <c r="AI30" s="34"/>
      <c r="AJ30" s="35" t="str">
        <f t="shared" si="12"/>
        <v/>
      </c>
      <c r="AK30" s="36" t="str">
        <f t="shared" si="13"/>
        <v/>
      </c>
      <c r="AL30" s="37"/>
      <c r="AM30" s="33"/>
      <c r="AN30" s="34"/>
      <c r="AO30" s="35" t="str">
        <f t="shared" si="14"/>
        <v/>
      </c>
      <c r="AP30" s="36" t="str">
        <f t="shared" si="15"/>
        <v/>
      </c>
      <c r="AQ30" s="37"/>
      <c r="AR30" s="33"/>
      <c r="AS30" s="34"/>
      <c r="AT30" s="35" t="str">
        <f t="shared" si="16"/>
        <v/>
      </c>
      <c r="AU30" s="36" t="str">
        <f t="shared" si="17"/>
        <v/>
      </c>
      <c r="AV30" s="37"/>
      <c r="AW30" s="33"/>
      <c r="AX30" s="34"/>
      <c r="AY30" s="35" t="str">
        <f t="shared" si="18"/>
        <v/>
      </c>
      <c r="AZ30" s="36" t="str">
        <f t="shared" si="19"/>
        <v/>
      </c>
      <c r="BA30" s="37"/>
      <c r="BB30" s="33"/>
      <c r="BC30" s="34"/>
      <c r="BD30" s="35" t="str">
        <f t="shared" si="20"/>
        <v/>
      </c>
      <c r="BE30" s="36" t="str">
        <f t="shared" si="21"/>
        <v/>
      </c>
      <c r="BF30" s="37"/>
      <c r="BG30" s="33"/>
      <c r="BH30" s="34"/>
      <c r="BI30" s="35" t="str">
        <f t="shared" si="22"/>
        <v/>
      </c>
      <c r="BJ30" s="36" t="str">
        <f t="shared" si="23"/>
        <v/>
      </c>
      <c r="BK30" s="37"/>
      <c r="BL30" s="33"/>
      <c r="BM30" s="34"/>
      <c r="BN30" s="35" t="str">
        <f t="shared" si="24"/>
        <v/>
      </c>
      <c r="BO30" s="36" t="str">
        <f t="shared" si="25"/>
        <v/>
      </c>
      <c r="BP30" s="37"/>
      <c r="BQ30" s="33"/>
      <c r="BR30" s="34"/>
      <c r="BS30" s="35" t="str">
        <f t="shared" si="26"/>
        <v/>
      </c>
      <c r="BT30" s="36" t="str">
        <f t="shared" si="27"/>
        <v/>
      </c>
      <c r="BU30" s="37"/>
      <c r="BV30" s="33"/>
      <c r="BW30" s="34"/>
      <c r="BX30" s="35" t="str">
        <f t="shared" si="28"/>
        <v/>
      </c>
      <c r="BY30" s="36" t="str">
        <f t="shared" si="29"/>
        <v/>
      </c>
      <c r="BZ30" s="37"/>
      <c r="CA30" s="33"/>
      <c r="CB30" s="34"/>
      <c r="CC30" s="35" t="str">
        <f t="shared" si="30"/>
        <v/>
      </c>
      <c r="CD30" s="36" t="str">
        <f t="shared" si="31"/>
        <v/>
      </c>
      <c r="CE30" s="37"/>
      <c r="CF30" s="33"/>
      <c r="CG30" s="34"/>
      <c r="CH30" s="35" t="str">
        <f t="shared" si="32"/>
        <v/>
      </c>
      <c r="CI30" s="36" t="str">
        <f t="shared" si="33"/>
        <v/>
      </c>
      <c r="CJ30" s="37"/>
      <c r="CK30" s="33"/>
      <c r="CL30" s="34"/>
      <c r="CM30" s="35" t="str">
        <f t="shared" si="34"/>
        <v/>
      </c>
      <c r="CN30" s="36" t="str">
        <f t="shared" si="35"/>
        <v/>
      </c>
      <c r="CO30" s="37"/>
      <c r="CP30" s="33"/>
      <c r="CQ30" s="34"/>
      <c r="CR30" s="35" t="str">
        <f t="shared" si="36"/>
        <v/>
      </c>
      <c r="CS30" s="36" t="str">
        <f t="shared" si="37"/>
        <v/>
      </c>
      <c r="CT30" s="37"/>
      <c r="CU30" s="33"/>
      <c r="CV30" s="34"/>
      <c r="CW30" s="35" t="str">
        <f t="shared" si="38"/>
        <v/>
      </c>
      <c r="CX30" s="36" t="str">
        <f t="shared" si="39"/>
        <v/>
      </c>
      <c r="CY30" s="37"/>
      <c r="CZ30" s="33"/>
      <c r="DA30" s="34"/>
      <c r="DB30" s="35" t="str">
        <f t="shared" si="40"/>
        <v/>
      </c>
      <c r="DC30" s="36" t="str">
        <f t="shared" si="41"/>
        <v/>
      </c>
      <c r="DD30" s="37"/>
      <c r="DE30" s="33"/>
      <c r="DF30" s="34"/>
      <c r="DG30" s="35" t="str">
        <f t="shared" si="42"/>
        <v/>
      </c>
      <c r="DH30" s="36" t="str">
        <f t="shared" si="43"/>
        <v/>
      </c>
      <c r="DI30" s="37"/>
      <c r="DJ30" s="33"/>
      <c r="DK30" s="34"/>
      <c r="DL30" s="35" t="str">
        <f t="shared" si="44"/>
        <v/>
      </c>
      <c r="DM30" s="36" t="str">
        <f t="shared" si="45"/>
        <v/>
      </c>
      <c r="DN30" s="37"/>
      <c r="DO30" s="33"/>
      <c r="DP30" s="34"/>
      <c r="DQ30" s="35" t="str">
        <f t="shared" si="46"/>
        <v/>
      </c>
      <c r="DR30" s="36" t="str">
        <f t="shared" si="47"/>
        <v/>
      </c>
      <c r="DS30" s="37"/>
      <c r="DT30" s="33"/>
      <c r="DU30" s="34"/>
      <c r="DV30" s="35" t="str">
        <f t="shared" si="48"/>
        <v/>
      </c>
      <c r="DW30" s="36" t="str">
        <f t="shared" si="49"/>
        <v/>
      </c>
      <c r="DX30" s="37"/>
      <c r="DY30" s="33"/>
      <c r="DZ30" s="34"/>
      <c r="EA30" s="35" t="str">
        <f t="shared" si="50"/>
        <v/>
      </c>
      <c r="EB30" s="36" t="str">
        <f t="shared" si="51"/>
        <v/>
      </c>
      <c r="EC30" s="37"/>
      <c r="ED30" s="33"/>
      <c r="EE30" s="34"/>
      <c r="EF30" s="35" t="str">
        <f t="shared" si="52"/>
        <v/>
      </c>
      <c r="EG30" s="36" t="str">
        <f t="shared" si="53"/>
        <v/>
      </c>
      <c r="EH30" s="37"/>
      <c r="EI30" s="33"/>
      <c r="EJ30" s="34"/>
      <c r="EK30" s="35" t="str">
        <f t="shared" si="54"/>
        <v/>
      </c>
      <c r="EL30" s="36" t="str">
        <f t="shared" si="55"/>
        <v/>
      </c>
      <c r="EM30" s="37"/>
      <c r="EN30" s="33"/>
      <c r="EO30" s="34"/>
      <c r="EP30" s="35" t="str">
        <f t="shared" si="56"/>
        <v/>
      </c>
      <c r="EQ30" s="36" t="str">
        <f t="shared" si="57"/>
        <v/>
      </c>
      <c r="ER30" s="37"/>
      <c r="ES30" s="33"/>
      <c r="ET30" s="34"/>
      <c r="EU30" s="35" t="str">
        <f t="shared" si="58"/>
        <v/>
      </c>
      <c r="EV30" s="36" t="str">
        <f t="shared" si="59"/>
        <v/>
      </c>
      <c r="EW30" s="37"/>
    </row>
    <row r="31" spans="1:153" ht="19.5" customHeight="1">
      <c r="A31" s="32">
        <f>IF(DAY(DATE(対象年度,6,28))&lt;&gt;28,"",28)</f>
        <v>28</v>
      </c>
      <c r="B31" s="32" t="str">
        <f>IF(DAY(DATE(対象年度,6,28))&lt;&gt;28,"",CHOOSE(WEEKDAY(DATE(対象年度,6,28),2),"月","火","水","木","金","土","日"))</f>
        <v>日</v>
      </c>
      <c r="C31" s="32" t="str">
        <f>IF(DAY(DATE(対象年度,6,28))&lt;&gt;28,"",IF(ISNUMBER(MATCH(DATE(対象年度,6,28),祝日リスト,0)),"祝",""))</f>
        <v/>
      </c>
      <c r="D31" s="33"/>
      <c r="E31" s="34"/>
      <c r="F31" s="35" t="str">
        <f t="shared" si="0"/>
        <v/>
      </c>
      <c r="G31" s="36" t="str">
        <f t="shared" si="1"/>
        <v/>
      </c>
      <c r="H31" s="37"/>
      <c r="I31" s="33"/>
      <c r="J31" s="34"/>
      <c r="K31" s="35" t="str">
        <f t="shared" si="2"/>
        <v/>
      </c>
      <c r="L31" s="36" t="str">
        <f t="shared" si="3"/>
        <v/>
      </c>
      <c r="M31" s="37"/>
      <c r="N31" s="33"/>
      <c r="O31" s="34"/>
      <c r="P31" s="35" t="str">
        <f t="shared" si="4"/>
        <v/>
      </c>
      <c r="Q31" s="36" t="str">
        <f t="shared" si="5"/>
        <v/>
      </c>
      <c r="R31" s="37"/>
      <c r="S31" s="33"/>
      <c r="T31" s="34"/>
      <c r="U31" s="35" t="str">
        <f t="shared" si="6"/>
        <v/>
      </c>
      <c r="V31" s="36" t="str">
        <f t="shared" si="7"/>
        <v/>
      </c>
      <c r="W31" s="37"/>
      <c r="X31" s="33"/>
      <c r="Y31" s="34"/>
      <c r="Z31" s="35" t="str">
        <f t="shared" si="8"/>
        <v/>
      </c>
      <c r="AA31" s="36" t="str">
        <f t="shared" si="9"/>
        <v/>
      </c>
      <c r="AB31" s="37"/>
      <c r="AC31" s="33"/>
      <c r="AD31" s="34"/>
      <c r="AE31" s="35" t="str">
        <f t="shared" si="10"/>
        <v/>
      </c>
      <c r="AF31" s="36" t="str">
        <f t="shared" si="11"/>
        <v/>
      </c>
      <c r="AG31" s="37"/>
      <c r="AH31" s="33"/>
      <c r="AI31" s="34"/>
      <c r="AJ31" s="35" t="str">
        <f t="shared" si="12"/>
        <v/>
      </c>
      <c r="AK31" s="36" t="str">
        <f t="shared" si="13"/>
        <v/>
      </c>
      <c r="AL31" s="37"/>
      <c r="AM31" s="33"/>
      <c r="AN31" s="34"/>
      <c r="AO31" s="35" t="str">
        <f t="shared" si="14"/>
        <v/>
      </c>
      <c r="AP31" s="36" t="str">
        <f t="shared" si="15"/>
        <v/>
      </c>
      <c r="AQ31" s="37"/>
      <c r="AR31" s="33"/>
      <c r="AS31" s="34"/>
      <c r="AT31" s="35" t="str">
        <f t="shared" si="16"/>
        <v/>
      </c>
      <c r="AU31" s="36" t="str">
        <f t="shared" si="17"/>
        <v/>
      </c>
      <c r="AV31" s="37"/>
      <c r="AW31" s="33"/>
      <c r="AX31" s="34"/>
      <c r="AY31" s="35" t="str">
        <f t="shared" si="18"/>
        <v/>
      </c>
      <c r="AZ31" s="36" t="str">
        <f t="shared" si="19"/>
        <v/>
      </c>
      <c r="BA31" s="37"/>
      <c r="BB31" s="33"/>
      <c r="BC31" s="34"/>
      <c r="BD31" s="35" t="str">
        <f t="shared" si="20"/>
        <v/>
      </c>
      <c r="BE31" s="36" t="str">
        <f t="shared" si="21"/>
        <v/>
      </c>
      <c r="BF31" s="37"/>
      <c r="BG31" s="33"/>
      <c r="BH31" s="34"/>
      <c r="BI31" s="35" t="str">
        <f t="shared" si="22"/>
        <v/>
      </c>
      <c r="BJ31" s="36" t="str">
        <f t="shared" si="23"/>
        <v/>
      </c>
      <c r="BK31" s="37"/>
      <c r="BL31" s="33"/>
      <c r="BM31" s="34"/>
      <c r="BN31" s="35" t="str">
        <f t="shared" si="24"/>
        <v/>
      </c>
      <c r="BO31" s="36" t="str">
        <f t="shared" si="25"/>
        <v/>
      </c>
      <c r="BP31" s="37"/>
      <c r="BQ31" s="33"/>
      <c r="BR31" s="34"/>
      <c r="BS31" s="35" t="str">
        <f t="shared" si="26"/>
        <v/>
      </c>
      <c r="BT31" s="36" t="str">
        <f t="shared" si="27"/>
        <v/>
      </c>
      <c r="BU31" s="37"/>
      <c r="BV31" s="33"/>
      <c r="BW31" s="34"/>
      <c r="BX31" s="35" t="str">
        <f t="shared" si="28"/>
        <v/>
      </c>
      <c r="BY31" s="36" t="str">
        <f t="shared" si="29"/>
        <v/>
      </c>
      <c r="BZ31" s="37"/>
      <c r="CA31" s="33"/>
      <c r="CB31" s="34"/>
      <c r="CC31" s="35" t="str">
        <f t="shared" si="30"/>
        <v/>
      </c>
      <c r="CD31" s="36" t="str">
        <f t="shared" si="31"/>
        <v/>
      </c>
      <c r="CE31" s="37"/>
      <c r="CF31" s="33"/>
      <c r="CG31" s="34"/>
      <c r="CH31" s="35" t="str">
        <f t="shared" si="32"/>
        <v/>
      </c>
      <c r="CI31" s="36" t="str">
        <f t="shared" si="33"/>
        <v/>
      </c>
      <c r="CJ31" s="37"/>
      <c r="CK31" s="33"/>
      <c r="CL31" s="34"/>
      <c r="CM31" s="35" t="str">
        <f t="shared" si="34"/>
        <v/>
      </c>
      <c r="CN31" s="36" t="str">
        <f t="shared" si="35"/>
        <v/>
      </c>
      <c r="CO31" s="37"/>
      <c r="CP31" s="33"/>
      <c r="CQ31" s="34"/>
      <c r="CR31" s="35" t="str">
        <f t="shared" si="36"/>
        <v/>
      </c>
      <c r="CS31" s="36" t="str">
        <f t="shared" si="37"/>
        <v/>
      </c>
      <c r="CT31" s="37"/>
      <c r="CU31" s="33"/>
      <c r="CV31" s="34"/>
      <c r="CW31" s="35" t="str">
        <f t="shared" si="38"/>
        <v/>
      </c>
      <c r="CX31" s="36" t="str">
        <f t="shared" si="39"/>
        <v/>
      </c>
      <c r="CY31" s="37"/>
      <c r="CZ31" s="33"/>
      <c r="DA31" s="34"/>
      <c r="DB31" s="35" t="str">
        <f t="shared" si="40"/>
        <v/>
      </c>
      <c r="DC31" s="36" t="str">
        <f t="shared" si="41"/>
        <v/>
      </c>
      <c r="DD31" s="37"/>
      <c r="DE31" s="33"/>
      <c r="DF31" s="34"/>
      <c r="DG31" s="35" t="str">
        <f t="shared" si="42"/>
        <v/>
      </c>
      <c r="DH31" s="36" t="str">
        <f t="shared" si="43"/>
        <v/>
      </c>
      <c r="DI31" s="37"/>
      <c r="DJ31" s="33"/>
      <c r="DK31" s="34"/>
      <c r="DL31" s="35" t="str">
        <f t="shared" si="44"/>
        <v/>
      </c>
      <c r="DM31" s="36" t="str">
        <f t="shared" si="45"/>
        <v/>
      </c>
      <c r="DN31" s="37"/>
      <c r="DO31" s="33"/>
      <c r="DP31" s="34"/>
      <c r="DQ31" s="35" t="str">
        <f t="shared" si="46"/>
        <v/>
      </c>
      <c r="DR31" s="36" t="str">
        <f t="shared" si="47"/>
        <v/>
      </c>
      <c r="DS31" s="37"/>
      <c r="DT31" s="33"/>
      <c r="DU31" s="34"/>
      <c r="DV31" s="35" t="str">
        <f t="shared" si="48"/>
        <v/>
      </c>
      <c r="DW31" s="36" t="str">
        <f t="shared" si="49"/>
        <v/>
      </c>
      <c r="DX31" s="37"/>
      <c r="DY31" s="33"/>
      <c r="DZ31" s="34"/>
      <c r="EA31" s="35" t="str">
        <f t="shared" si="50"/>
        <v/>
      </c>
      <c r="EB31" s="36" t="str">
        <f t="shared" si="51"/>
        <v/>
      </c>
      <c r="EC31" s="37"/>
      <c r="ED31" s="33"/>
      <c r="EE31" s="34"/>
      <c r="EF31" s="35" t="str">
        <f t="shared" si="52"/>
        <v/>
      </c>
      <c r="EG31" s="36" t="str">
        <f t="shared" si="53"/>
        <v/>
      </c>
      <c r="EH31" s="37"/>
      <c r="EI31" s="33"/>
      <c r="EJ31" s="34"/>
      <c r="EK31" s="35" t="str">
        <f t="shared" si="54"/>
        <v/>
      </c>
      <c r="EL31" s="36" t="str">
        <f t="shared" si="55"/>
        <v/>
      </c>
      <c r="EM31" s="37"/>
      <c r="EN31" s="33"/>
      <c r="EO31" s="34"/>
      <c r="EP31" s="35" t="str">
        <f t="shared" si="56"/>
        <v/>
      </c>
      <c r="EQ31" s="36" t="str">
        <f t="shared" si="57"/>
        <v/>
      </c>
      <c r="ER31" s="37"/>
      <c r="ES31" s="33"/>
      <c r="ET31" s="34"/>
      <c r="EU31" s="35" t="str">
        <f t="shared" si="58"/>
        <v/>
      </c>
      <c r="EV31" s="36" t="str">
        <f t="shared" si="59"/>
        <v/>
      </c>
      <c r="EW31" s="37"/>
    </row>
    <row r="32" spans="1:153" ht="19.5" customHeight="1">
      <c r="A32" s="32">
        <f>IF(DAY(DATE(対象年度,6,29))&lt;&gt;29,"",29)</f>
        <v>29</v>
      </c>
      <c r="B32" s="32" t="str">
        <f>IF(DAY(DATE(対象年度,6,29))&lt;&gt;29,"",CHOOSE(WEEKDAY(DATE(対象年度,6,29),2),"月","火","水","木","金","土","日"))</f>
        <v>月</v>
      </c>
      <c r="C32" s="32" t="str">
        <f>IF(DAY(DATE(対象年度,6,29))&lt;&gt;29,"",IF(ISNUMBER(MATCH(DATE(対象年度,6,29),祝日リスト,0)),"祝",""))</f>
        <v/>
      </c>
      <c r="D32" s="33"/>
      <c r="E32" s="34"/>
      <c r="F32" s="35" t="str">
        <f t="shared" si="0"/>
        <v/>
      </c>
      <c r="G32" s="36" t="str">
        <f t="shared" si="1"/>
        <v/>
      </c>
      <c r="H32" s="37"/>
      <c r="I32" s="33"/>
      <c r="J32" s="34"/>
      <c r="K32" s="35" t="str">
        <f t="shared" si="2"/>
        <v/>
      </c>
      <c r="L32" s="36" t="str">
        <f t="shared" si="3"/>
        <v/>
      </c>
      <c r="M32" s="37"/>
      <c r="N32" s="33"/>
      <c r="O32" s="34"/>
      <c r="P32" s="35" t="str">
        <f t="shared" si="4"/>
        <v/>
      </c>
      <c r="Q32" s="36" t="str">
        <f t="shared" si="5"/>
        <v/>
      </c>
      <c r="R32" s="37"/>
      <c r="S32" s="33"/>
      <c r="T32" s="34"/>
      <c r="U32" s="35" t="str">
        <f t="shared" si="6"/>
        <v/>
      </c>
      <c r="V32" s="36" t="str">
        <f t="shared" si="7"/>
        <v/>
      </c>
      <c r="W32" s="37"/>
      <c r="X32" s="33"/>
      <c r="Y32" s="34"/>
      <c r="Z32" s="35" t="str">
        <f t="shared" si="8"/>
        <v/>
      </c>
      <c r="AA32" s="36" t="str">
        <f t="shared" si="9"/>
        <v/>
      </c>
      <c r="AB32" s="37"/>
      <c r="AC32" s="33"/>
      <c r="AD32" s="34"/>
      <c r="AE32" s="35" t="str">
        <f t="shared" si="10"/>
        <v/>
      </c>
      <c r="AF32" s="36" t="str">
        <f t="shared" si="11"/>
        <v/>
      </c>
      <c r="AG32" s="37"/>
      <c r="AH32" s="33"/>
      <c r="AI32" s="34"/>
      <c r="AJ32" s="35" t="str">
        <f t="shared" si="12"/>
        <v/>
      </c>
      <c r="AK32" s="36" t="str">
        <f t="shared" si="13"/>
        <v/>
      </c>
      <c r="AL32" s="37"/>
      <c r="AM32" s="33"/>
      <c r="AN32" s="34"/>
      <c r="AO32" s="35" t="str">
        <f t="shared" si="14"/>
        <v/>
      </c>
      <c r="AP32" s="36" t="str">
        <f t="shared" si="15"/>
        <v/>
      </c>
      <c r="AQ32" s="37"/>
      <c r="AR32" s="33"/>
      <c r="AS32" s="34"/>
      <c r="AT32" s="35" t="str">
        <f t="shared" si="16"/>
        <v/>
      </c>
      <c r="AU32" s="36" t="str">
        <f t="shared" si="17"/>
        <v/>
      </c>
      <c r="AV32" s="37"/>
      <c r="AW32" s="33"/>
      <c r="AX32" s="34"/>
      <c r="AY32" s="35" t="str">
        <f t="shared" si="18"/>
        <v/>
      </c>
      <c r="AZ32" s="36" t="str">
        <f t="shared" si="19"/>
        <v/>
      </c>
      <c r="BA32" s="37"/>
      <c r="BB32" s="33"/>
      <c r="BC32" s="34"/>
      <c r="BD32" s="35" t="str">
        <f t="shared" si="20"/>
        <v/>
      </c>
      <c r="BE32" s="36" t="str">
        <f t="shared" si="21"/>
        <v/>
      </c>
      <c r="BF32" s="37"/>
      <c r="BG32" s="33"/>
      <c r="BH32" s="34"/>
      <c r="BI32" s="35" t="str">
        <f t="shared" si="22"/>
        <v/>
      </c>
      <c r="BJ32" s="36" t="str">
        <f t="shared" si="23"/>
        <v/>
      </c>
      <c r="BK32" s="37"/>
      <c r="BL32" s="33"/>
      <c r="BM32" s="34"/>
      <c r="BN32" s="35" t="str">
        <f t="shared" si="24"/>
        <v/>
      </c>
      <c r="BO32" s="36" t="str">
        <f t="shared" si="25"/>
        <v/>
      </c>
      <c r="BP32" s="37"/>
      <c r="BQ32" s="33"/>
      <c r="BR32" s="34"/>
      <c r="BS32" s="35" t="str">
        <f t="shared" si="26"/>
        <v/>
      </c>
      <c r="BT32" s="36" t="str">
        <f t="shared" si="27"/>
        <v/>
      </c>
      <c r="BU32" s="37"/>
      <c r="BV32" s="33"/>
      <c r="BW32" s="34"/>
      <c r="BX32" s="35" t="str">
        <f t="shared" si="28"/>
        <v/>
      </c>
      <c r="BY32" s="36" t="str">
        <f t="shared" si="29"/>
        <v/>
      </c>
      <c r="BZ32" s="37"/>
      <c r="CA32" s="33"/>
      <c r="CB32" s="34"/>
      <c r="CC32" s="35" t="str">
        <f t="shared" si="30"/>
        <v/>
      </c>
      <c r="CD32" s="36" t="str">
        <f t="shared" si="31"/>
        <v/>
      </c>
      <c r="CE32" s="37"/>
      <c r="CF32" s="33"/>
      <c r="CG32" s="34"/>
      <c r="CH32" s="35" t="str">
        <f t="shared" si="32"/>
        <v/>
      </c>
      <c r="CI32" s="36" t="str">
        <f t="shared" si="33"/>
        <v/>
      </c>
      <c r="CJ32" s="37"/>
      <c r="CK32" s="33"/>
      <c r="CL32" s="34"/>
      <c r="CM32" s="35" t="str">
        <f t="shared" si="34"/>
        <v/>
      </c>
      <c r="CN32" s="36" t="str">
        <f t="shared" si="35"/>
        <v/>
      </c>
      <c r="CO32" s="37"/>
      <c r="CP32" s="33"/>
      <c r="CQ32" s="34"/>
      <c r="CR32" s="35" t="str">
        <f t="shared" si="36"/>
        <v/>
      </c>
      <c r="CS32" s="36" t="str">
        <f t="shared" si="37"/>
        <v/>
      </c>
      <c r="CT32" s="37"/>
      <c r="CU32" s="33"/>
      <c r="CV32" s="34"/>
      <c r="CW32" s="35" t="str">
        <f t="shared" si="38"/>
        <v/>
      </c>
      <c r="CX32" s="36" t="str">
        <f t="shared" si="39"/>
        <v/>
      </c>
      <c r="CY32" s="37"/>
      <c r="CZ32" s="33"/>
      <c r="DA32" s="34"/>
      <c r="DB32" s="35" t="str">
        <f t="shared" si="40"/>
        <v/>
      </c>
      <c r="DC32" s="36" t="str">
        <f t="shared" si="41"/>
        <v/>
      </c>
      <c r="DD32" s="37"/>
      <c r="DE32" s="33"/>
      <c r="DF32" s="34"/>
      <c r="DG32" s="35" t="str">
        <f t="shared" si="42"/>
        <v/>
      </c>
      <c r="DH32" s="36" t="str">
        <f t="shared" si="43"/>
        <v/>
      </c>
      <c r="DI32" s="37"/>
      <c r="DJ32" s="33"/>
      <c r="DK32" s="34"/>
      <c r="DL32" s="35" t="str">
        <f t="shared" si="44"/>
        <v/>
      </c>
      <c r="DM32" s="36" t="str">
        <f t="shared" si="45"/>
        <v/>
      </c>
      <c r="DN32" s="37"/>
      <c r="DO32" s="33"/>
      <c r="DP32" s="34"/>
      <c r="DQ32" s="35" t="str">
        <f t="shared" si="46"/>
        <v/>
      </c>
      <c r="DR32" s="36" t="str">
        <f t="shared" si="47"/>
        <v/>
      </c>
      <c r="DS32" s="37"/>
      <c r="DT32" s="33"/>
      <c r="DU32" s="34"/>
      <c r="DV32" s="35" t="str">
        <f t="shared" si="48"/>
        <v/>
      </c>
      <c r="DW32" s="36" t="str">
        <f t="shared" si="49"/>
        <v/>
      </c>
      <c r="DX32" s="37"/>
      <c r="DY32" s="33"/>
      <c r="DZ32" s="34"/>
      <c r="EA32" s="35" t="str">
        <f t="shared" si="50"/>
        <v/>
      </c>
      <c r="EB32" s="36" t="str">
        <f t="shared" si="51"/>
        <v/>
      </c>
      <c r="EC32" s="37"/>
      <c r="ED32" s="33"/>
      <c r="EE32" s="34"/>
      <c r="EF32" s="35" t="str">
        <f t="shared" si="52"/>
        <v/>
      </c>
      <c r="EG32" s="36" t="str">
        <f t="shared" si="53"/>
        <v/>
      </c>
      <c r="EH32" s="37"/>
      <c r="EI32" s="33"/>
      <c r="EJ32" s="34"/>
      <c r="EK32" s="35" t="str">
        <f t="shared" si="54"/>
        <v/>
      </c>
      <c r="EL32" s="36" t="str">
        <f t="shared" si="55"/>
        <v/>
      </c>
      <c r="EM32" s="37"/>
      <c r="EN32" s="33"/>
      <c r="EO32" s="34"/>
      <c r="EP32" s="35" t="str">
        <f t="shared" si="56"/>
        <v/>
      </c>
      <c r="EQ32" s="36" t="str">
        <f t="shared" si="57"/>
        <v/>
      </c>
      <c r="ER32" s="37"/>
      <c r="ES32" s="33"/>
      <c r="ET32" s="34"/>
      <c r="EU32" s="35" t="str">
        <f t="shared" si="58"/>
        <v/>
      </c>
      <c r="EV32" s="36" t="str">
        <f t="shared" si="59"/>
        <v/>
      </c>
      <c r="EW32" s="37"/>
    </row>
    <row r="33" spans="1:153" ht="19.5" customHeight="1">
      <c r="A33" s="32">
        <f>IF(DAY(DATE(対象年度,6,30))&lt;&gt;30,"",30)</f>
        <v>30</v>
      </c>
      <c r="B33" s="32" t="str">
        <f>IF(DAY(DATE(対象年度,6,30))&lt;&gt;30,"",CHOOSE(WEEKDAY(DATE(対象年度,6,30),2),"月","火","水","木","金","土","日"))</f>
        <v>火</v>
      </c>
      <c r="C33" s="32" t="str">
        <f>IF(DAY(DATE(対象年度,6,30))&lt;&gt;30,"",IF(ISNUMBER(MATCH(DATE(対象年度,6,30),祝日リスト,0)),"祝",""))</f>
        <v/>
      </c>
      <c r="D33" s="33"/>
      <c r="E33" s="34"/>
      <c r="F33" s="35" t="str">
        <f t="shared" si="0"/>
        <v/>
      </c>
      <c r="G33" s="36" t="str">
        <f t="shared" si="1"/>
        <v/>
      </c>
      <c r="H33" s="37"/>
      <c r="I33" s="33"/>
      <c r="J33" s="34"/>
      <c r="K33" s="35" t="str">
        <f t="shared" si="2"/>
        <v/>
      </c>
      <c r="L33" s="36" t="str">
        <f t="shared" si="3"/>
        <v/>
      </c>
      <c r="M33" s="37"/>
      <c r="N33" s="33"/>
      <c r="O33" s="34"/>
      <c r="P33" s="35" t="str">
        <f t="shared" si="4"/>
        <v/>
      </c>
      <c r="Q33" s="36" t="str">
        <f t="shared" si="5"/>
        <v/>
      </c>
      <c r="R33" s="37"/>
      <c r="S33" s="33"/>
      <c r="T33" s="34"/>
      <c r="U33" s="35" t="str">
        <f t="shared" si="6"/>
        <v/>
      </c>
      <c r="V33" s="36" t="str">
        <f t="shared" si="7"/>
        <v/>
      </c>
      <c r="W33" s="37"/>
      <c r="X33" s="33"/>
      <c r="Y33" s="34"/>
      <c r="Z33" s="35" t="str">
        <f t="shared" si="8"/>
        <v/>
      </c>
      <c r="AA33" s="36" t="str">
        <f t="shared" si="9"/>
        <v/>
      </c>
      <c r="AB33" s="37"/>
      <c r="AC33" s="33"/>
      <c r="AD33" s="34"/>
      <c r="AE33" s="35" t="str">
        <f t="shared" si="10"/>
        <v/>
      </c>
      <c r="AF33" s="36" t="str">
        <f t="shared" si="11"/>
        <v/>
      </c>
      <c r="AG33" s="37"/>
      <c r="AH33" s="33"/>
      <c r="AI33" s="34"/>
      <c r="AJ33" s="35" t="str">
        <f t="shared" si="12"/>
        <v/>
      </c>
      <c r="AK33" s="36" t="str">
        <f t="shared" si="13"/>
        <v/>
      </c>
      <c r="AL33" s="37"/>
      <c r="AM33" s="33"/>
      <c r="AN33" s="34"/>
      <c r="AO33" s="35" t="str">
        <f t="shared" si="14"/>
        <v/>
      </c>
      <c r="AP33" s="36" t="str">
        <f t="shared" si="15"/>
        <v/>
      </c>
      <c r="AQ33" s="37"/>
      <c r="AR33" s="33"/>
      <c r="AS33" s="34"/>
      <c r="AT33" s="35" t="str">
        <f t="shared" si="16"/>
        <v/>
      </c>
      <c r="AU33" s="36" t="str">
        <f t="shared" si="17"/>
        <v/>
      </c>
      <c r="AV33" s="37"/>
      <c r="AW33" s="33"/>
      <c r="AX33" s="34"/>
      <c r="AY33" s="35" t="str">
        <f t="shared" si="18"/>
        <v/>
      </c>
      <c r="AZ33" s="36" t="str">
        <f t="shared" si="19"/>
        <v/>
      </c>
      <c r="BA33" s="37"/>
      <c r="BB33" s="33"/>
      <c r="BC33" s="34"/>
      <c r="BD33" s="35" t="str">
        <f t="shared" si="20"/>
        <v/>
      </c>
      <c r="BE33" s="36" t="str">
        <f t="shared" si="21"/>
        <v/>
      </c>
      <c r="BF33" s="37"/>
      <c r="BG33" s="33"/>
      <c r="BH33" s="34"/>
      <c r="BI33" s="35" t="str">
        <f t="shared" si="22"/>
        <v/>
      </c>
      <c r="BJ33" s="36" t="str">
        <f t="shared" si="23"/>
        <v/>
      </c>
      <c r="BK33" s="37"/>
      <c r="BL33" s="33"/>
      <c r="BM33" s="34"/>
      <c r="BN33" s="35" t="str">
        <f t="shared" si="24"/>
        <v/>
      </c>
      <c r="BO33" s="36" t="str">
        <f t="shared" si="25"/>
        <v/>
      </c>
      <c r="BP33" s="37"/>
      <c r="BQ33" s="33"/>
      <c r="BR33" s="34"/>
      <c r="BS33" s="35" t="str">
        <f t="shared" si="26"/>
        <v/>
      </c>
      <c r="BT33" s="36" t="str">
        <f t="shared" si="27"/>
        <v/>
      </c>
      <c r="BU33" s="37"/>
      <c r="BV33" s="33"/>
      <c r="BW33" s="34"/>
      <c r="BX33" s="35" t="str">
        <f t="shared" si="28"/>
        <v/>
      </c>
      <c r="BY33" s="36" t="str">
        <f t="shared" si="29"/>
        <v/>
      </c>
      <c r="BZ33" s="37"/>
      <c r="CA33" s="33"/>
      <c r="CB33" s="34"/>
      <c r="CC33" s="35" t="str">
        <f t="shared" si="30"/>
        <v/>
      </c>
      <c r="CD33" s="36" t="str">
        <f t="shared" si="31"/>
        <v/>
      </c>
      <c r="CE33" s="37"/>
      <c r="CF33" s="33"/>
      <c r="CG33" s="34"/>
      <c r="CH33" s="35" t="str">
        <f t="shared" si="32"/>
        <v/>
      </c>
      <c r="CI33" s="36" t="str">
        <f t="shared" si="33"/>
        <v/>
      </c>
      <c r="CJ33" s="37"/>
      <c r="CK33" s="33"/>
      <c r="CL33" s="34"/>
      <c r="CM33" s="35" t="str">
        <f t="shared" si="34"/>
        <v/>
      </c>
      <c r="CN33" s="36" t="str">
        <f t="shared" si="35"/>
        <v/>
      </c>
      <c r="CO33" s="37"/>
      <c r="CP33" s="33"/>
      <c r="CQ33" s="34"/>
      <c r="CR33" s="35" t="str">
        <f t="shared" si="36"/>
        <v/>
      </c>
      <c r="CS33" s="36" t="str">
        <f t="shared" si="37"/>
        <v/>
      </c>
      <c r="CT33" s="37"/>
      <c r="CU33" s="33"/>
      <c r="CV33" s="34"/>
      <c r="CW33" s="35" t="str">
        <f t="shared" si="38"/>
        <v/>
      </c>
      <c r="CX33" s="36" t="str">
        <f t="shared" si="39"/>
        <v/>
      </c>
      <c r="CY33" s="37"/>
      <c r="CZ33" s="33"/>
      <c r="DA33" s="34"/>
      <c r="DB33" s="35" t="str">
        <f t="shared" si="40"/>
        <v/>
      </c>
      <c r="DC33" s="36" t="str">
        <f t="shared" si="41"/>
        <v/>
      </c>
      <c r="DD33" s="37"/>
      <c r="DE33" s="33"/>
      <c r="DF33" s="34"/>
      <c r="DG33" s="35" t="str">
        <f t="shared" si="42"/>
        <v/>
      </c>
      <c r="DH33" s="36" t="str">
        <f t="shared" si="43"/>
        <v/>
      </c>
      <c r="DI33" s="37"/>
      <c r="DJ33" s="33"/>
      <c r="DK33" s="34"/>
      <c r="DL33" s="35" t="str">
        <f t="shared" si="44"/>
        <v/>
      </c>
      <c r="DM33" s="36" t="str">
        <f t="shared" si="45"/>
        <v/>
      </c>
      <c r="DN33" s="37"/>
      <c r="DO33" s="33"/>
      <c r="DP33" s="34"/>
      <c r="DQ33" s="35" t="str">
        <f t="shared" si="46"/>
        <v/>
      </c>
      <c r="DR33" s="36" t="str">
        <f t="shared" si="47"/>
        <v/>
      </c>
      <c r="DS33" s="37"/>
      <c r="DT33" s="33"/>
      <c r="DU33" s="34"/>
      <c r="DV33" s="35" t="str">
        <f t="shared" si="48"/>
        <v/>
      </c>
      <c r="DW33" s="36" t="str">
        <f t="shared" si="49"/>
        <v/>
      </c>
      <c r="DX33" s="37"/>
      <c r="DY33" s="33"/>
      <c r="DZ33" s="34"/>
      <c r="EA33" s="35" t="str">
        <f t="shared" si="50"/>
        <v/>
      </c>
      <c r="EB33" s="36" t="str">
        <f t="shared" si="51"/>
        <v/>
      </c>
      <c r="EC33" s="37"/>
      <c r="ED33" s="33"/>
      <c r="EE33" s="34"/>
      <c r="EF33" s="35" t="str">
        <f t="shared" si="52"/>
        <v/>
      </c>
      <c r="EG33" s="36" t="str">
        <f t="shared" si="53"/>
        <v/>
      </c>
      <c r="EH33" s="37"/>
      <c r="EI33" s="33"/>
      <c r="EJ33" s="34"/>
      <c r="EK33" s="35" t="str">
        <f t="shared" si="54"/>
        <v/>
      </c>
      <c r="EL33" s="36" t="str">
        <f t="shared" si="55"/>
        <v/>
      </c>
      <c r="EM33" s="37"/>
      <c r="EN33" s="33"/>
      <c r="EO33" s="34"/>
      <c r="EP33" s="35" t="str">
        <f t="shared" si="56"/>
        <v/>
      </c>
      <c r="EQ33" s="36" t="str">
        <f t="shared" si="57"/>
        <v/>
      </c>
      <c r="ER33" s="37"/>
      <c r="ES33" s="33"/>
      <c r="ET33" s="34"/>
      <c r="EU33" s="35" t="str">
        <f t="shared" si="58"/>
        <v/>
      </c>
      <c r="EV33" s="36" t="str">
        <f t="shared" si="59"/>
        <v/>
      </c>
      <c r="EW33" s="37"/>
    </row>
    <row r="34" spans="1:153" ht="19.5" customHeight="1">
      <c r="A34" s="39" t="str">
        <f>IF(DAY(DATE(対象年度,6,31))&lt;&gt;31,"",31)</f>
        <v/>
      </c>
      <c r="B34" s="39" t="str">
        <f>IF(DAY(DATE(対象年度,6,31))&lt;&gt;31,"",CHOOSE(WEEKDAY(DATE(対象年度,6,31),2),"月","火","水","木","金","土","日"))</f>
        <v/>
      </c>
      <c r="C34" s="39" t="str">
        <f>IF(DAY(DATE(対象年度,6,31))&lt;&gt;31,"",IF(ISNUMBER(MATCH(DATE(対象年度,6,31),祝日リスト,0)),"祝",""))</f>
        <v/>
      </c>
      <c r="D34" s="40"/>
      <c r="E34" s="41"/>
      <c r="F34" s="42" t="str">
        <f t="shared" si="0"/>
        <v/>
      </c>
      <c r="G34" s="43" t="str">
        <f t="shared" si="1"/>
        <v/>
      </c>
      <c r="H34" s="44"/>
      <c r="I34" s="40"/>
      <c r="J34" s="41"/>
      <c r="K34" s="42" t="str">
        <f t="shared" si="2"/>
        <v/>
      </c>
      <c r="L34" s="43" t="str">
        <f t="shared" si="3"/>
        <v/>
      </c>
      <c r="M34" s="44"/>
      <c r="N34" s="40"/>
      <c r="O34" s="41"/>
      <c r="P34" s="42" t="str">
        <f t="shared" si="4"/>
        <v/>
      </c>
      <c r="Q34" s="43" t="str">
        <f t="shared" si="5"/>
        <v/>
      </c>
      <c r="R34" s="44"/>
      <c r="S34" s="40"/>
      <c r="T34" s="41"/>
      <c r="U34" s="42" t="str">
        <f t="shared" si="6"/>
        <v/>
      </c>
      <c r="V34" s="43" t="str">
        <f t="shared" si="7"/>
        <v/>
      </c>
      <c r="W34" s="44"/>
      <c r="X34" s="40"/>
      <c r="Y34" s="41"/>
      <c r="Z34" s="42" t="str">
        <f t="shared" si="8"/>
        <v/>
      </c>
      <c r="AA34" s="43" t="str">
        <f t="shared" si="9"/>
        <v/>
      </c>
      <c r="AB34" s="44"/>
      <c r="AC34" s="40"/>
      <c r="AD34" s="41"/>
      <c r="AE34" s="42" t="str">
        <f t="shared" si="10"/>
        <v/>
      </c>
      <c r="AF34" s="43" t="str">
        <f t="shared" si="11"/>
        <v/>
      </c>
      <c r="AG34" s="44"/>
      <c r="AH34" s="40"/>
      <c r="AI34" s="41"/>
      <c r="AJ34" s="42" t="str">
        <f t="shared" si="12"/>
        <v/>
      </c>
      <c r="AK34" s="43" t="str">
        <f t="shared" si="13"/>
        <v/>
      </c>
      <c r="AL34" s="44"/>
      <c r="AM34" s="40"/>
      <c r="AN34" s="41"/>
      <c r="AO34" s="42" t="str">
        <f t="shared" si="14"/>
        <v/>
      </c>
      <c r="AP34" s="43" t="str">
        <f t="shared" si="15"/>
        <v/>
      </c>
      <c r="AQ34" s="44"/>
      <c r="AR34" s="40"/>
      <c r="AS34" s="41"/>
      <c r="AT34" s="42" t="str">
        <f t="shared" si="16"/>
        <v/>
      </c>
      <c r="AU34" s="43" t="str">
        <f t="shared" si="17"/>
        <v/>
      </c>
      <c r="AV34" s="44"/>
      <c r="AW34" s="40"/>
      <c r="AX34" s="41"/>
      <c r="AY34" s="42" t="str">
        <f t="shared" si="18"/>
        <v/>
      </c>
      <c r="AZ34" s="43" t="str">
        <f t="shared" si="19"/>
        <v/>
      </c>
      <c r="BA34" s="44"/>
      <c r="BB34" s="40"/>
      <c r="BC34" s="41"/>
      <c r="BD34" s="42" t="str">
        <f t="shared" si="20"/>
        <v/>
      </c>
      <c r="BE34" s="43" t="str">
        <f t="shared" si="21"/>
        <v/>
      </c>
      <c r="BF34" s="44"/>
      <c r="BG34" s="40"/>
      <c r="BH34" s="41"/>
      <c r="BI34" s="42" t="str">
        <f t="shared" si="22"/>
        <v/>
      </c>
      <c r="BJ34" s="43" t="str">
        <f t="shared" si="23"/>
        <v/>
      </c>
      <c r="BK34" s="44"/>
      <c r="BL34" s="40"/>
      <c r="BM34" s="41"/>
      <c r="BN34" s="42" t="str">
        <f t="shared" si="24"/>
        <v/>
      </c>
      <c r="BO34" s="43" t="str">
        <f t="shared" si="25"/>
        <v/>
      </c>
      <c r="BP34" s="44"/>
      <c r="BQ34" s="40"/>
      <c r="BR34" s="41"/>
      <c r="BS34" s="42" t="str">
        <f t="shared" si="26"/>
        <v/>
      </c>
      <c r="BT34" s="43" t="str">
        <f t="shared" si="27"/>
        <v/>
      </c>
      <c r="BU34" s="44"/>
      <c r="BV34" s="40"/>
      <c r="BW34" s="41"/>
      <c r="BX34" s="42" t="str">
        <f t="shared" si="28"/>
        <v/>
      </c>
      <c r="BY34" s="43" t="str">
        <f t="shared" si="29"/>
        <v/>
      </c>
      <c r="BZ34" s="44"/>
      <c r="CA34" s="40"/>
      <c r="CB34" s="41"/>
      <c r="CC34" s="42" t="str">
        <f t="shared" si="30"/>
        <v/>
      </c>
      <c r="CD34" s="43" t="str">
        <f t="shared" si="31"/>
        <v/>
      </c>
      <c r="CE34" s="44"/>
      <c r="CF34" s="40"/>
      <c r="CG34" s="41"/>
      <c r="CH34" s="42" t="str">
        <f t="shared" si="32"/>
        <v/>
      </c>
      <c r="CI34" s="43" t="str">
        <f t="shared" si="33"/>
        <v/>
      </c>
      <c r="CJ34" s="44"/>
      <c r="CK34" s="40"/>
      <c r="CL34" s="41"/>
      <c r="CM34" s="42" t="str">
        <f t="shared" si="34"/>
        <v/>
      </c>
      <c r="CN34" s="43" t="str">
        <f t="shared" si="35"/>
        <v/>
      </c>
      <c r="CO34" s="44"/>
      <c r="CP34" s="40"/>
      <c r="CQ34" s="41"/>
      <c r="CR34" s="42" t="str">
        <f t="shared" si="36"/>
        <v/>
      </c>
      <c r="CS34" s="43" t="str">
        <f t="shared" si="37"/>
        <v/>
      </c>
      <c r="CT34" s="44"/>
      <c r="CU34" s="40"/>
      <c r="CV34" s="41"/>
      <c r="CW34" s="42" t="str">
        <f t="shared" si="38"/>
        <v/>
      </c>
      <c r="CX34" s="43" t="str">
        <f t="shared" si="39"/>
        <v/>
      </c>
      <c r="CY34" s="44"/>
      <c r="CZ34" s="40"/>
      <c r="DA34" s="41"/>
      <c r="DB34" s="42" t="str">
        <f t="shared" si="40"/>
        <v/>
      </c>
      <c r="DC34" s="43" t="str">
        <f t="shared" si="41"/>
        <v/>
      </c>
      <c r="DD34" s="44"/>
      <c r="DE34" s="40"/>
      <c r="DF34" s="41"/>
      <c r="DG34" s="42" t="str">
        <f t="shared" si="42"/>
        <v/>
      </c>
      <c r="DH34" s="43" t="str">
        <f t="shared" si="43"/>
        <v/>
      </c>
      <c r="DI34" s="44"/>
      <c r="DJ34" s="40"/>
      <c r="DK34" s="41"/>
      <c r="DL34" s="42" t="str">
        <f t="shared" si="44"/>
        <v/>
      </c>
      <c r="DM34" s="43" t="str">
        <f t="shared" si="45"/>
        <v/>
      </c>
      <c r="DN34" s="44"/>
      <c r="DO34" s="40"/>
      <c r="DP34" s="41"/>
      <c r="DQ34" s="42" t="str">
        <f t="shared" si="46"/>
        <v/>
      </c>
      <c r="DR34" s="43" t="str">
        <f t="shared" si="47"/>
        <v/>
      </c>
      <c r="DS34" s="44"/>
      <c r="DT34" s="40"/>
      <c r="DU34" s="41"/>
      <c r="DV34" s="42" t="str">
        <f t="shared" si="48"/>
        <v/>
      </c>
      <c r="DW34" s="43" t="str">
        <f t="shared" si="49"/>
        <v/>
      </c>
      <c r="DX34" s="44"/>
      <c r="DY34" s="40"/>
      <c r="DZ34" s="41"/>
      <c r="EA34" s="42" t="str">
        <f t="shared" si="50"/>
        <v/>
      </c>
      <c r="EB34" s="43" t="str">
        <f t="shared" si="51"/>
        <v/>
      </c>
      <c r="EC34" s="44"/>
      <c r="ED34" s="40"/>
      <c r="EE34" s="41"/>
      <c r="EF34" s="42" t="str">
        <f t="shared" si="52"/>
        <v/>
      </c>
      <c r="EG34" s="43" t="str">
        <f t="shared" si="53"/>
        <v/>
      </c>
      <c r="EH34" s="44"/>
      <c r="EI34" s="40"/>
      <c r="EJ34" s="41"/>
      <c r="EK34" s="42" t="str">
        <f t="shared" si="54"/>
        <v/>
      </c>
      <c r="EL34" s="43" t="str">
        <f t="shared" si="55"/>
        <v/>
      </c>
      <c r="EM34" s="44"/>
      <c r="EN34" s="40"/>
      <c r="EO34" s="41"/>
      <c r="EP34" s="42" t="str">
        <f t="shared" si="56"/>
        <v/>
      </c>
      <c r="EQ34" s="43" t="str">
        <f t="shared" si="57"/>
        <v/>
      </c>
      <c r="ER34" s="44"/>
      <c r="ES34" s="40"/>
      <c r="ET34" s="41"/>
      <c r="EU34" s="42" t="str">
        <f t="shared" si="58"/>
        <v/>
      </c>
      <c r="EV34" s="43" t="str">
        <f t="shared" si="59"/>
        <v/>
      </c>
      <c r="EW34" s="44"/>
    </row>
    <row r="35" spans="1:153" ht="21.75" customHeight="1">
      <c r="A35" s="98" t="s">
        <v>120</v>
      </c>
      <c r="B35" s="98"/>
      <c r="C35" s="98"/>
      <c r="D35" s="99">
        <f>COUNTIF(F4:F34,"○")</f>
        <v>0</v>
      </c>
      <c r="E35" s="99"/>
      <c r="F35" s="99"/>
      <c r="G35" s="99"/>
      <c r="H35" s="99"/>
      <c r="I35" s="99">
        <f>COUNTIF(K4:K34,"○")</f>
        <v>0</v>
      </c>
      <c r="J35" s="99"/>
      <c r="K35" s="99"/>
      <c r="L35" s="99"/>
      <c r="M35" s="99"/>
      <c r="N35" s="99">
        <f>COUNTIF(P4:P34,"○")</f>
        <v>0</v>
      </c>
      <c r="O35" s="99"/>
      <c r="P35" s="99"/>
      <c r="Q35" s="99"/>
      <c r="R35" s="99"/>
      <c r="S35" s="99">
        <f>COUNTIF(U4:U34,"○")</f>
        <v>0</v>
      </c>
      <c r="T35" s="99"/>
      <c r="U35" s="99"/>
      <c r="V35" s="99"/>
      <c r="W35" s="99"/>
      <c r="X35" s="99">
        <f>COUNTIF(Z4:Z34,"○")</f>
        <v>0</v>
      </c>
      <c r="Y35" s="99"/>
      <c r="Z35" s="99"/>
      <c r="AA35" s="99"/>
      <c r="AB35" s="99"/>
      <c r="AC35" s="99">
        <f>COUNTIF(AE4:AE34,"○")</f>
        <v>0</v>
      </c>
      <c r="AD35" s="99"/>
      <c r="AE35" s="99"/>
      <c r="AF35" s="99"/>
      <c r="AG35" s="99"/>
      <c r="AH35" s="99">
        <f>COUNTIF(AJ4:AJ34,"○")</f>
        <v>0</v>
      </c>
      <c r="AI35" s="99"/>
      <c r="AJ35" s="99"/>
      <c r="AK35" s="99"/>
      <c r="AL35" s="99"/>
      <c r="AM35" s="99">
        <f>COUNTIF(AO4:AO34,"○")</f>
        <v>0</v>
      </c>
      <c r="AN35" s="99"/>
      <c r="AO35" s="99"/>
      <c r="AP35" s="99"/>
      <c r="AQ35" s="99"/>
      <c r="AR35" s="99">
        <f>COUNTIF(AT4:AT34,"○")</f>
        <v>0</v>
      </c>
      <c r="AS35" s="99"/>
      <c r="AT35" s="99"/>
      <c r="AU35" s="99"/>
      <c r="AV35" s="99"/>
      <c r="AW35" s="99">
        <f>COUNTIF(AY4:AY34,"○")</f>
        <v>0</v>
      </c>
      <c r="AX35" s="99"/>
      <c r="AY35" s="99"/>
      <c r="AZ35" s="99"/>
      <c r="BA35" s="99"/>
      <c r="BB35" s="99">
        <f>COUNTIF(BD4:BD34,"○")</f>
        <v>0</v>
      </c>
      <c r="BC35" s="99"/>
      <c r="BD35" s="99"/>
      <c r="BE35" s="99"/>
      <c r="BF35" s="99"/>
      <c r="BG35" s="99">
        <f>COUNTIF(BI4:BI34,"○")</f>
        <v>0</v>
      </c>
      <c r="BH35" s="99"/>
      <c r="BI35" s="99"/>
      <c r="BJ35" s="99"/>
      <c r="BK35" s="99"/>
      <c r="BL35" s="99">
        <f>COUNTIF(BN4:BN34,"○")</f>
        <v>0</v>
      </c>
      <c r="BM35" s="99"/>
      <c r="BN35" s="99"/>
      <c r="BO35" s="99"/>
      <c r="BP35" s="99"/>
      <c r="BQ35" s="99">
        <f>COUNTIF(BS4:BS34,"○")</f>
        <v>0</v>
      </c>
      <c r="BR35" s="99"/>
      <c r="BS35" s="99"/>
      <c r="BT35" s="99"/>
      <c r="BU35" s="99"/>
      <c r="BV35" s="99">
        <f>COUNTIF(BX4:BX34,"○")</f>
        <v>0</v>
      </c>
      <c r="BW35" s="99"/>
      <c r="BX35" s="99"/>
      <c r="BY35" s="99"/>
      <c r="BZ35" s="99"/>
      <c r="CA35" s="99">
        <f>COUNTIF(CC4:CC34,"○")</f>
        <v>0</v>
      </c>
      <c r="CB35" s="99"/>
      <c r="CC35" s="99"/>
      <c r="CD35" s="99"/>
      <c r="CE35" s="99"/>
      <c r="CF35" s="99">
        <f>COUNTIF(CH4:CH34,"○")</f>
        <v>0</v>
      </c>
      <c r="CG35" s="99"/>
      <c r="CH35" s="99"/>
      <c r="CI35" s="99"/>
      <c r="CJ35" s="99"/>
      <c r="CK35" s="99">
        <f>COUNTIF(CM4:CM34,"○")</f>
        <v>0</v>
      </c>
      <c r="CL35" s="99"/>
      <c r="CM35" s="99"/>
      <c r="CN35" s="99"/>
      <c r="CO35" s="99"/>
      <c r="CP35" s="99">
        <f>COUNTIF(CR4:CR34,"○")</f>
        <v>0</v>
      </c>
      <c r="CQ35" s="99"/>
      <c r="CR35" s="99"/>
      <c r="CS35" s="99"/>
      <c r="CT35" s="99"/>
      <c r="CU35" s="99">
        <f>COUNTIF(CW4:CW34,"○")</f>
        <v>0</v>
      </c>
      <c r="CV35" s="99"/>
      <c r="CW35" s="99"/>
      <c r="CX35" s="99"/>
      <c r="CY35" s="99"/>
      <c r="CZ35" s="99">
        <f>COUNTIF(DB4:DB34,"○")</f>
        <v>0</v>
      </c>
      <c r="DA35" s="99"/>
      <c r="DB35" s="99"/>
      <c r="DC35" s="99"/>
      <c r="DD35" s="99"/>
      <c r="DE35" s="99">
        <f>COUNTIF(DG4:DG34,"○")</f>
        <v>0</v>
      </c>
      <c r="DF35" s="99"/>
      <c r="DG35" s="99"/>
      <c r="DH35" s="99"/>
      <c r="DI35" s="99"/>
      <c r="DJ35" s="99">
        <f>COUNTIF(DL4:DL34,"○")</f>
        <v>0</v>
      </c>
      <c r="DK35" s="99"/>
      <c r="DL35" s="99"/>
      <c r="DM35" s="99"/>
      <c r="DN35" s="99"/>
      <c r="DO35" s="99">
        <f>COUNTIF(DQ4:DQ34,"○")</f>
        <v>0</v>
      </c>
      <c r="DP35" s="99"/>
      <c r="DQ35" s="99"/>
      <c r="DR35" s="99"/>
      <c r="DS35" s="99"/>
      <c r="DT35" s="99">
        <f>COUNTIF(DV4:DV34,"○")</f>
        <v>0</v>
      </c>
      <c r="DU35" s="99"/>
      <c r="DV35" s="99"/>
      <c r="DW35" s="99"/>
      <c r="DX35" s="99"/>
      <c r="DY35" s="99">
        <f>COUNTIF(EA4:EA34,"○")</f>
        <v>0</v>
      </c>
      <c r="DZ35" s="99"/>
      <c r="EA35" s="99"/>
      <c r="EB35" s="99"/>
      <c r="EC35" s="99"/>
      <c r="ED35" s="99">
        <f>COUNTIF(EF4:EF34,"○")</f>
        <v>0</v>
      </c>
      <c r="EE35" s="99"/>
      <c r="EF35" s="99"/>
      <c r="EG35" s="99"/>
      <c r="EH35" s="99"/>
      <c r="EI35" s="99">
        <f>COUNTIF(EK4:EK34,"○")</f>
        <v>0</v>
      </c>
      <c r="EJ35" s="99"/>
      <c r="EK35" s="99"/>
      <c r="EL35" s="99"/>
      <c r="EM35" s="99"/>
      <c r="EN35" s="99">
        <f>COUNTIF(EP4:EP34,"○")</f>
        <v>0</v>
      </c>
      <c r="EO35" s="99"/>
      <c r="EP35" s="99"/>
      <c r="EQ35" s="99"/>
      <c r="ER35" s="99"/>
      <c r="ES35" s="99">
        <f>COUNTIF(EU4:EU34,"○")</f>
        <v>0</v>
      </c>
      <c r="ET35" s="99"/>
      <c r="EU35" s="99"/>
      <c r="EV35" s="99"/>
      <c r="EW35" s="99"/>
    </row>
    <row r="36" spans="1:153" ht="21.75" customHeight="1">
      <c r="A36" s="100" t="s">
        <v>121</v>
      </c>
      <c r="B36" s="100"/>
      <c r="C36" s="100"/>
      <c r="D36" s="101">
        <f>COUNTIF(G4:G34,"○")</f>
        <v>0</v>
      </c>
      <c r="E36" s="101"/>
      <c r="F36" s="101"/>
      <c r="G36" s="101"/>
      <c r="H36" s="101"/>
      <c r="I36" s="101">
        <f>COUNTIF(L4:L34,"○")</f>
        <v>0</v>
      </c>
      <c r="J36" s="101"/>
      <c r="K36" s="101"/>
      <c r="L36" s="101"/>
      <c r="M36" s="101"/>
      <c r="N36" s="101">
        <f>COUNTIF(Q4:Q34,"○")</f>
        <v>0</v>
      </c>
      <c r="O36" s="101"/>
      <c r="P36" s="101"/>
      <c r="Q36" s="101"/>
      <c r="R36" s="101"/>
      <c r="S36" s="101">
        <f>COUNTIF(V4:V34,"○")</f>
        <v>0</v>
      </c>
      <c r="T36" s="101"/>
      <c r="U36" s="101"/>
      <c r="V36" s="101"/>
      <c r="W36" s="101"/>
      <c r="X36" s="101">
        <f>COUNTIF(AA4:AA34,"○")</f>
        <v>0</v>
      </c>
      <c r="Y36" s="101"/>
      <c r="Z36" s="101"/>
      <c r="AA36" s="101"/>
      <c r="AB36" s="101"/>
      <c r="AC36" s="101">
        <f>COUNTIF(AF4:AF34,"○")</f>
        <v>0</v>
      </c>
      <c r="AD36" s="101"/>
      <c r="AE36" s="101"/>
      <c r="AF36" s="101"/>
      <c r="AG36" s="101"/>
      <c r="AH36" s="101">
        <f>COUNTIF(AK4:AK34,"○")</f>
        <v>0</v>
      </c>
      <c r="AI36" s="101"/>
      <c r="AJ36" s="101"/>
      <c r="AK36" s="101"/>
      <c r="AL36" s="101"/>
      <c r="AM36" s="101">
        <f>COUNTIF(AP4:AP34,"○")</f>
        <v>0</v>
      </c>
      <c r="AN36" s="101"/>
      <c r="AO36" s="101"/>
      <c r="AP36" s="101"/>
      <c r="AQ36" s="101"/>
      <c r="AR36" s="101">
        <f>COUNTIF(AU4:AU34,"○")</f>
        <v>0</v>
      </c>
      <c r="AS36" s="101"/>
      <c r="AT36" s="101"/>
      <c r="AU36" s="101"/>
      <c r="AV36" s="101"/>
      <c r="AW36" s="101">
        <f>COUNTIF(AZ4:AZ34,"○")</f>
        <v>0</v>
      </c>
      <c r="AX36" s="101"/>
      <c r="AY36" s="101"/>
      <c r="AZ36" s="101"/>
      <c r="BA36" s="101"/>
      <c r="BB36" s="101">
        <f>COUNTIF(BE4:BE34,"○")</f>
        <v>0</v>
      </c>
      <c r="BC36" s="101"/>
      <c r="BD36" s="101"/>
      <c r="BE36" s="101"/>
      <c r="BF36" s="101"/>
      <c r="BG36" s="101">
        <f>COUNTIF(BJ4:BJ34,"○")</f>
        <v>0</v>
      </c>
      <c r="BH36" s="101"/>
      <c r="BI36" s="101"/>
      <c r="BJ36" s="101"/>
      <c r="BK36" s="101"/>
      <c r="BL36" s="101">
        <f>COUNTIF(BO4:BO34,"○")</f>
        <v>0</v>
      </c>
      <c r="BM36" s="101"/>
      <c r="BN36" s="101"/>
      <c r="BO36" s="101"/>
      <c r="BP36" s="101"/>
      <c r="BQ36" s="101">
        <f>COUNTIF(BT4:BT34,"○")</f>
        <v>0</v>
      </c>
      <c r="BR36" s="101"/>
      <c r="BS36" s="101"/>
      <c r="BT36" s="101"/>
      <c r="BU36" s="101"/>
      <c r="BV36" s="101">
        <f>COUNTIF(BY4:BY34,"○")</f>
        <v>0</v>
      </c>
      <c r="BW36" s="101"/>
      <c r="BX36" s="101"/>
      <c r="BY36" s="101"/>
      <c r="BZ36" s="101"/>
      <c r="CA36" s="101">
        <f>COUNTIF(CD4:CD34,"○")</f>
        <v>0</v>
      </c>
      <c r="CB36" s="101"/>
      <c r="CC36" s="101"/>
      <c r="CD36" s="101"/>
      <c r="CE36" s="101"/>
      <c r="CF36" s="101">
        <f>COUNTIF(CI4:CI34,"○")</f>
        <v>0</v>
      </c>
      <c r="CG36" s="101"/>
      <c r="CH36" s="101"/>
      <c r="CI36" s="101"/>
      <c r="CJ36" s="101"/>
      <c r="CK36" s="101">
        <f>COUNTIF(CN4:CN34,"○")</f>
        <v>0</v>
      </c>
      <c r="CL36" s="101"/>
      <c r="CM36" s="101"/>
      <c r="CN36" s="101"/>
      <c r="CO36" s="101"/>
      <c r="CP36" s="101">
        <f>COUNTIF(CS4:CS34,"○")</f>
        <v>0</v>
      </c>
      <c r="CQ36" s="101"/>
      <c r="CR36" s="101"/>
      <c r="CS36" s="101"/>
      <c r="CT36" s="101"/>
      <c r="CU36" s="101">
        <f>COUNTIF(CX4:CX34,"○")</f>
        <v>0</v>
      </c>
      <c r="CV36" s="101"/>
      <c r="CW36" s="101"/>
      <c r="CX36" s="101"/>
      <c r="CY36" s="101"/>
      <c r="CZ36" s="101">
        <f>COUNTIF(DC4:DC34,"○")</f>
        <v>0</v>
      </c>
      <c r="DA36" s="101"/>
      <c r="DB36" s="101"/>
      <c r="DC36" s="101"/>
      <c r="DD36" s="101"/>
      <c r="DE36" s="101">
        <f>COUNTIF(DH4:DH34,"○")</f>
        <v>0</v>
      </c>
      <c r="DF36" s="101"/>
      <c r="DG36" s="101"/>
      <c r="DH36" s="101"/>
      <c r="DI36" s="101"/>
      <c r="DJ36" s="101">
        <f>COUNTIF(DM4:DM34,"○")</f>
        <v>0</v>
      </c>
      <c r="DK36" s="101"/>
      <c r="DL36" s="101"/>
      <c r="DM36" s="101"/>
      <c r="DN36" s="101"/>
      <c r="DO36" s="101">
        <f>COUNTIF(DR4:DR34,"○")</f>
        <v>0</v>
      </c>
      <c r="DP36" s="101"/>
      <c r="DQ36" s="101"/>
      <c r="DR36" s="101"/>
      <c r="DS36" s="101"/>
      <c r="DT36" s="101">
        <f>COUNTIF(DW4:DW34,"○")</f>
        <v>0</v>
      </c>
      <c r="DU36" s="101"/>
      <c r="DV36" s="101"/>
      <c r="DW36" s="101"/>
      <c r="DX36" s="101"/>
      <c r="DY36" s="101">
        <f>COUNTIF(EB4:EB34,"○")</f>
        <v>0</v>
      </c>
      <c r="DZ36" s="101"/>
      <c r="EA36" s="101"/>
      <c r="EB36" s="101"/>
      <c r="EC36" s="101"/>
      <c r="ED36" s="101">
        <f>COUNTIF(EG4:EG34,"○")</f>
        <v>0</v>
      </c>
      <c r="EE36" s="101"/>
      <c r="EF36" s="101"/>
      <c r="EG36" s="101"/>
      <c r="EH36" s="101"/>
      <c r="EI36" s="101">
        <f>COUNTIF(EL4:EL34,"○")</f>
        <v>0</v>
      </c>
      <c r="EJ36" s="101"/>
      <c r="EK36" s="101"/>
      <c r="EL36" s="101"/>
      <c r="EM36" s="101"/>
      <c r="EN36" s="101">
        <f>COUNTIF(EQ4:EQ34,"○")</f>
        <v>0</v>
      </c>
      <c r="EO36" s="101"/>
      <c r="EP36" s="101"/>
      <c r="EQ36" s="101"/>
      <c r="ER36" s="101"/>
      <c r="ES36" s="101">
        <f>COUNTIF(EV4:EV34,"○")</f>
        <v>0</v>
      </c>
      <c r="ET36" s="101"/>
      <c r="EU36" s="101"/>
      <c r="EV36" s="101"/>
      <c r="EW36" s="101"/>
    </row>
    <row r="37" spans="1:153" ht="21.75" customHeight="1">
      <c r="A37" s="102" t="s">
        <v>122</v>
      </c>
      <c r="B37" s="102"/>
      <c r="C37" s="102"/>
      <c r="D37" s="103">
        <f>D35+D36</f>
        <v>0</v>
      </c>
      <c r="E37" s="103"/>
      <c r="F37" s="103"/>
      <c r="G37" s="103"/>
      <c r="H37" s="103"/>
      <c r="I37" s="103">
        <f>I35+I36</f>
        <v>0</v>
      </c>
      <c r="J37" s="103"/>
      <c r="K37" s="103"/>
      <c r="L37" s="103"/>
      <c r="M37" s="103"/>
      <c r="N37" s="103">
        <f>N35+N36</f>
        <v>0</v>
      </c>
      <c r="O37" s="103"/>
      <c r="P37" s="103"/>
      <c r="Q37" s="103"/>
      <c r="R37" s="103"/>
      <c r="S37" s="103">
        <f>S35+S36</f>
        <v>0</v>
      </c>
      <c r="T37" s="103"/>
      <c r="U37" s="103"/>
      <c r="V37" s="103"/>
      <c r="W37" s="103"/>
      <c r="X37" s="103">
        <f>X35+X36</f>
        <v>0</v>
      </c>
      <c r="Y37" s="103"/>
      <c r="Z37" s="103"/>
      <c r="AA37" s="103"/>
      <c r="AB37" s="103"/>
      <c r="AC37" s="103">
        <f>AC35+AC36</f>
        <v>0</v>
      </c>
      <c r="AD37" s="103"/>
      <c r="AE37" s="103"/>
      <c r="AF37" s="103"/>
      <c r="AG37" s="103"/>
      <c r="AH37" s="103">
        <f>AH35+AH36</f>
        <v>0</v>
      </c>
      <c r="AI37" s="103"/>
      <c r="AJ37" s="103"/>
      <c r="AK37" s="103"/>
      <c r="AL37" s="103"/>
      <c r="AM37" s="103">
        <f>AM35+AM36</f>
        <v>0</v>
      </c>
      <c r="AN37" s="103"/>
      <c r="AO37" s="103"/>
      <c r="AP37" s="103"/>
      <c r="AQ37" s="103"/>
      <c r="AR37" s="103">
        <f>AR35+AR36</f>
        <v>0</v>
      </c>
      <c r="AS37" s="103"/>
      <c r="AT37" s="103"/>
      <c r="AU37" s="103"/>
      <c r="AV37" s="103"/>
      <c r="AW37" s="103">
        <f>AW35+AW36</f>
        <v>0</v>
      </c>
      <c r="AX37" s="103"/>
      <c r="AY37" s="103"/>
      <c r="AZ37" s="103"/>
      <c r="BA37" s="103"/>
      <c r="BB37" s="103">
        <f>BB35+BB36</f>
        <v>0</v>
      </c>
      <c r="BC37" s="103"/>
      <c r="BD37" s="103"/>
      <c r="BE37" s="103"/>
      <c r="BF37" s="103"/>
      <c r="BG37" s="103">
        <f>BG35+BG36</f>
        <v>0</v>
      </c>
      <c r="BH37" s="103"/>
      <c r="BI37" s="103"/>
      <c r="BJ37" s="103"/>
      <c r="BK37" s="103"/>
      <c r="BL37" s="103">
        <f>BL35+BL36</f>
        <v>0</v>
      </c>
      <c r="BM37" s="103"/>
      <c r="BN37" s="103"/>
      <c r="BO37" s="103"/>
      <c r="BP37" s="103"/>
      <c r="BQ37" s="103">
        <f>BQ35+BQ36</f>
        <v>0</v>
      </c>
      <c r="BR37" s="103"/>
      <c r="BS37" s="103"/>
      <c r="BT37" s="103"/>
      <c r="BU37" s="103"/>
      <c r="BV37" s="103">
        <f>BV35+BV36</f>
        <v>0</v>
      </c>
      <c r="BW37" s="103"/>
      <c r="BX37" s="103"/>
      <c r="BY37" s="103"/>
      <c r="BZ37" s="103"/>
      <c r="CA37" s="103">
        <f>CA35+CA36</f>
        <v>0</v>
      </c>
      <c r="CB37" s="103"/>
      <c r="CC37" s="103"/>
      <c r="CD37" s="103"/>
      <c r="CE37" s="103"/>
      <c r="CF37" s="103">
        <f>CF35+CF36</f>
        <v>0</v>
      </c>
      <c r="CG37" s="103"/>
      <c r="CH37" s="103"/>
      <c r="CI37" s="103"/>
      <c r="CJ37" s="103"/>
      <c r="CK37" s="103">
        <f>CK35+CK36</f>
        <v>0</v>
      </c>
      <c r="CL37" s="103"/>
      <c r="CM37" s="103"/>
      <c r="CN37" s="103"/>
      <c r="CO37" s="103"/>
      <c r="CP37" s="103">
        <f>CP35+CP36</f>
        <v>0</v>
      </c>
      <c r="CQ37" s="103"/>
      <c r="CR37" s="103"/>
      <c r="CS37" s="103"/>
      <c r="CT37" s="103"/>
      <c r="CU37" s="103">
        <f>CU35+CU36</f>
        <v>0</v>
      </c>
      <c r="CV37" s="103"/>
      <c r="CW37" s="103"/>
      <c r="CX37" s="103"/>
      <c r="CY37" s="103"/>
      <c r="CZ37" s="103">
        <f>CZ35+CZ36</f>
        <v>0</v>
      </c>
      <c r="DA37" s="103"/>
      <c r="DB37" s="103"/>
      <c r="DC37" s="103"/>
      <c r="DD37" s="103"/>
      <c r="DE37" s="103">
        <f>DE35+DE36</f>
        <v>0</v>
      </c>
      <c r="DF37" s="103"/>
      <c r="DG37" s="103"/>
      <c r="DH37" s="103"/>
      <c r="DI37" s="103"/>
      <c r="DJ37" s="103">
        <f>DJ35+DJ36</f>
        <v>0</v>
      </c>
      <c r="DK37" s="103"/>
      <c r="DL37" s="103"/>
      <c r="DM37" s="103"/>
      <c r="DN37" s="103"/>
      <c r="DO37" s="103">
        <f>DO35+DO36</f>
        <v>0</v>
      </c>
      <c r="DP37" s="103"/>
      <c r="DQ37" s="103"/>
      <c r="DR37" s="103"/>
      <c r="DS37" s="103"/>
      <c r="DT37" s="103">
        <f>DT35+DT36</f>
        <v>0</v>
      </c>
      <c r="DU37" s="103"/>
      <c r="DV37" s="103"/>
      <c r="DW37" s="103"/>
      <c r="DX37" s="103"/>
      <c r="DY37" s="103">
        <f>DY35+DY36</f>
        <v>0</v>
      </c>
      <c r="DZ37" s="103"/>
      <c r="EA37" s="103"/>
      <c r="EB37" s="103"/>
      <c r="EC37" s="103"/>
      <c r="ED37" s="103">
        <f>ED35+ED36</f>
        <v>0</v>
      </c>
      <c r="EE37" s="103"/>
      <c r="EF37" s="103"/>
      <c r="EG37" s="103"/>
      <c r="EH37" s="103"/>
      <c r="EI37" s="103">
        <f>EI35+EI36</f>
        <v>0</v>
      </c>
      <c r="EJ37" s="103"/>
      <c r="EK37" s="103"/>
      <c r="EL37" s="103"/>
      <c r="EM37" s="103"/>
      <c r="EN37" s="103">
        <f>EN35+EN36</f>
        <v>0</v>
      </c>
      <c r="EO37" s="103"/>
      <c r="EP37" s="103"/>
      <c r="EQ37" s="103"/>
      <c r="ER37" s="103"/>
      <c r="ES37" s="103">
        <f>ES35+ES36</f>
        <v>0</v>
      </c>
      <c r="ET37" s="103"/>
      <c r="EU37" s="103"/>
      <c r="EV37" s="103"/>
      <c r="EW37" s="103"/>
    </row>
    <row r="38" spans="1:153" ht="21.75" customHeight="1">
      <c r="A38" s="104" t="s">
        <v>123</v>
      </c>
      <c r="B38" s="104"/>
      <c r="C38" s="104"/>
      <c r="D38" s="105">
        <f>SUM(H4:H34)</f>
        <v>0</v>
      </c>
      <c r="E38" s="105"/>
      <c r="F38" s="105"/>
      <c r="G38" s="105"/>
      <c r="H38" s="105"/>
      <c r="I38" s="105">
        <f>SUM(M4:M34)</f>
        <v>0</v>
      </c>
      <c r="J38" s="105"/>
      <c r="K38" s="105"/>
      <c r="L38" s="105"/>
      <c r="M38" s="105"/>
      <c r="N38" s="105">
        <f>SUM(R4:R34)</f>
        <v>0</v>
      </c>
      <c r="O38" s="105"/>
      <c r="P38" s="105"/>
      <c r="Q38" s="105"/>
      <c r="R38" s="105"/>
      <c r="S38" s="105">
        <f>SUM(W4:W34)</f>
        <v>0</v>
      </c>
      <c r="T38" s="105"/>
      <c r="U38" s="105"/>
      <c r="V38" s="105"/>
      <c r="W38" s="105"/>
      <c r="X38" s="105">
        <f>SUM(AB4:AB34)</f>
        <v>0</v>
      </c>
      <c r="Y38" s="105"/>
      <c r="Z38" s="105"/>
      <c r="AA38" s="105"/>
      <c r="AB38" s="105"/>
      <c r="AC38" s="105">
        <f>SUM(AG4:AG34)</f>
        <v>0</v>
      </c>
      <c r="AD38" s="105"/>
      <c r="AE38" s="105"/>
      <c r="AF38" s="105"/>
      <c r="AG38" s="105"/>
      <c r="AH38" s="105">
        <f>SUM(AL4:AL34)</f>
        <v>0</v>
      </c>
      <c r="AI38" s="105"/>
      <c r="AJ38" s="105"/>
      <c r="AK38" s="105"/>
      <c r="AL38" s="105"/>
      <c r="AM38" s="105">
        <f>SUM(AQ4:AQ34)</f>
        <v>0</v>
      </c>
      <c r="AN38" s="105"/>
      <c r="AO38" s="105"/>
      <c r="AP38" s="105"/>
      <c r="AQ38" s="105"/>
      <c r="AR38" s="105">
        <f>SUM(AV4:AV34)</f>
        <v>0</v>
      </c>
      <c r="AS38" s="105"/>
      <c r="AT38" s="105"/>
      <c r="AU38" s="105"/>
      <c r="AV38" s="105"/>
      <c r="AW38" s="105">
        <f>SUM(BA4:BA34)</f>
        <v>0</v>
      </c>
      <c r="AX38" s="105"/>
      <c r="AY38" s="105"/>
      <c r="AZ38" s="105"/>
      <c r="BA38" s="105"/>
      <c r="BB38" s="105">
        <f>SUM(BF4:BF34)</f>
        <v>0</v>
      </c>
      <c r="BC38" s="105"/>
      <c r="BD38" s="105"/>
      <c r="BE38" s="105"/>
      <c r="BF38" s="105"/>
      <c r="BG38" s="105">
        <f>SUM(BK4:BK34)</f>
        <v>0</v>
      </c>
      <c r="BH38" s="105"/>
      <c r="BI38" s="105"/>
      <c r="BJ38" s="105"/>
      <c r="BK38" s="105"/>
      <c r="BL38" s="105">
        <f>SUM(BP4:BP34)</f>
        <v>0</v>
      </c>
      <c r="BM38" s="105"/>
      <c r="BN38" s="105"/>
      <c r="BO38" s="105"/>
      <c r="BP38" s="105"/>
      <c r="BQ38" s="105">
        <f>SUM(BU4:BU34)</f>
        <v>0</v>
      </c>
      <c r="BR38" s="105"/>
      <c r="BS38" s="105"/>
      <c r="BT38" s="105"/>
      <c r="BU38" s="105"/>
      <c r="BV38" s="105">
        <f>SUM(BZ4:BZ34)</f>
        <v>0</v>
      </c>
      <c r="BW38" s="105"/>
      <c r="BX38" s="105"/>
      <c r="BY38" s="105"/>
      <c r="BZ38" s="105"/>
      <c r="CA38" s="105">
        <f>SUM(CE4:CE34)</f>
        <v>0</v>
      </c>
      <c r="CB38" s="105"/>
      <c r="CC38" s="105"/>
      <c r="CD38" s="105"/>
      <c r="CE38" s="105"/>
      <c r="CF38" s="105">
        <f>SUM(CJ4:CJ34)</f>
        <v>0</v>
      </c>
      <c r="CG38" s="105"/>
      <c r="CH38" s="105"/>
      <c r="CI38" s="105"/>
      <c r="CJ38" s="105"/>
      <c r="CK38" s="105">
        <f>SUM(CO4:CO34)</f>
        <v>0</v>
      </c>
      <c r="CL38" s="105"/>
      <c r="CM38" s="105"/>
      <c r="CN38" s="105"/>
      <c r="CO38" s="105"/>
      <c r="CP38" s="105">
        <f>SUM(CT4:CT34)</f>
        <v>0</v>
      </c>
      <c r="CQ38" s="105"/>
      <c r="CR38" s="105"/>
      <c r="CS38" s="105"/>
      <c r="CT38" s="105"/>
      <c r="CU38" s="105">
        <f>SUM(CY4:CY34)</f>
        <v>0</v>
      </c>
      <c r="CV38" s="105"/>
      <c r="CW38" s="105"/>
      <c r="CX38" s="105"/>
      <c r="CY38" s="105"/>
      <c r="CZ38" s="105">
        <f>SUM(DD4:DD34)</f>
        <v>0</v>
      </c>
      <c r="DA38" s="105"/>
      <c r="DB38" s="105"/>
      <c r="DC38" s="105"/>
      <c r="DD38" s="105"/>
      <c r="DE38" s="105">
        <f>SUM(DI4:DI34)</f>
        <v>0</v>
      </c>
      <c r="DF38" s="105"/>
      <c r="DG38" s="105"/>
      <c r="DH38" s="105"/>
      <c r="DI38" s="105"/>
      <c r="DJ38" s="105">
        <f>SUM(DN4:DN34)</f>
        <v>0</v>
      </c>
      <c r="DK38" s="105"/>
      <c r="DL38" s="105"/>
      <c r="DM38" s="105"/>
      <c r="DN38" s="105"/>
      <c r="DO38" s="105">
        <f>SUM(DS4:DS34)</f>
        <v>0</v>
      </c>
      <c r="DP38" s="105"/>
      <c r="DQ38" s="105"/>
      <c r="DR38" s="105"/>
      <c r="DS38" s="105"/>
      <c r="DT38" s="105">
        <f>SUM(DX4:DX34)</f>
        <v>0</v>
      </c>
      <c r="DU38" s="105"/>
      <c r="DV38" s="105"/>
      <c r="DW38" s="105"/>
      <c r="DX38" s="105"/>
      <c r="DY38" s="105">
        <f>SUM(EC4:EC34)</f>
        <v>0</v>
      </c>
      <c r="DZ38" s="105"/>
      <c r="EA38" s="105"/>
      <c r="EB38" s="105"/>
      <c r="EC38" s="105"/>
      <c r="ED38" s="105">
        <f>SUM(EH4:EH34)</f>
        <v>0</v>
      </c>
      <c r="EE38" s="105"/>
      <c r="EF38" s="105"/>
      <c r="EG38" s="105"/>
      <c r="EH38" s="105"/>
      <c r="EI38" s="105">
        <f>SUM(EM4:EM34)</f>
        <v>0</v>
      </c>
      <c r="EJ38" s="105"/>
      <c r="EK38" s="105"/>
      <c r="EL38" s="105"/>
      <c r="EM38" s="105"/>
      <c r="EN38" s="105">
        <f>SUM(ER4:ER34)</f>
        <v>0</v>
      </c>
      <c r="EO38" s="105"/>
      <c r="EP38" s="105"/>
      <c r="EQ38" s="105"/>
      <c r="ER38" s="105"/>
      <c r="ES38" s="105">
        <f>SUM(EW4:EW34)</f>
        <v>0</v>
      </c>
      <c r="ET38" s="105"/>
      <c r="EU38" s="105"/>
      <c r="EV38" s="105"/>
      <c r="EW38" s="105"/>
    </row>
    <row r="39" spans="1:153" ht="21.75" customHeight="1">
      <c r="A39" s="106" t="s">
        <v>105</v>
      </c>
      <c r="B39" s="106"/>
      <c r="C39" s="106"/>
      <c r="D39" s="107">
        <f>COUNTIF(D4:D34,"有給")</f>
        <v>0</v>
      </c>
      <c r="E39" s="107"/>
      <c r="F39" s="107"/>
      <c r="G39" s="107"/>
      <c r="H39" s="107"/>
      <c r="I39" s="107">
        <f>COUNTIF(I4:I34,"有給")</f>
        <v>0</v>
      </c>
      <c r="J39" s="107"/>
      <c r="K39" s="107"/>
      <c r="L39" s="107"/>
      <c r="M39" s="107"/>
      <c r="N39" s="107">
        <f>COUNTIF(N4:N34,"有給")</f>
        <v>0</v>
      </c>
      <c r="O39" s="107"/>
      <c r="P39" s="107"/>
      <c r="Q39" s="107"/>
      <c r="R39" s="107"/>
      <c r="S39" s="107">
        <f>COUNTIF(S4:S34,"有給")</f>
        <v>0</v>
      </c>
      <c r="T39" s="107"/>
      <c r="U39" s="107"/>
      <c r="V39" s="107"/>
      <c r="W39" s="107"/>
      <c r="X39" s="107">
        <f>COUNTIF(X4:X34,"有給")</f>
        <v>0</v>
      </c>
      <c r="Y39" s="107"/>
      <c r="Z39" s="107"/>
      <c r="AA39" s="107"/>
      <c r="AB39" s="107"/>
      <c r="AC39" s="107">
        <f>COUNTIF(AC4:AC34,"有給")</f>
        <v>0</v>
      </c>
      <c r="AD39" s="107"/>
      <c r="AE39" s="107"/>
      <c r="AF39" s="107"/>
      <c r="AG39" s="107"/>
      <c r="AH39" s="107">
        <f>COUNTIF(AH4:AH34,"有給")</f>
        <v>0</v>
      </c>
      <c r="AI39" s="107"/>
      <c r="AJ39" s="107"/>
      <c r="AK39" s="107"/>
      <c r="AL39" s="107"/>
      <c r="AM39" s="107">
        <f>COUNTIF(AM4:AM34,"有給")</f>
        <v>0</v>
      </c>
      <c r="AN39" s="107"/>
      <c r="AO39" s="107"/>
      <c r="AP39" s="107"/>
      <c r="AQ39" s="107"/>
      <c r="AR39" s="107">
        <f>COUNTIF(AR4:AR34,"有給")</f>
        <v>0</v>
      </c>
      <c r="AS39" s="107"/>
      <c r="AT39" s="107"/>
      <c r="AU39" s="107"/>
      <c r="AV39" s="107"/>
      <c r="AW39" s="107">
        <f>COUNTIF(AW4:AW34,"有給")</f>
        <v>0</v>
      </c>
      <c r="AX39" s="107"/>
      <c r="AY39" s="107"/>
      <c r="AZ39" s="107"/>
      <c r="BA39" s="107"/>
      <c r="BB39" s="107">
        <f>COUNTIF(BB4:BB34,"有給")</f>
        <v>0</v>
      </c>
      <c r="BC39" s="107"/>
      <c r="BD39" s="107"/>
      <c r="BE39" s="107"/>
      <c r="BF39" s="107"/>
      <c r="BG39" s="107">
        <f>COUNTIF(BG4:BG34,"有給")</f>
        <v>0</v>
      </c>
      <c r="BH39" s="107"/>
      <c r="BI39" s="107"/>
      <c r="BJ39" s="107"/>
      <c r="BK39" s="107"/>
      <c r="BL39" s="107">
        <f>COUNTIF(BL4:BL34,"有給")</f>
        <v>0</v>
      </c>
      <c r="BM39" s="107"/>
      <c r="BN39" s="107"/>
      <c r="BO39" s="107"/>
      <c r="BP39" s="107"/>
      <c r="BQ39" s="107">
        <f>COUNTIF(BQ4:BQ34,"有給")</f>
        <v>0</v>
      </c>
      <c r="BR39" s="107"/>
      <c r="BS39" s="107"/>
      <c r="BT39" s="107"/>
      <c r="BU39" s="107"/>
      <c r="BV39" s="107">
        <f>COUNTIF(BV4:BV34,"有給")</f>
        <v>0</v>
      </c>
      <c r="BW39" s="107"/>
      <c r="BX39" s="107"/>
      <c r="BY39" s="107"/>
      <c r="BZ39" s="107"/>
      <c r="CA39" s="107">
        <f>COUNTIF(CA4:CA34,"有給")</f>
        <v>0</v>
      </c>
      <c r="CB39" s="107"/>
      <c r="CC39" s="107"/>
      <c r="CD39" s="107"/>
      <c r="CE39" s="107"/>
      <c r="CF39" s="107">
        <f>COUNTIF(CF4:CF34,"有給")</f>
        <v>0</v>
      </c>
      <c r="CG39" s="107"/>
      <c r="CH39" s="107"/>
      <c r="CI39" s="107"/>
      <c r="CJ39" s="107"/>
      <c r="CK39" s="107">
        <f>COUNTIF(CK4:CK34,"有給")</f>
        <v>0</v>
      </c>
      <c r="CL39" s="107"/>
      <c r="CM39" s="107"/>
      <c r="CN39" s="107"/>
      <c r="CO39" s="107"/>
      <c r="CP39" s="107">
        <f>COUNTIF(CP4:CP34,"有給")</f>
        <v>0</v>
      </c>
      <c r="CQ39" s="107"/>
      <c r="CR39" s="107"/>
      <c r="CS39" s="107"/>
      <c r="CT39" s="107"/>
      <c r="CU39" s="107">
        <f>COUNTIF(CU4:CU34,"有給")</f>
        <v>0</v>
      </c>
      <c r="CV39" s="107"/>
      <c r="CW39" s="107"/>
      <c r="CX39" s="107"/>
      <c r="CY39" s="107"/>
      <c r="CZ39" s="107">
        <f>COUNTIF(CZ4:CZ34,"有給")</f>
        <v>0</v>
      </c>
      <c r="DA39" s="107"/>
      <c r="DB39" s="107"/>
      <c r="DC39" s="107"/>
      <c r="DD39" s="107"/>
      <c r="DE39" s="107">
        <f>COUNTIF(DE4:DE34,"有給")</f>
        <v>0</v>
      </c>
      <c r="DF39" s="107"/>
      <c r="DG39" s="107"/>
      <c r="DH39" s="107"/>
      <c r="DI39" s="107"/>
      <c r="DJ39" s="107">
        <f>COUNTIF(DJ4:DJ34,"有給")</f>
        <v>0</v>
      </c>
      <c r="DK39" s="107"/>
      <c r="DL39" s="107"/>
      <c r="DM39" s="107"/>
      <c r="DN39" s="107"/>
      <c r="DO39" s="107">
        <f>COUNTIF(DO4:DO34,"有給")</f>
        <v>0</v>
      </c>
      <c r="DP39" s="107"/>
      <c r="DQ39" s="107"/>
      <c r="DR39" s="107"/>
      <c r="DS39" s="107"/>
      <c r="DT39" s="107">
        <f>COUNTIF(DT4:DT34,"有給")</f>
        <v>0</v>
      </c>
      <c r="DU39" s="107"/>
      <c r="DV39" s="107"/>
      <c r="DW39" s="107"/>
      <c r="DX39" s="107"/>
      <c r="DY39" s="107">
        <f>COUNTIF(DY4:DY34,"有給")</f>
        <v>0</v>
      </c>
      <c r="DZ39" s="107"/>
      <c r="EA39" s="107"/>
      <c r="EB39" s="107"/>
      <c r="EC39" s="107"/>
      <c r="ED39" s="107">
        <f>COUNTIF(ED4:ED34,"有給")</f>
        <v>0</v>
      </c>
      <c r="EE39" s="107"/>
      <c r="EF39" s="107"/>
      <c r="EG39" s="107"/>
      <c r="EH39" s="107"/>
      <c r="EI39" s="107">
        <f>COUNTIF(EI4:EI34,"有給")</f>
        <v>0</v>
      </c>
      <c r="EJ39" s="107"/>
      <c r="EK39" s="107"/>
      <c r="EL39" s="107"/>
      <c r="EM39" s="107"/>
      <c r="EN39" s="107">
        <f>COUNTIF(EN4:EN34,"有給")</f>
        <v>0</v>
      </c>
      <c r="EO39" s="107"/>
      <c r="EP39" s="107"/>
      <c r="EQ39" s="107"/>
      <c r="ER39" s="107"/>
      <c r="ES39" s="107">
        <f>COUNTIF(ES4:ES34,"有給")</f>
        <v>0</v>
      </c>
      <c r="ET39" s="107"/>
      <c r="EU39" s="107"/>
      <c r="EV39" s="107"/>
      <c r="EW39" s="107"/>
    </row>
    <row r="40" spans="1:153" ht="21.75" customHeight="1">
      <c r="A40" s="108" t="s">
        <v>106</v>
      </c>
      <c r="B40" s="108"/>
      <c r="C40" s="108"/>
      <c r="D40" s="109">
        <f>COUNTIF(D4:D34,"休業")</f>
        <v>0</v>
      </c>
      <c r="E40" s="109"/>
      <c r="F40" s="109"/>
      <c r="G40" s="109"/>
      <c r="H40" s="109"/>
      <c r="I40" s="109">
        <f>COUNTIF(I4:I34,"休業")</f>
        <v>0</v>
      </c>
      <c r="J40" s="109"/>
      <c r="K40" s="109"/>
      <c r="L40" s="109"/>
      <c r="M40" s="109"/>
      <c r="N40" s="109">
        <f>COUNTIF(N4:N34,"休業")</f>
        <v>0</v>
      </c>
      <c r="O40" s="109"/>
      <c r="P40" s="109"/>
      <c r="Q40" s="109"/>
      <c r="R40" s="109"/>
      <c r="S40" s="109">
        <f>COUNTIF(S4:S34,"休業")</f>
        <v>0</v>
      </c>
      <c r="T40" s="109"/>
      <c r="U40" s="109"/>
      <c r="V40" s="109"/>
      <c r="W40" s="109"/>
      <c r="X40" s="109">
        <f>COUNTIF(X4:X34,"休業")</f>
        <v>0</v>
      </c>
      <c r="Y40" s="109"/>
      <c r="Z40" s="109"/>
      <c r="AA40" s="109"/>
      <c r="AB40" s="109"/>
      <c r="AC40" s="109">
        <f>COUNTIF(AC4:AC34,"休業")</f>
        <v>0</v>
      </c>
      <c r="AD40" s="109"/>
      <c r="AE40" s="109"/>
      <c r="AF40" s="109"/>
      <c r="AG40" s="109"/>
      <c r="AH40" s="109">
        <f>COUNTIF(AH4:AH34,"休業")</f>
        <v>0</v>
      </c>
      <c r="AI40" s="109"/>
      <c r="AJ40" s="109"/>
      <c r="AK40" s="109"/>
      <c r="AL40" s="109"/>
      <c r="AM40" s="109">
        <f>COUNTIF(AM4:AM34,"休業")</f>
        <v>0</v>
      </c>
      <c r="AN40" s="109"/>
      <c r="AO40" s="109"/>
      <c r="AP40" s="109"/>
      <c r="AQ40" s="109"/>
      <c r="AR40" s="109">
        <f>COUNTIF(AR4:AR34,"休業")</f>
        <v>0</v>
      </c>
      <c r="AS40" s="109"/>
      <c r="AT40" s="109"/>
      <c r="AU40" s="109"/>
      <c r="AV40" s="109"/>
      <c r="AW40" s="109">
        <f>COUNTIF(AW4:AW34,"休業")</f>
        <v>0</v>
      </c>
      <c r="AX40" s="109"/>
      <c r="AY40" s="109"/>
      <c r="AZ40" s="109"/>
      <c r="BA40" s="109"/>
      <c r="BB40" s="109">
        <f>COUNTIF(BB4:BB34,"休業")</f>
        <v>0</v>
      </c>
      <c r="BC40" s="109"/>
      <c r="BD40" s="109"/>
      <c r="BE40" s="109"/>
      <c r="BF40" s="109"/>
      <c r="BG40" s="109">
        <f>COUNTIF(BG4:BG34,"休業")</f>
        <v>0</v>
      </c>
      <c r="BH40" s="109"/>
      <c r="BI40" s="109"/>
      <c r="BJ40" s="109"/>
      <c r="BK40" s="109"/>
      <c r="BL40" s="109">
        <f>COUNTIF(BL4:BL34,"休業")</f>
        <v>0</v>
      </c>
      <c r="BM40" s="109"/>
      <c r="BN40" s="109"/>
      <c r="BO40" s="109"/>
      <c r="BP40" s="109"/>
      <c r="BQ40" s="109">
        <f>COUNTIF(BQ4:BQ34,"休業")</f>
        <v>0</v>
      </c>
      <c r="BR40" s="109"/>
      <c r="BS40" s="109"/>
      <c r="BT40" s="109"/>
      <c r="BU40" s="109"/>
      <c r="BV40" s="109">
        <f>COUNTIF(BV4:BV34,"休業")</f>
        <v>0</v>
      </c>
      <c r="BW40" s="109"/>
      <c r="BX40" s="109"/>
      <c r="BY40" s="109"/>
      <c r="BZ40" s="109"/>
      <c r="CA40" s="109">
        <f>COUNTIF(CA4:CA34,"休業")</f>
        <v>0</v>
      </c>
      <c r="CB40" s="109"/>
      <c r="CC40" s="109"/>
      <c r="CD40" s="109"/>
      <c r="CE40" s="109"/>
      <c r="CF40" s="109">
        <f>COUNTIF(CF4:CF34,"休業")</f>
        <v>0</v>
      </c>
      <c r="CG40" s="109"/>
      <c r="CH40" s="109"/>
      <c r="CI40" s="109"/>
      <c r="CJ40" s="109"/>
      <c r="CK40" s="109">
        <f>COUNTIF(CK4:CK34,"休業")</f>
        <v>0</v>
      </c>
      <c r="CL40" s="109"/>
      <c r="CM40" s="109"/>
      <c r="CN40" s="109"/>
      <c r="CO40" s="109"/>
      <c r="CP40" s="109">
        <f>COUNTIF(CP4:CP34,"休業")</f>
        <v>0</v>
      </c>
      <c r="CQ40" s="109"/>
      <c r="CR40" s="109"/>
      <c r="CS40" s="109"/>
      <c r="CT40" s="109"/>
      <c r="CU40" s="109">
        <f>COUNTIF(CU4:CU34,"休業")</f>
        <v>0</v>
      </c>
      <c r="CV40" s="109"/>
      <c r="CW40" s="109"/>
      <c r="CX40" s="109"/>
      <c r="CY40" s="109"/>
      <c r="CZ40" s="109">
        <f>COUNTIF(CZ4:CZ34,"休業")</f>
        <v>0</v>
      </c>
      <c r="DA40" s="109"/>
      <c r="DB40" s="109"/>
      <c r="DC40" s="109"/>
      <c r="DD40" s="109"/>
      <c r="DE40" s="109">
        <f>COUNTIF(DE4:DE34,"休業")</f>
        <v>0</v>
      </c>
      <c r="DF40" s="109"/>
      <c r="DG40" s="109"/>
      <c r="DH40" s="109"/>
      <c r="DI40" s="109"/>
      <c r="DJ40" s="109">
        <f>COUNTIF(DJ4:DJ34,"休業")</f>
        <v>0</v>
      </c>
      <c r="DK40" s="109"/>
      <c r="DL40" s="109"/>
      <c r="DM40" s="109"/>
      <c r="DN40" s="109"/>
      <c r="DO40" s="109">
        <f>COUNTIF(DO4:DO34,"休業")</f>
        <v>0</v>
      </c>
      <c r="DP40" s="109"/>
      <c r="DQ40" s="109"/>
      <c r="DR40" s="109"/>
      <c r="DS40" s="109"/>
      <c r="DT40" s="109">
        <f>COUNTIF(DT4:DT34,"休業")</f>
        <v>0</v>
      </c>
      <c r="DU40" s="109"/>
      <c r="DV40" s="109"/>
      <c r="DW40" s="109"/>
      <c r="DX40" s="109"/>
      <c r="DY40" s="109">
        <f>COUNTIF(DY4:DY34,"休業")</f>
        <v>0</v>
      </c>
      <c r="DZ40" s="109"/>
      <c r="EA40" s="109"/>
      <c r="EB40" s="109"/>
      <c r="EC40" s="109"/>
      <c r="ED40" s="109">
        <f>COUNTIF(ED4:ED34,"休業")</f>
        <v>0</v>
      </c>
      <c r="EE40" s="109"/>
      <c r="EF40" s="109"/>
      <c r="EG40" s="109"/>
      <c r="EH40" s="109"/>
      <c r="EI40" s="109">
        <f>COUNTIF(EI4:EI34,"休業")</f>
        <v>0</v>
      </c>
      <c r="EJ40" s="109"/>
      <c r="EK40" s="109"/>
      <c r="EL40" s="109"/>
      <c r="EM40" s="109"/>
      <c r="EN40" s="109">
        <f>COUNTIF(EN4:EN34,"休業")</f>
        <v>0</v>
      </c>
      <c r="EO40" s="109"/>
      <c r="EP40" s="109"/>
      <c r="EQ40" s="109"/>
      <c r="ER40" s="109"/>
      <c r="ES40" s="109">
        <f>COUNTIF(ES4:ES34,"休業")</f>
        <v>0</v>
      </c>
      <c r="ET40" s="109"/>
      <c r="EU40" s="109"/>
      <c r="EV40" s="109"/>
      <c r="EW40" s="109"/>
    </row>
  </sheetData>
  <mergeCells count="217">
    <mergeCell ref="ED40:EH40"/>
    <mergeCell ref="EI40:EM40"/>
    <mergeCell ref="EN40:ER40"/>
    <mergeCell ref="ES40:EW40"/>
    <mergeCell ref="CK40:CO40"/>
    <mergeCell ref="CP40:CT40"/>
    <mergeCell ref="CU40:CY40"/>
    <mergeCell ref="CZ40:DD40"/>
    <mergeCell ref="DE40:DI40"/>
    <mergeCell ref="DJ40:DN40"/>
    <mergeCell ref="DO40:DS40"/>
    <mergeCell ref="DT40:DX40"/>
    <mergeCell ref="DY40:EC40"/>
    <mergeCell ref="DT39:DX39"/>
    <mergeCell ref="DY39:EC39"/>
    <mergeCell ref="ED39:EH39"/>
    <mergeCell ref="EI39:EM39"/>
    <mergeCell ref="EN39:ER39"/>
    <mergeCell ref="ES39:EW39"/>
    <mergeCell ref="A40:C40"/>
    <mergeCell ref="D40:H40"/>
    <mergeCell ref="I40:M40"/>
    <mergeCell ref="N40:R40"/>
    <mergeCell ref="S40:W40"/>
    <mergeCell ref="X40:AB40"/>
    <mergeCell ref="AC40:AG40"/>
    <mergeCell ref="AH40:AL40"/>
    <mergeCell ref="AM40:AQ40"/>
    <mergeCell ref="AR40:AV40"/>
    <mergeCell ref="AW40:BA40"/>
    <mergeCell ref="BB40:BF40"/>
    <mergeCell ref="BG40:BK40"/>
    <mergeCell ref="BL40:BP40"/>
    <mergeCell ref="BQ40:BU40"/>
    <mergeCell ref="BV40:BZ40"/>
    <mergeCell ref="CA40:CE40"/>
    <mergeCell ref="CF40:CJ40"/>
    <mergeCell ref="CA39:CE39"/>
    <mergeCell ref="CF39:CJ39"/>
    <mergeCell ref="CK39:CO39"/>
    <mergeCell ref="CP39:CT39"/>
    <mergeCell ref="CU39:CY39"/>
    <mergeCell ref="CZ39:DD39"/>
    <mergeCell ref="DE39:DI39"/>
    <mergeCell ref="DJ39:DN39"/>
    <mergeCell ref="DO39:DS39"/>
    <mergeCell ref="DJ38:DN38"/>
    <mergeCell ref="DO38:DS38"/>
    <mergeCell ref="DT38:DX38"/>
    <mergeCell ref="DY38:EC38"/>
    <mergeCell ref="ED38:EH38"/>
    <mergeCell ref="EI38:EM38"/>
    <mergeCell ref="EN38:ER38"/>
    <mergeCell ref="ES38:EW38"/>
    <mergeCell ref="A39:C39"/>
    <mergeCell ref="D39:H39"/>
    <mergeCell ref="I39:M39"/>
    <mergeCell ref="N39:R39"/>
    <mergeCell ref="S39:W39"/>
    <mergeCell ref="X39:AB39"/>
    <mergeCell ref="AC39:AG39"/>
    <mergeCell ref="AH39:AL39"/>
    <mergeCell ref="AM39:AQ39"/>
    <mergeCell ref="AR39:AV39"/>
    <mergeCell ref="AW39:BA39"/>
    <mergeCell ref="BB39:BF39"/>
    <mergeCell ref="BG39:BK39"/>
    <mergeCell ref="BL39:BP39"/>
    <mergeCell ref="BQ39:BU39"/>
    <mergeCell ref="BV39:BZ39"/>
    <mergeCell ref="ES37:EW37"/>
    <mergeCell ref="A38:C38"/>
    <mergeCell ref="D38:H38"/>
    <mergeCell ref="I38:M38"/>
    <mergeCell ref="N38:R38"/>
    <mergeCell ref="S38:W38"/>
    <mergeCell ref="X38:AB38"/>
    <mergeCell ref="AC38:AG38"/>
    <mergeCell ref="AH38:AL38"/>
    <mergeCell ref="AM38:AQ38"/>
    <mergeCell ref="AR38:AV38"/>
    <mergeCell ref="AW38:BA38"/>
    <mergeCell ref="BB38:BF38"/>
    <mergeCell ref="BG38:BK38"/>
    <mergeCell ref="BL38:BP38"/>
    <mergeCell ref="BQ38:BU38"/>
    <mergeCell ref="BV38:BZ38"/>
    <mergeCell ref="CA38:CE38"/>
    <mergeCell ref="CF38:CJ38"/>
    <mergeCell ref="CK38:CO38"/>
    <mergeCell ref="CP38:CT38"/>
    <mergeCell ref="CU38:CY38"/>
    <mergeCell ref="CZ38:DD38"/>
    <mergeCell ref="DE38:DI38"/>
    <mergeCell ref="CZ37:DD37"/>
    <mergeCell ref="DE37:DI37"/>
    <mergeCell ref="DJ37:DN37"/>
    <mergeCell ref="DO37:DS37"/>
    <mergeCell ref="DT37:DX37"/>
    <mergeCell ref="DY37:EC37"/>
    <mergeCell ref="ED37:EH37"/>
    <mergeCell ref="EI37:EM37"/>
    <mergeCell ref="EN37:ER37"/>
    <mergeCell ref="EI36:EM36"/>
    <mergeCell ref="EN36:ER36"/>
    <mergeCell ref="ES36:EW36"/>
    <mergeCell ref="A37:C37"/>
    <mergeCell ref="D37:H37"/>
    <mergeCell ref="I37:M37"/>
    <mergeCell ref="N37:R37"/>
    <mergeCell ref="S37:W37"/>
    <mergeCell ref="X37:AB37"/>
    <mergeCell ref="AC37:AG37"/>
    <mergeCell ref="AH37:AL37"/>
    <mergeCell ref="AM37:AQ37"/>
    <mergeCell ref="AR37:AV37"/>
    <mergeCell ref="AW37:BA37"/>
    <mergeCell ref="BB37:BF37"/>
    <mergeCell ref="BG37:BK37"/>
    <mergeCell ref="BL37:BP37"/>
    <mergeCell ref="BQ37:BU37"/>
    <mergeCell ref="BV37:BZ37"/>
    <mergeCell ref="CA37:CE37"/>
    <mergeCell ref="CF37:CJ37"/>
    <mergeCell ref="CK37:CO37"/>
    <mergeCell ref="CP37:CT37"/>
    <mergeCell ref="CU37:CY37"/>
    <mergeCell ref="CP36:CT36"/>
    <mergeCell ref="CU36:CY36"/>
    <mergeCell ref="CZ36:DD36"/>
    <mergeCell ref="DE36:DI36"/>
    <mergeCell ref="DJ36:DN36"/>
    <mergeCell ref="DO36:DS36"/>
    <mergeCell ref="DT36:DX36"/>
    <mergeCell ref="DY36:EC36"/>
    <mergeCell ref="ED36:EH36"/>
    <mergeCell ref="DY35:EC35"/>
    <mergeCell ref="ED35:EH35"/>
    <mergeCell ref="EI35:EM35"/>
    <mergeCell ref="EN35:ER35"/>
    <mergeCell ref="ES35:EW35"/>
    <mergeCell ref="A36:C36"/>
    <mergeCell ref="D36:H36"/>
    <mergeCell ref="I36:M36"/>
    <mergeCell ref="N36:R36"/>
    <mergeCell ref="S36:W36"/>
    <mergeCell ref="X36:AB36"/>
    <mergeCell ref="AC36:AG36"/>
    <mergeCell ref="AH36:AL36"/>
    <mergeCell ref="AM36:AQ36"/>
    <mergeCell ref="AR36:AV36"/>
    <mergeCell ref="AW36:BA36"/>
    <mergeCell ref="BB36:BF36"/>
    <mergeCell ref="BG36:BK36"/>
    <mergeCell ref="BL36:BP36"/>
    <mergeCell ref="BQ36:BU36"/>
    <mergeCell ref="BV36:BZ36"/>
    <mergeCell ref="CA36:CE36"/>
    <mergeCell ref="CF36:CJ36"/>
    <mergeCell ref="CK36:CO36"/>
    <mergeCell ref="CF35:CJ35"/>
    <mergeCell ref="CK35:CO35"/>
    <mergeCell ref="CP35:CT35"/>
    <mergeCell ref="CU35:CY35"/>
    <mergeCell ref="CZ35:DD35"/>
    <mergeCell ref="DE35:DI35"/>
    <mergeCell ref="DJ35:DN35"/>
    <mergeCell ref="DO35:DS35"/>
    <mergeCell ref="DT35:DX35"/>
    <mergeCell ref="DO2:DS2"/>
    <mergeCell ref="DT2:DX2"/>
    <mergeCell ref="DY2:EC2"/>
    <mergeCell ref="ED2:EH2"/>
    <mergeCell ref="EI2:EM2"/>
    <mergeCell ref="EN2:ER2"/>
    <mergeCell ref="ES2:EW2"/>
    <mergeCell ref="A35:C35"/>
    <mergeCell ref="D35:H35"/>
    <mergeCell ref="I35:M35"/>
    <mergeCell ref="N35:R35"/>
    <mergeCell ref="S35:W35"/>
    <mergeCell ref="X35:AB35"/>
    <mergeCell ref="AC35:AG35"/>
    <mergeCell ref="AH35:AL35"/>
    <mergeCell ref="AM35:AQ35"/>
    <mergeCell ref="AR35:AV35"/>
    <mergeCell ref="AW35:BA35"/>
    <mergeCell ref="BB35:BF35"/>
    <mergeCell ref="BG35:BK35"/>
    <mergeCell ref="BL35:BP35"/>
    <mergeCell ref="BQ35:BU35"/>
    <mergeCell ref="BV35:BZ35"/>
    <mergeCell ref="CA35:CE35"/>
    <mergeCell ref="A1:EW1"/>
    <mergeCell ref="D2:H2"/>
    <mergeCell ref="I2:M2"/>
    <mergeCell ref="N2:R2"/>
    <mergeCell ref="S2:W2"/>
    <mergeCell ref="X2:AB2"/>
    <mergeCell ref="AC2:AG2"/>
    <mergeCell ref="AH2:AL2"/>
    <mergeCell ref="AM2:AQ2"/>
    <mergeCell ref="AR2:AV2"/>
    <mergeCell ref="AW2:BA2"/>
    <mergeCell ref="BB2:BF2"/>
    <mergeCell ref="BG2:BK2"/>
    <mergeCell ref="BL2:BP2"/>
    <mergeCell ref="BQ2:BU2"/>
    <mergeCell ref="BV2:BZ2"/>
    <mergeCell ref="CA2:CE2"/>
    <mergeCell ref="CF2:CJ2"/>
    <mergeCell ref="CK2:CO2"/>
    <mergeCell ref="CP2:CT2"/>
    <mergeCell ref="CU2:CY2"/>
    <mergeCell ref="CZ2:DD2"/>
    <mergeCell ref="DE2:DI2"/>
    <mergeCell ref="DJ2:DN2"/>
  </mergeCells>
  <phoneticPr fontId="51"/>
  <conditionalFormatting sqref="A4:EW34">
    <cfRule type="expression" dxfId="505" priority="63">
      <formula>$B4="日"</formula>
    </cfRule>
    <cfRule type="expression" dxfId="504" priority="64">
      <formula>$B4="土"</formula>
    </cfRule>
    <cfRule type="expression" dxfId="503" priority="62">
      <formula>AND($A4&lt;&gt;"",ISNUMBER(MATCH(DATE(対象年度,6,$A4),祝日リスト,0)))</formula>
    </cfRule>
  </conditionalFormatting>
  <conditionalFormatting sqref="D4:D34">
    <cfRule type="expression" dxfId="502" priority="3">
      <formula>$D4="休業"</formula>
    </cfRule>
    <cfRule type="expression" dxfId="501" priority="2">
      <formula>$D4="有給"</formula>
    </cfRule>
  </conditionalFormatting>
  <conditionalFormatting sqref="I4:I34">
    <cfRule type="expression" dxfId="500" priority="4">
      <formula>$I4="有給"</formula>
    </cfRule>
    <cfRule type="expression" dxfId="499" priority="5">
      <formula>$I4="休業"</formula>
    </cfRule>
  </conditionalFormatting>
  <conditionalFormatting sqref="N4:N34">
    <cfRule type="expression" dxfId="498" priority="6">
      <formula>$N4="有給"</formula>
    </cfRule>
    <cfRule type="expression" dxfId="497" priority="7">
      <formula>$N4="休業"</formula>
    </cfRule>
  </conditionalFormatting>
  <conditionalFormatting sqref="S4:S34">
    <cfRule type="expression" dxfId="496" priority="8">
      <formula>$S4="有給"</formula>
    </cfRule>
    <cfRule type="expression" dxfId="495" priority="9">
      <formula>$S4="休業"</formula>
    </cfRule>
  </conditionalFormatting>
  <conditionalFormatting sqref="X4:X34">
    <cfRule type="expression" dxfId="494" priority="10">
      <formula>$X4="有給"</formula>
    </cfRule>
    <cfRule type="expression" dxfId="493" priority="11">
      <formula>$X4="休業"</formula>
    </cfRule>
  </conditionalFormatting>
  <conditionalFormatting sqref="AC4:AC34">
    <cfRule type="expression" dxfId="492" priority="12">
      <formula>$AC4="有給"</formula>
    </cfRule>
    <cfRule type="expression" dxfId="491" priority="13">
      <formula>$AC4="休業"</formula>
    </cfRule>
  </conditionalFormatting>
  <conditionalFormatting sqref="AH4:AH34">
    <cfRule type="expression" dxfId="490" priority="14">
      <formula>$AH4="有給"</formula>
    </cfRule>
    <cfRule type="expression" dxfId="489" priority="15">
      <formula>$AH4="休業"</formula>
    </cfRule>
  </conditionalFormatting>
  <conditionalFormatting sqref="AM4:AM34">
    <cfRule type="expression" dxfId="488" priority="17">
      <formula>$AM4="休業"</formula>
    </cfRule>
    <cfRule type="expression" dxfId="487" priority="16">
      <formula>$AM4="有給"</formula>
    </cfRule>
  </conditionalFormatting>
  <conditionalFormatting sqref="AR4:AR34">
    <cfRule type="expression" dxfId="486" priority="19">
      <formula>$AR4="休業"</formula>
    </cfRule>
    <cfRule type="expression" dxfId="485" priority="18">
      <formula>$AR4="有給"</formula>
    </cfRule>
  </conditionalFormatting>
  <conditionalFormatting sqref="AW4:AW34">
    <cfRule type="expression" dxfId="484" priority="20">
      <formula>$AW4="有給"</formula>
    </cfRule>
    <cfRule type="expression" dxfId="483" priority="21">
      <formula>$AW4="休業"</formula>
    </cfRule>
  </conditionalFormatting>
  <conditionalFormatting sqref="BB4:BB34">
    <cfRule type="expression" dxfId="482" priority="22">
      <formula>$BB4="有給"</formula>
    </cfRule>
    <cfRule type="expression" dxfId="481" priority="23">
      <formula>$BB4="休業"</formula>
    </cfRule>
  </conditionalFormatting>
  <conditionalFormatting sqref="BG4:BG34">
    <cfRule type="expression" dxfId="480" priority="24">
      <formula>$BG4="有給"</formula>
    </cfRule>
    <cfRule type="expression" dxfId="479" priority="25">
      <formula>$BG4="休業"</formula>
    </cfRule>
  </conditionalFormatting>
  <conditionalFormatting sqref="BL4:BL34">
    <cfRule type="expression" dxfId="478" priority="26">
      <formula>$BL4="有給"</formula>
    </cfRule>
    <cfRule type="expression" dxfId="477" priority="27">
      <formula>$BL4="休業"</formula>
    </cfRule>
  </conditionalFormatting>
  <conditionalFormatting sqref="BQ4:BQ34">
    <cfRule type="expression" dxfId="476" priority="28">
      <formula>$BQ4="有給"</formula>
    </cfRule>
    <cfRule type="expression" dxfId="475" priority="29">
      <formula>$BQ4="休業"</formula>
    </cfRule>
  </conditionalFormatting>
  <conditionalFormatting sqref="BV4:BV34">
    <cfRule type="expression" dxfId="474" priority="30">
      <formula>$BV4="有給"</formula>
    </cfRule>
    <cfRule type="expression" dxfId="473" priority="31">
      <formula>$BV4="休業"</formula>
    </cfRule>
  </conditionalFormatting>
  <conditionalFormatting sqref="CA4:CA34">
    <cfRule type="expression" dxfId="472" priority="33">
      <formula>$CA4="休業"</formula>
    </cfRule>
    <cfRule type="expression" dxfId="471" priority="32">
      <formula>$CA4="有給"</formula>
    </cfRule>
  </conditionalFormatting>
  <conditionalFormatting sqref="CF4:CF34">
    <cfRule type="expression" dxfId="470" priority="34">
      <formula>$CF4="有給"</formula>
    </cfRule>
    <cfRule type="expression" dxfId="469" priority="35">
      <formula>$CF4="休業"</formula>
    </cfRule>
  </conditionalFormatting>
  <conditionalFormatting sqref="CK4:CK34">
    <cfRule type="expression" dxfId="468" priority="37">
      <formula>$CK4="休業"</formula>
    </cfRule>
    <cfRule type="expression" dxfId="467" priority="36">
      <formula>$CK4="有給"</formula>
    </cfRule>
  </conditionalFormatting>
  <conditionalFormatting sqref="CP4:CP34">
    <cfRule type="expression" dxfId="466" priority="38">
      <formula>$CP4="有給"</formula>
    </cfRule>
    <cfRule type="expression" dxfId="465" priority="39">
      <formula>$CP4="休業"</formula>
    </cfRule>
  </conditionalFormatting>
  <conditionalFormatting sqref="CU4:CU34">
    <cfRule type="expression" dxfId="464" priority="40">
      <formula>$CU4="有給"</formula>
    </cfRule>
    <cfRule type="expression" dxfId="463" priority="41">
      <formula>$CU4="休業"</formula>
    </cfRule>
  </conditionalFormatting>
  <conditionalFormatting sqref="CZ4:CZ34">
    <cfRule type="expression" dxfId="462" priority="42">
      <formula>$CZ4="有給"</formula>
    </cfRule>
    <cfRule type="expression" dxfId="461" priority="43">
      <formula>$CZ4="休業"</formula>
    </cfRule>
  </conditionalFormatting>
  <conditionalFormatting sqref="DE4:DE34">
    <cfRule type="expression" dxfId="460" priority="44">
      <formula>$DE4="有給"</formula>
    </cfRule>
    <cfRule type="expression" dxfId="459" priority="45">
      <formula>$DE4="休業"</formula>
    </cfRule>
  </conditionalFormatting>
  <conditionalFormatting sqref="DJ4:DJ34">
    <cfRule type="expression" dxfId="458" priority="46">
      <formula>$DJ4="有給"</formula>
    </cfRule>
    <cfRule type="expression" dxfId="457" priority="47">
      <formula>$DJ4="休業"</formula>
    </cfRule>
  </conditionalFormatting>
  <conditionalFormatting sqref="DO4:DO34">
    <cfRule type="expression" dxfId="456" priority="48">
      <formula>$DO4="有給"</formula>
    </cfRule>
    <cfRule type="expression" dxfId="455" priority="49">
      <formula>$DO4="休業"</formula>
    </cfRule>
  </conditionalFormatting>
  <conditionalFormatting sqref="DT4:DT34">
    <cfRule type="expression" dxfId="454" priority="51">
      <formula>$DT4="休業"</formula>
    </cfRule>
    <cfRule type="expression" dxfId="453" priority="50">
      <formula>$DT4="有給"</formula>
    </cfRule>
  </conditionalFormatting>
  <conditionalFormatting sqref="DY4:DY34">
    <cfRule type="expression" dxfId="452" priority="52">
      <formula>$DY4="有給"</formula>
    </cfRule>
    <cfRule type="expression" dxfId="451" priority="53">
      <formula>$DY4="休業"</formula>
    </cfRule>
  </conditionalFormatting>
  <conditionalFormatting sqref="ED4:ED34">
    <cfRule type="expression" dxfId="450" priority="54">
      <formula>$ED4="有給"</formula>
    </cfRule>
    <cfRule type="expression" dxfId="449" priority="55">
      <formula>$ED4="休業"</formula>
    </cfRule>
  </conditionalFormatting>
  <conditionalFormatting sqref="EI4:EI34">
    <cfRule type="expression" dxfId="448" priority="56">
      <formula>$EI4="有給"</formula>
    </cfRule>
    <cfRule type="expression" dxfId="447" priority="57">
      <formula>$EI4="休業"</formula>
    </cfRule>
  </conditionalFormatting>
  <conditionalFormatting sqref="EN4:EN34">
    <cfRule type="expression" dxfId="446" priority="58">
      <formula>$EN4="有給"</formula>
    </cfRule>
    <cfRule type="expression" dxfId="445" priority="59">
      <formula>$EN4="休業"</formula>
    </cfRule>
  </conditionalFormatting>
  <conditionalFormatting sqref="ES4:ES34">
    <cfRule type="expression" dxfId="444" priority="60">
      <formula>$ES4="有給"</formula>
    </cfRule>
    <cfRule type="expression" dxfId="443" priority="61">
      <formula>$ES4="休業"</formula>
    </cfRule>
  </conditionalFormatting>
  <pageMargins left="0.31496062992125984" right="0.31496062992125984" top="0.98425196850393704" bottom="0.98425196850393704" header="0.51181102362204722" footer="0.51181102362204722"/>
  <pageSetup paperSize="8" scale="14" orientation="landscape" horizontalDpi="300" verticalDpi="300" r:id="rId1"/>
  <headerFooter>
    <oddFooter>&amp;C&amp;"ＭＳ Ｐゴシック,標準"制作：有限会社水越設備&amp;Rsp-mizukoshi.jp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00000000-0002-0000-0900-000000000000}">
          <x14:formula1>
            <xm:f>現場マスタ!$C$4:$C$43</xm:f>
          </x14:formula1>
          <x14:formula2>
            <xm:f>0</xm:f>
          </x14:formula2>
          <xm:sqref>D4:E34 I4:J34 N4:O34 S4:T34 X4:Y34 AC4:AD34 AH4:AI34 AM4:AN34 AR4:AS34 AW4:AX34 BB4:BC34 BG4:BH34 BL4:BM34 BQ4:BR34 BV4:BW34 CA4:CB34 CF4:CG34 CK4:CL34 CP4:CQ34 CU4:CV34 CZ4:DA34 DE4:DF34 DJ4:DK34 DO4:DP34 DT4:DU34 DY4:DZ34 ED4:EE34 EI4:EJ34 EN4:EO34 ES4:ET34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EW40"/>
  <sheetViews>
    <sheetView zoomScaleNormal="100" workbookViewId="0">
      <pane xSplit="3" ySplit="3" topLeftCell="D4" activePane="bottomRight" state="frozen"/>
      <selection sqref="A1:EW1"/>
      <selection pane="topRight" sqref="A1:EW1"/>
      <selection pane="bottomLeft" sqref="A1:EW1"/>
      <selection pane="bottomRight" sqref="A1:EW1"/>
    </sheetView>
  </sheetViews>
  <sheetFormatPr defaultColWidth="8.7109375" defaultRowHeight="15"/>
  <cols>
    <col min="1" max="1" width="5" customWidth="1"/>
    <col min="2" max="3" width="4" customWidth="1"/>
    <col min="4" max="5" width="13" customWidth="1"/>
    <col min="6" max="7" width="6" customWidth="1"/>
    <col min="8" max="8" width="7" customWidth="1"/>
    <col min="9" max="10" width="13" customWidth="1"/>
    <col min="11" max="12" width="6" customWidth="1"/>
    <col min="13" max="13" width="7" customWidth="1"/>
    <col min="14" max="15" width="13" customWidth="1"/>
    <col min="16" max="17" width="6" customWidth="1"/>
    <col min="18" max="18" width="7" customWidth="1"/>
    <col min="19" max="20" width="13" customWidth="1"/>
    <col min="21" max="22" width="6" customWidth="1"/>
    <col min="23" max="23" width="7" customWidth="1"/>
    <col min="24" max="25" width="13" customWidth="1"/>
    <col min="26" max="27" width="6" customWidth="1"/>
    <col min="28" max="28" width="7" customWidth="1"/>
    <col min="29" max="30" width="13" customWidth="1"/>
    <col min="31" max="32" width="6" customWidth="1"/>
    <col min="33" max="33" width="7" customWidth="1"/>
    <col min="34" max="35" width="13" customWidth="1"/>
    <col min="36" max="37" width="6" customWidth="1"/>
    <col min="38" max="38" width="7" customWidth="1"/>
    <col min="39" max="40" width="13" customWidth="1"/>
    <col min="41" max="42" width="6" customWidth="1"/>
    <col min="43" max="43" width="7" customWidth="1"/>
    <col min="44" max="45" width="13" customWidth="1"/>
    <col min="46" max="47" width="6" customWidth="1"/>
    <col min="48" max="48" width="7" customWidth="1"/>
    <col min="49" max="50" width="13" customWidth="1"/>
    <col min="51" max="52" width="6" customWidth="1"/>
    <col min="53" max="53" width="7" customWidth="1"/>
    <col min="54" max="55" width="13" customWidth="1"/>
    <col min="56" max="57" width="6" customWidth="1"/>
    <col min="58" max="58" width="7" customWidth="1"/>
    <col min="59" max="60" width="13" customWidth="1"/>
    <col min="61" max="62" width="6" customWidth="1"/>
    <col min="63" max="63" width="7" customWidth="1"/>
    <col min="64" max="65" width="13" customWidth="1"/>
    <col min="66" max="67" width="6" customWidth="1"/>
    <col min="68" max="68" width="7" customWidth="1"/>
    <col min="69" max="70" width="13" customWidth="1"/>
    <col min="71" max="72" width="6" customWidth="1"/>
    <col min="73" max="73" width="7" customWidth="1"/>
    <col min="74" max="75" width="13" customWidth="1"/>
    <col min="76" max="77" width="6" customWidth="1"/>
    <col min="78" max="78" width="7" customWidth="1"/>
    <col min="79" max="80" width="13" customWidth="1"/>
    <col min="81" max="82" width="6" customWidth="1"/>
    <col min="83" max="83" width="7" customWidth="1"/>
    <col min="84" max="85" width="13" customWidth="1"/>
    <col min="86" max="87" width="6" customWidth="1"/>
    <col min="88" max="88" width="7" customWidth="1"/>
    <col min="89" max="90" width="13" customWidth="1"/>
    <col min="91" max="92" width="6" customWidth="1"/>
    <col min="93" max="93" width="7" customWidth="1"/>
    <col min="94" max="95" width="13" customWidth="1"/>
    <col min="96" max="97" width="6" customWidth="1"/>
    <col min="98" max="98" width="7" customWidth="1"/>
    <col min="99" max="100" width="13" customWidth="1"/>
    <col min="101" max="102" width="6" customWidth="1"/>
    <col min="103" max="103" width="7" customWidth="1"/>
    <col min="104" max="105" width="13" customWidth="1"/>
    <col min="106" max="107" width="6" customWidth="1"/>
    <col min="108" max="108" width="7" customWidth="1"/>
    <col min="109" max="110" width="13" customWidth="1"/>
    <col min="111" max="112" width="6" customWidth="1"/>
    <col min="113" max="113" width="7" customWidth="1"/>
    <col min="114" max="115" width="13" customWidth="1"/>
    <col min="116" max="117" width="6" customWidth="1"/>
    <col min="118" max="118" width="7" customWidth="1"/>
    <col min="119" max="120" width="13" customWidth="1"/>
    <col min="121" max="122" width="6" customWidth="1"/>
    <col min="123" max="123" width="7" customWidth="1"/>
    <col min="124" max="125" width="13" customWidth="1"/>
    <col min="126" max="127" width="6" customWidth="1"/>
    <col min="128" max="128" width="7" customWidth="1"/>
    <col min="129" max="130" width="13" customWidth="1"/>
    <col min="131" max="132" width="6" customWidth="1"/>
    <col min="133" max="133" width="7" customWidth="1"/>
    <col min="134" max="135" width="13" customWidth="1"/>
    <col min="136" max="137" width="6" customWidth="1"/>
    <col min="138" max="138" width="7" customWidth="1"/>
    <col min="139" max="140" width="13" customWidth="1"/>
    <col min="141" max="142" width="6" customWidth="1"/>
    <col min="143" max="143" width="7" customWidth="1"/>
    <col min="144" max="145" width="13" customWidth="1"/>
    <col min="146" max="147" width="6" customWidth="1"/>
    <col min="148" max="148" width="7" customWidth="1"/>
    <col min="149" max="150" width="13" customWidth="1"/>
    <col min="151" max="152" width="6" customWidth="1"/>
    <col min="153" max="153" width="7" customWidth="1"/>
  </cols>
  <sheetData>
    <row r="1" spans="1:153" ht="36" customHeight="1">
      <c r="A1" s="96" t="str">
        <f>" "&amp;対象年度&amp;"年 7月分　出面表　"</f>
        <v xml:space="preserve"> 2026年 7月分　出面表　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Y1" s="96"/>
      <c r="BZ1" s="96"/>
      <c r="CA1" s="96"/>
      <c r="CB1" s="96"/>
      <c r="CC1" s="96"/>
      <c r="CD1" s="96"/>
      <c r="CE1" s="96"/>
      <c r="CF1" s="96"/>
      <c r="CG1" s="96"/>
      <c r="CH1" s="96"/>
      <c r="CI1" s="96"/>
      <c r="CJ1" s="96"/>
      <c r="CK1" s="96"/>
      <c r="CL1" s="96"/>
      <c r="CM1" s="96"/>
      <c r="CN1" s="96"/>
      <c r="CO1" s="96"/>
      <c r="CP1" s="96"/>
      <c r="CQ1" s="96"/>
      <c r="CR1" s="96"/>
      <c r="CS1" s="96"/>
      <c r="CT1" s="96"/>
      <c r="CU1" s="96"/>
      <c r="CV1" s="96"/>
      <c r="CW1" s="96"/>
      <c r="CX1" s="96"/>
      <c r="CY1" s="96"/>
      <c r="CZ1" s="96"/>
      <c r="DA1" s="96"/>
      <c r="DB1" s="96"/>
      <c r="DC1" s="96"/>
      <c r="DD1" s="96"/>
      <c r="DE1" s="96"/>
      <c r="DF1" s="96"/>
      <c r="DG1" s="96"/>
      <c r="DH1" s="96"/>
      <c r="DI1" s="96"/>
      <c r="DJ1" s="96"/>
      <c r="DK1" s="96"/>
      <c r="DL1" s="96"/>
      <c r="DM1" s="96"/>
      <c r="DN1" s="96"/>
      <c r="DO1" s="96"/>
      <c r="DP1" s="96"/>
      <c r="DQ1" s="96"/>
      <c r="DR1" s="96"/>
      <c r="DS1" s="96"/>
      <c r="DT1" s="96"/>
      <c r="DU1" s="96"/>
      <c r="DV1" s="96"/>
      <c r="DW1" s="96"/>
      <c r="DX1" s="96"/>
      <c r="DY1" s="96"/>
      <c r="DZ1" s="96"/>
      <c r="EA1" s="96"/>
      <c r="EB1" s="96"/>
      <c r="EC1" s="96"/>
      <c r="ED1" s="96"/>
      <c r="EE1" s="96"/>
      <c r="EF1" s="96"/>
      <c r="EG1" s="96"/>
      <c r="EH1" s="96"/>
      <c r="EI1" s="96"/>
      <c r="EJ1" s="96"/>
      <c r="EK1" s="96"/>
      <c r="EL1" s="96"/>
      <c r="EM1" s="96"/>
      <c r="EN1" s="96"/>
      <c r="EO1" s="96"/>
      <c r="EP1" s="96"/>
      <c r="EQ1" s="96"/>
      <c r="ER1" s="96"/>
      <c r="ES1" s="96"/>
      <c r="ET1" s="96"/>
      <c r="EU1" s="96"/>
      <c r="EV1" s="96"/>
      <c r="EW1" s="96"/>
    </row>
    <row r="2" spans="1:153" ht="25.5" customHeight="1">
      <c r="A2" s="21"/>
      <c r="B2" s="21"/>
      <c r="C2" s="21"/>
      <c r="D2" s="97" t="str">
        <f>IFERROR(IF(従業員マスタ!$C$4="","",対象年度&amp;"年7月　"&amp;従業員マスタ!$C$4),"")</f>
        <v>2026年7月　代表 太郎</v>
      </c>
      <c r="E2" s="97"/>
      <c r="F2" s="97"/>
      <c r="G2" s="97"/>
      <c r="H2" s="97"/>
      <c r="I2" s="97" t="str">
        <f>IFERROR(IF(従業員マスタ!$C$5="","",対象年度&amp;"年7月　"&amp;従業員マスタ!$C$5),"")</f>
        <v>2026年7月　専務 次郎</v>
      </c>
      <c r="J2" s="97"/>
      <c r="K2" s="97"/>
      <c r="L2" s="97"/>
      <c r="M2" s="97"/>
      <c r="N2" s="97" t="str">
        <f>IFERROR(IF(従業員マスタ!$C$6="","",対象年度&amp;"年7月　"&amp;従業員マスタ!$C$6),"")</f>
        <v>2026年7月　山田 一郎</v>
      </c>
      <c r="O2" s="97"/>
      <c r="P2" s="97"/>
      <c r="Q2" s="97"/>
      <c r="R2" s="97"/>
      <c r="S2" s="97" t="str">
        <f>IFERROR(IF(従業員マスタ!$C$7="","",対象年度&amp;"年7月　"&amp;従業員マスタ!$C$7),"")</f>
        <v>2026年7月　鈴木 二郎</v>
      </c>
      <c r="T2" s="97"/>
      <c r="U2" s="97"/>
      <c r="V2" s="97"/>
      <c r="W2" s="97"/>
      <c r="X2" s="97" t="str">
        <f>IFERROR(IF(従業員マスタ!$C$8="","",対象年度&amp;"年7月　"&amp;従業員マスタ!$C$8),"")</f>
        <v>2026年7月　佐藤 三郎</v>
      </c>
      <c r="Y2" s="97"/>
      <c r="Z2" s="97"/>
      <c r="AA2" s="97"/>
      <c r="AB2" s="97"/>
      <c r="AC2" s="97" t="str">
        <f>IFERROR(IF(従業員マスタ!$C$9="","",対象年度&amp;"年7月　"&amp;従業員マスタ!$C$9),"")</f>
        <v>2026年7月　高橋 四郎</v>
      </c>
      <c r="AD2" s="97"/>
      <c r="AE2" s="97"/>
      <c r="AF2" s="97"/>
      <c r="AG2" s="97"/>
      <c r="AH2" s="97" t="str">
        <f>IFERROR(IF(従業員マスタ!$C$10="","",対象年度&amp;"年7月　"&amp;従業員マスタ!$C$10),"")</f>
        <v>2026年7月　田中 五郎</v>
      </c>
      <c r="AI2" s="97"/>
      <c r="AJ2" s="97"/>
      <c r="AK2" s="97"/>
      <c r="AL2" s="97"/>
      <c r="AM2" s="97" t="str">
        <f>IFERROR(IF(従業員マスタ!$C$11="","",対象年度&amp;"年7月　"&amp;従業員マスタ!$C$11),"")</f>
        <v>2026年7月　伊藤 六郎</v>
      </c>
      <c r="AN2" s="97"/>
      <c r="AO2" s="97"/>
      <c r="AP2" s="97"/>
      <c r="AQ2" s="97"/>
      <c r="AR2" s="97" t="str">
        <f>IFERROR(IF(従業員マスタ!$C$12="","",対象年度&amp;"年7月　"&amp;従業員マスタ!$C$12),"")</f>
        <v>2026年7月　渡辺 七郎</v>
      </c>
      <c r="AS2" s="97"/>
      <c r="AT2" s="97"/>
      <c r="AU2" s="97"/>
      <c r="AV2" s="97"/>
      <c r="AW2" s="97" t="str">
        <f>IFERROR(IF(従業員マスタ!$C$13="","",対象年度&amp;"年7月　"&amp;従業員マスタ!$C$13),"")</f>
        <v>2026年7月　中村 八郎</v>
      </c>
      <c r="AX2" s="97"/>
      <c r="AY2" s="97"/>
      <c r="AZ2" s="97"/>
      <c r="BA2" s="97"/>
      <c r="BB2" s="97" t="str">
        <f>IFERROR(IF(従業員マスタ!$C$14="","",対象年度&amp;"年7月　"&amp;従業員マスタ!$C$14),"")</f>
        <v>2026年7月　小林 九郎</v>
      </c>
      <c r="BC2" s="97"/>
      <c r="BD2" s="97"/>
      <c r="BE2" s="97"/>
      <c r="BF2" s="97"/>
      <c r="BG2" s="97" t="str">
        <f>IFERROR(IF(従業員マスタ!$C$15="","",対象年度&amp;"年7月　"&amp;従業員マスタ!$C$15),"")</f>
        <v>2026年7月　加藤 十郎</v>
      </c>
      <c r="BH2" s="97"/>
      <c r="BI2" s="97"/>
      <c r="BJ2" s="97"/>
      <c r="BK2" s="97"/>
      <c r="BL2" s="97" t="str">
        <f>IFERROR(IF(従業員マスタ!$C$16="","",対象年度&amp;"年7月　"&amp;従業員マスタ!$C$16),"")</f>
        <v/>
      </c>
      <c r="BM2" s="97"/>
      <c r="BN2" s="97"/>
      <c r="BO2" s="97"/>
      <c r="BP2" s="97"/>
      <c r="BQ2" s="97" t="str">
        <f>IFERROR(IF(従業員マスタ!$C$17="","",対象年度&amp;"年7月　"&amp;従業員マスタ!$C$17),"")</f>
        <v/>
      </c>
      <c r="BR2" s="97"/>
      <c r="BS2" s="97"/>
      <c r="BT2" s="97"/>
      <c r="BU2" s="97"/>
      <c r="BV2" s="97" t="str">
        <f>IFERROR(IF(従業員マスタ!$C$18="","",対象年度&amp;"年7月　"&amp;従業員マスタ!$C$18),"")</f>
        <v/>
      </c>
      <c r="BW2" s="97"/>
      <c r="BX2" s="97"/>
      <c r="BY2" s="97"/>
      <c r="BZ2" s="97"/>
      <c r="CA2" s="97" t="str">
        <f>IFERROR(IF(従業員マスタ!$C$19="","",対象年度&amp;"年7月　"&amp;従業員マスタ!$C$19),"")</f>
        <v/>
      </c>
      <c r="CB2" s="97"/>
      <c r="CC2" s="97"/>
      <c r="CD2" s="97"/>
      <c r="CE2" s="97"/>
      <c r="CF2" s="97" t="str">
        <f>IFERROR(IF(従業員マスタ!$C$20="","",対象年度&amp;"年7月　"&amp;従業員マスタ!$C$20),"")</f>
        <v/>
      </c>
      <c r="CG2" s="97"/>
      <c r="CH2" s="97"/>
      <c r="CI2" s="97"/>
      <c r="CJ2" s="97"/>
      <c r="CK2" s="97" t="str">
        <f>IFERROR(IF(従業員マスタ!$C$21="","",対象年度&amp;"年7月　"&amp;従業員マスタ!$C$21),"")</f>
        <v/>
      </c>
      <c r="CL2" s="97"/>
      <c r="CM2" s="97"/>
      <c r="CN2" s="97"/>
      <c r="CO2" s="97"/>
      <c r="CP2" s="97" t="str">
        <f>IFERROR(IF(従業員マスタ!$C$22="","",対象年度&amp;"年7月　"&amp;従業員マスタ!$C$22),"")</f>
        <v/>
      </c>
      <c r="CQ2" s="97"/>
      <c r="CR2" s="97"/>
      <c r="CS2" s="97"/>
      <c r="CT2" s="97"/>
      <c r="CU2" s="97" t="str">
        <f>IFERROR(IF(従業員マスタ!$C$23="","",対象年度&amp;"年7月　"&amp;従業員マスタ!$C$23),"")</f>
        <v/>
      </c>
      <c r="CV2" s="97"/>
      <c r="CW2" s="97"/>
      <c r="CX2" s="97"/>
      <c r="CY2" s="97"/>
      <c r="CZ2" s="97" t="str">
        <f>IFERROR(IF(従業員マスタ!$C$24="","",対象年度&amp;"年7月　"&amp;従業員マスタ!$C$24),"")</f>
        <v/>
      </c>
      <c r="DA2" s="97"/>
      <c r="DB2" s="97"/>
      <c r="DC2" s="97"/>
      <c r="DD2" s="97"/>
      <c r="DE2" s="97" t="str">
        <f>IFERROR(IF(従業員マスタ!$C$25="","",対象年度&amp;"年7月　"&amp;従業員マスタ!$C$25),"")</f>
        <v/>
      </c>
      <c r="DF2" s="97"/>
      <c r="DG2" s="97"/>
      <c r="DH2" s="97"/>
      <c r="DI2" s="97"/>
      <c r="DJ2" s="97" t="str">
        <f>IFERROR(IF(従業員マスタ!$C$26="","",対象年度&amp;"年7月　"&amp;従業員マスタ!$C$26),"")</f>
        <v/>
      </c>
      <c r="DK2" s="97"/>
      <c r="DL2" s="97"/>
      <c r="DM2" s="97"/>
      <c r="DN2" s="97"/>
      <c r="DO2" s="97" t="str">
        <f>IFERROR(IF(従業員マスタ!$C$27="","",対象年度&amp;"年7月　"&amp;従業員マスタ!$C$27),"")</f>
        <v/>
      </c>
      <c r="DP2" s="97"/>
      <c r="DQ2" s="97"/>
      <c r="DR2" s="97"/>
      <c r="DS2" s="97"/>
      <c r="DT2" s="97" t="str">
        <f>IFERROR(IF(従業員マスタ!$C$28="","",対象年度&amp;"年7月　"&amp;従業員マスタ!$C$28),"")</f>
        <v/>
      </c>
      <c r="DU2" s="97"/>
      <c r="DV2" s="97"/>
      <c r="DW2" s="97"/>
      <c r="DX2" s="97"/>
      <c r="DY2" s="97" t="str">
        <f>IFERROR(IF(従業員マスタ!$C$29="","",対象年度&amp;"年7月　"&amp;従業員マスタ!$C$29),"")</f>
        <v/>
      </c>
      <c r="DZ2" s="97"/>
      <c r="EA2" s="97"/>
      <c r="EB2" s="97"/>
      <c r="EC2" s="97"/>
      <c r="ED2" s="97" t="str">
        <f>IFERROR(IF(従業員マスタ!$C$30="","",対象年度&amp;"年7月　"&amp;従業員マスタ!$C$30),"")</f>
        <v/>
      </c>
      <c r="EE2" s="97"/>
      <c r="EF2" s="97"/>
      <c r="EG2" s="97"/>
      <c r="EH2" s="97"/>
      <c r="EI2" s="97" t="str">
        <f>IFERROR(IF(従業員マスタ!$C$31="","",対象年度&amp;"年7月　"&amp;従業員マスタ!$C$31),"")</f>
        <v/>
      </c>
      <c r="EJ2" s="97"/>
      <c r="EK2" s="97"/>
      <c r="EL2" s="97"/>
      <c r="EM2" s="97"/>
      <c r="EN2" s="97" t="str">
        <f>IFERROR(IF(従業員マスタ!$C$32="","",対象年度&amp;"年7月　"&amp;従業員マスタ!$C$32),"")</f>
        <v/>
      </c>
      <c r="EO2" s="97"/>
      <c r="EP2" s="97"/>
      <c r="EQ2" s="97"/>
      <c r="ER2" s="97"/>
      <c r="ES2" s="97" t="str">
        <f>IFERROR(IF(従業員マスタ!$C$33="","",対象年度&amp;"年7月　"&amp;従業員マスタ!$C$33),"")</f>
        <v/>
      </c>
      <c r="ET2" s="97"/>
      <c r="EU2" s="97"/>
      <c r="EV2" s="97"/>
      <c r="EW2" s="97"/>
    </row>
    <row r="3" spans="1:153" ht="24" customHeight="1">
      <c r="A3" s="22" t="s">
        <v>108</v>
      </c>
      <c r="B3" s="22" t="s">
        <v>109</v>
      </c>
      <c r="C3" s="22" t="s">
        <v>110</v>
      </c>
      <c r="D3" s="23" t="s">
        <v>111</v>
      </c>
      <c r="E3" s="24" t="s">
        <v>112</v>
      </c>
      <c r="F3" s="22" t="s">
        <v>113</v>
      </c>
      <c r="G3" s="22" t="s">
        <v>114</v>
      </c>
      <c r="H3" s="25" t="s">
        <v>115</v>
      </c>
      <c r="I3" s="23" t="s">
        <v>111</v>
      </c>
      <c r="J3" s="24" t="s">
        <v>112</v>
      </c>
      <c r="K3" s="22" t="s">
        <v>113</v>
      </c>
      <c r="L3" s="22" t="s">
        <v>114</v>
      </c>
      <c r="M3" s="25" t="s">
        <v>115</v>
      </c>
      <c r="N3" s="23" t="s">
        <v>111</v>
      </c>
      <c r="O3" s="24" t="s">
        <v>112</v>
      </c>
      <c r="P3" s="22" t="s">
        <v>113</v>
      </c>
      <c r="Q3" s="22" t="s">
        <v>114</v>
      </c>
      <c r="R3" s="25" t="s">
        <v>115</v>
      </c>
      <c r="S3" s="23" t="s">
        <v>111</v>
      </c>
      <c r="T3" s="24" t="s">
        <v>112</v>
      </c>
      <c r="U3" s="22" t="s">
        <v>113</v>
      </c>
      <c r="V3" s="22" t="s">
        <v>114</v>
      </c>
      <c r="W3" s="25" t="s">
        <v>115</v>
      </c>
      <c r="X3" s="23" t="s">
        <v>111</v>
      </c>
      <c r="Y3" s="24" t="s">
        <v>112</v>
      </c>
      <c r="Z3" s="22" t="s">
        <v>113</v>
      </c>
      <c r="AA3" s="22" t="s">
        <v>114</v>
      </c>
      <c r="AB3" s="25" t="s">
        <v>115</v>
      </c>
      <c r="AC3" s="23" t="s">
        <v>111</v>
      </c>
      <c r="AD3" s="24" t="s">
        <v>112</v>
      </c>
      <c r="AE3" s="22" t="s">
        <v>113</v>
      </c>
      <c r="AF3" s="22" t="s">
        <v>114</v>
      </c>
      <c r="AG3" s="25" t="s">
        <v>115</v>
      </c>
      <c r="AH3" s="23" t="s">
        <v>111</v>
      </c>
      <c r="AI3" s="24" t="s">
        <v>112</v>
      </c>
      <c r="AJ3" s="22" t="s">
        <v>113</v>
      </c>
      <c r="AK3" s="22" t="s">
        <v>114</v>
      </c>
      <c r="AL3" s="25" t="s">
        <v>115</v>
      </c>
      <c r="AM3" s="23" t="s">
        <v>111</v>
      </c>
      <c r="AN3" s="24" t="s">
        <v>112</v>
      </c>
      <c r="AO3" s="22" t="s">
        <v>113</v>
      </c>
      <c r="AP3" s="22" t="s">
        <v>114</v>
      </c>
      <c r="AQ3" s="25" t="s">
        <v>115</v>
      </c>
      <c r="AR3" s="23" t="s">
        <v>111</v>
      </c>
      <c r="AS3" s="24" t="s">
        <v>112</v>
      </c>
      <c r="AT3" s="22" t="s">
        <v>113</v>
      </c>
      <c r="AU3" s="22" t="s">
        <v>114</v>
      </c>
      <c r="AV3" s="25" t="s">
        <v>115</v>
      </c>
      <c r="AW3" s="23" t="s">
        <v>111</v>
      </c>
      <c r="AX3" s="24" t="s">
        <v>112</v>
      </c>
      <c r="AY3" s="22" t="s">
        <v>113</v>
      </c>
      <c r="AZ3" s="22" t="s">
        <v>114</v>
      </c>
      <c r="BA3" s="25" t="s">
        <v>115</v>
      </c>
      <c r="BB3" s="23" t="s">
        <v>111</v>
      </c>
      <c r="BC3" s="24" t="s">
        <v>112</v>
      </c>
      <c r="BD3" s="22" t="s">
        <v>113</v>
      </c>
      <c r="BE3" s="22" t="s">
        <v>114</v>
      </c>
      <c r="BF3" s="25" t="s">
        <v>115</v>
      </c>
      <c r="BG3" s="23" t="s">
        <v>111</v>
      </c>
      <c r="BH3" s="24" t="s">
        <v>112</v>
      </c>
      <c r="BI3" s="22" t="s">
        <v>113</v>
      </c>
      <c r="BJ3" s="22" t="s">
        <v>114</v>
      </c>
      <c r="BK3" s="25" t="s">
        <v>115</v>
      </c>
      <c r="BL3" s="23" t="s">
        <v>111</v>
      </c>
      <c r="BM3" s="24" t="s">
        <v>112</v>
      </c>
      <c r="BN3" s="22" t="s">
        <v>113</v>
      </c>
      <c r="BO3" s="22" t="s">
        <v>114</v>
      </c>
      <c r="BP3" s="25" t="s">
        <v>115</v>
      </c>
      <c r="BQ3" s="23" t="s">
        <v>111</v>
      </c>
      <c r="BR3" s="24" t="s">
        <v>112</v>
      </c>
      <c r="BS3" s="22" t="s">
        <v>113</v>
      </c>
      <c r="BT3" s="22" t="s">
        <v>114</v>
      </c>
      <c r="BU3" s="25" t="s">
        <v>115</v>
      </c>
      <c r="BV3" s="23" t="s">
        <v>111</v>
      </c>
      <c r="BW3" s="24" t="s">
        <v>112</v>
      </c>
      <c r="BX3" s="22" t="s">
        <v>113</v>
      </c>
      <c r="BY3" s="22" t="s">
        <v>114</v>
      </c>
      <c r="BZ3" s="25" t="s">
        <v>115</v>
      </c>
      <c r="CA3" s="23" t="s">
        <v>111</v>
      </c>
      <c r="CB3" s="24" t="s">
        <v>112</v>
      </c>
      <c r="CC3" s="22" t="s">
        <v>113</v>
      </c>
      <c r="CD3" s="22" t="s">
        <v>114</v>
      </c>
      <c r="CE3" s="25" t="s">
        <v>115</v>
      </c>
      <c r="CF3" s="23" t="s">
        <v>111</v>
      </c>
      <c r="CG3" s="24" t="s">
        <v>112</v>
      </c>
      <c r="CH3" s="22" t="s">
        <v>113</v>
      </c>
      <c r="CI3" s="22" t="s">
        <v>114</v>
      </c>
      <c r="CJ3" s="25" t="s">
        <v>115</v>
      </c>
      <c r="CK3" s="23" t="s">
        <v>111</v>
      </c>
      <c r="CL3" s="24" t="s">
        <v>112</v>
      </c>
      <c r="CM3" s="22" t="s">
        <v>113</v>
      </c>
      <c r="CN3" s="22" t="s">
        <v>114</v>
      </c>
      <c r="CO3" s="25" t="s">
        <v>115</v>
      </c>
      <c r="CP3" s="23" t="s">
        <v>111</v>
      </c>
      <c r="CQ3" s="24" t="s">
        <v>112</v>
      </c>
      <c r="CR3" s="22" t="s">
        <v>113</v>
      </c>
      <c r="CS3" s="22" t="s">
        <v>114</v>
      </c>
      <c r="CT3" s="25" t="s">
        <v>115</v>
      </c>
      <c r="CU3" s="23" t="s">
        <v>111</v>
      </c>
      <c r="CV3" s="24" t="s">
        <v>112</v>
      </c>
      <c r="CW3" s="22" t="s">
        <v>113</v>
      </c>
      <c r="CX3" s="22" t="s">
        <v>114</v>
      </c>
      <c r="CY3" s="25" t="s">
        <v>115</v>
      </c>
      <c r="CZ3" s="23" t="s">
        <v>111</v>
      </c>
      <c r="DA3" s="24" t="s">
        <v>112</v>
      </c>
      <c r="DB3" s="22" t="s">
        <v>113</v>
      </c>
      <c r="DC3" s="22" t="s">
        <v>114</v>
      </c>
      <c r="DD3" s="25" t="s">
        <v>115</v>
      </c>
      <c r="DE3" s="23" t="s">
        <v>111</v>
      </c>
      <c r="DF3" s="24" t="s">
        <v>112</v>
      </c>
      <c r="DG3" s="22" t="s">
        <v>113</v>
      </c>
      <c r="DH3" s="22" t="s">
        <v>114</v>
      </c>
      <c r="DI3" s="25" t="s">
        <v>115</v>
      </c>
      <c r="DJ3" s="23" t="s">
        <v>111</v>
      </c>
      <c r="DK3" s="24" t="s">
        <v>112</v>
      </c>
      <c r="DL3" s="22" t="s">
        <v>113</v>
      </c>
      <c r="DM3" s="22" t="s">
        <v>114</v>
      </c>
      <c r="DN3" s="25" t="s">
        <v>115</v>
      </c>
      <c r="DO3" s="23" t="s">
        <v>111</v>
      </c>
      <c r="DP3" s="24" t="s">
        <v>112</v>
      </c>
      <c r="DQ3" s="22" t="s">
        <v>113</v>
      </c>
      <c r="DR3" s="22" t="s">
        <v>114</v>
      </c>
      <c r="DS3" s="25" t="s">
        <v>115</v>
      </c>
      <c r="DT3" s="23" t="s">
        <v>111</v>
      </c>
      <c r="DU3" s="24" t="s">
        <v>112</v>
      </c>
      <c r="DV3" s="22" t="s">
        <v>113</v>
      </c>
      <c r="DW3" s="22" t="s">
        <v>114</v>
      </c>
      <c r="DX3" s="25" t="s">
        <v>115</v>
      </c>
      <c r="DY3" s="23" t="s">
        <v>111</v>
      </c>
      <c r="DZ3" s="24" t="s">
        <v>112</v>
      </c>
      <c r="EA3" s="22" t="s">
        <v>113</v>
      </c>
      <c r="EB3" s="22" t="s">
        <v>114</v>
      </c>
      <c r="EC3" s="25" t="s">
        <v>115</v>
      </c>
      <c r="ED3" s="23" t="s">
        <v>111</v>
      </c>
      <c r="EE3" s="24" t="s">
        <v>112</v>
      </c>
      <c r="EF3" s="22" t="s">
        <v>113</v>
      </c>
      <c r="EG3" s="22" t="s">
        <v>114</v>
      </c>
      <c r="EH3" s="25" t="s">
        <v>115</v>
      </c>
      <c r="EI3" s="23" t="s">
        <v>111</v>
      </c>
      <c r="EJ3" s="24" t="s">
        <v>112</v>
      </c>
      <c r="EK3" s="22" t="s">
        <v>113</v>
      </c>
      <c r="EL3" s="22" t="s">
        <v>114</v>
      </c>
      <c r="EM3" s="25" t="s">
        <v>115</v>
      </c>
      <c r="EN3" s="23" t="s">
        <v>111</v>
      </c>
      <c r="EO3" s="24" t="s">
        <v>112</v>
      </c>
      <c r="EP3" s="22" t="s">
        <v>113</v>
      </c>
      <c r="EQ3" s="22" t="s">
        <v>114</v>
      </c>
      <c r="ER3" s="25" t="s">
        <v>115</v>
      </c>
      <c r="ES3" s="23" t="s">
        <v>111</v>
      </c>
      <c r="ET3" s="24" t="s">
        <v>112</v>
      </c>
      <c r="EU3" s="22" t="s">
        <v>113</v>
      </c>
      <c r="EV3" s="22" t="s">
        <v>114</v>
      </c>
      <c r="EW3" s="25" t="s">
        <v>115</v>
      </c>
    </row>
    <row r="4" spans="1:153" ht="19.5" customHeight="1">
      <c r="A4" s="26">
        <f>IF(DAY(DATE(対象年度,7,1))&lt;&gt;1,"",1)</f>
        <v>1</v>
      </c>
      <c r="B4" s="26" t="str">
        <f>IF(DAY(DATE(対象年度,7,1))&lt;&gt;1,"",CHOOSE(WEEKDAY(DATE(対象年度,7,1),2),"月","火","水","木","金","土","日"))</f>
        <v>水</v>
      </c>
      <c r="C4" s="26" t="str">
        <f>IF(DAY(DATE(対象年度,7,1))&lt;&gt;1,"",IF(ISNUMBER(MATCH(DATE(対象年度,7,1),祝日リスト,0)),"祝",""))</f>
        <v/>
      </c>
      <c r="D4" s="27"/>
      <c r="E4" s="28"/>
      <c r="F4" s="29" t="str">
        <f t="shared" ref="F4:F34" si="0">IF(D4="","",IF(ISNUMBER(SEARCH("夜勤",D4)),"",IF(A4="","","○")))</f>
        <v/>
      </c>
      <c r="G4" s="30" t="str">
        <f t="shared" ref="G4:G34" si="1">IF(A4="","",IF(OR(AND(E4&lt;&gt;"",NOT(OR(E4="有給",E4="休業"))),ISNUMBER(SEARCH("夜勤",D4))),"○",""))</f>
        <v/>
      </c>
      <c r="H4" s="31"/>
      <c r="I4" s="27"/>
      <c r="J4" s="28"/>
      <c r="K4" s="29" t="str">
        <f t="shared" ref="K4:K34" si="2">IF(I4="","",IF(ISNUMBER(SEARCH("夜勤",I4)),"",IF(A4="","","○")))</f>
        <v/>
      </c>
      <c r="L4" s="30" t="str">
        <f t="shared" ref="L4:L34" si="3">IF(A4="","",IF(OR(AND(J4&lt;&gt;"",NOT(OR(J4="有給",J4="休業"))),ISNUMBER(SEARCH("夜勤",I4))),"○",""))</f>
        <v/>
      </c>
      <c r="M4" s="31"/>
      <c r="N4" s="27"/>
      <c r="O4" s="28"/>
      <c r="P4" s="29" t="str">
        <f t="shared" ref="P4:P34" si="4">IF(N4="","",IF(ISNUMBER(SEARCH("夜勤",N4)),"",IF(A4="","","○")))</f>
        <v/>
      </c>
      <c r="Q4" s="30" t="str">
        <f t="shared" ref="Q4:Q34" si="5">IF(A4="","",IF(OR(AND(O4&lt;&gt;"",NOT(OR(O4="有給",O4="休業"))),ISNUMBER(SEARCH("夜勤",N4))),"○",""))</f>
        <v/>
      </c>
      <c r="R4" s="31"/>
      <c r="S4" s="27"/>
      <c r="T4" s="28"/>
      <c r="U4" s="29" t="str">
        <f t="shared" ref="U4:U34" si="6">IF(S4="","",IF(ISNUMBER(SEARCH("夜勤",S4)),"",IF(A4="","","○")))</f>
        <v/>
      </c>
      <c r="V4" s="30" t="str">
        <f t="shared" ref="V4:V34" si="7">IF(A4="","",IF(OR(AND(T4&lt;&gt;"",NOT(OR(T4="有給",T4="休業"))),ISNUMBER(SEARCH("夜勤",S4))),"○",""))</f>
        <v/>
      </c>
      <c r="W4" s="31"/>
      <c r="X4" s="27"/>
      <c r="Y4" s="28"/>
      <c r="Z4" s="29" t="str">
        <f t="shared" ref="Z4:Z34" si="8">IF(X4="","",IF(ISNUMBER(SEARCH("夜勤",X4)),"",IF(A4="","","○")))</f>
        <v/>
      </c>
      <c r="AA4" s="30" t="str">
        <f t="shared" ref="AA4:AA34" si="9">IF(A4="","",IF(OR(AND(Y4&lt;&gt;"",NOT(OR(Y4="有給",Y4="休業"))),ISNUMBER(SEARCH("夜勤",X4))),"○",""))</f>
        <v/>
      </c>
      <c r="AB4" s="31"/>
      <c r="AC4" s="27"/>
      <c r="AD4" s="28"/>
      <c r="AE4" s="29" t="str">
        <f t="shared" ref="AE4:AE34" si="10">IF(AC4="","",IF(ISNUMBER(SEARCH("夜勤",AC4)),"",IF(A4="","","○")))</f>
        <v/>
      </c>
      <c r="AF4" s="30" t="str">
        <f t="shared" ref="AF4:AF34" si="11">IF(A4="","",IF(OR(AND(AD4&lt;&gt;"",NOT(OR(AD4="有給",AD4="休業"))),ISNUMBER(SEARCH("夜勤",AC4))),"○",""))</f>
        <v/>
      </c>
      <c r="AG4" s="31"/>
      <c r="AH4" s="27"/>
      <c r="AI4" s="28"/>
      <c r="AJ4" s="29" t="str">
        <f t="shared" ref="AJ4:AJ34" si="12">IF(AH4="","",IF(ISNUMBER(SEARCH("夜勤",AH4)),"",IF(A4="","","○")))</f>
        <v/>
      </c>
      <c r="AK4" s="30" t="str">
        <f t="shared" ref="AK4:AK34" si="13">IF(A4="","",IF(OR(AND(AI4&lt;&gt;"",NOT(OR(AI4="有給",AI4="休業"))),ISNUMBER(SEARCH("夜勤",AH4))),"○",""))</f>
        <v/>
      </c>
      <c r="AL4" s="31"/>
      <c r="AM4" s="27"/>
      <c r="AN4" s="28"/>
      <c r="AO4" s="29" t="str">
        <f t="shared" ref="AO4:AO34" si="14">IF(AM4="","",IF(ISNUMBER(SEARCH("夜勤",AM4)),"",IF(A4="","","○")))</f>
        <v/>
      </c>
      <c r="AP4" s="30" t="str">
        <f t="shared" ref="AP4:AP34" si="15">IF(A4="","",IF(OR(AND(AN4&lt;&gt;"",NOT(OR(AN4="有給",AN4="休業"))),ISNUMBER(SEARCH("夜勤",AM4))),"○",""))</f>
        <v/>
      </c>
      <c r="AQ4" s="31"/>
      <c r="AR4" s="27"/>
      <c r="AS4" s="28"/>
      <c r="AT4" s="29" t="str">
        <f t="shared" ref="AT4:AT34" si="16">IF(AR4="","",IF(ISNUMBER(SEARCH("夜勤",AR4)),"",IF(A4="","","○")))</f>
        <v/>
      </c>
      <c r="AU4" s="30" t="str">
        <f t="shared" ref="AU4:AU34" si="17">IF(A4="","",IF(OR(AND(AS4&lt;&gt;"",NOT(OR(AS4="有給",AS4="休業"))),ISNUMBER(SEARCH("夜勤",AR4))),"○",""))</f>
        <v/>
      </c>
      <c r="AV4" s="31"/>
      <c r="AW4" s="27"/>
      <c r="AX4" s="28"/>
      <c r="AY4" s="29" t="str">
        <f t="shared" ref="AY4:AY34" si="18">IF(AW4="","",IF(ISNUMBER(SEARCH("夜勤",AW4)),"",IF(A4="","","○")))</f>
        <v/>
      </c>
      <c r="AZ4" s="30" t="str">
        <f t="shared" ref="AZ4:AZ34" si="19">IF(A4="","",IF(OR(AND(AX4&lt;&gt;"",NOT(OR(AX4="有給",AX4="休業"))),ISNUMBER(SEARCH("夜勤",AW4))),"○",""))</f>
        <v/>
      </c>
      <c r="BA4" s="31"/>
      <c r="BB4" s="27"/>
      <c r="BC4" s="28"/>
      <c r="BD4" s="29" t="str">
        <f t="shared" ref="BD4:BD34" si="20">IF(BB4="","",IF(ISNUMBER(SEARCH("夜勤",BB4)),"",IF(A4="","","○")))</f>
        <v/>
      </c>
      <c r="BE4" s="30" t="str">
        <f t="shared" ref="BE4:BE34" si="21">IF(A4="","",IF(OR(AND(BC4&lt;&gt;"",NOT(OR(BC4="有給",BC4="休業"))),ISNUMBER(SEARCH("夜勤",BB4))),"○",""))</f>
        <v/>
      </c>
      <c r="BF4" s="31"/>
      <c r="BG4" s="27"/>
      <c r="BH4" s="28"/>
      <c r="BI4" s="29" t="str">
        <f t="shared" ref="BI4:BI34" si="22">IF(BG4="","",IF(ISNUMBER(SEARCH("夜勤",BG4)),"",IF(A4="","","○")))</f>
        <v/>
      </c>
      <c r="BJ4" s="30" t="str">
        <f t="shared" ref="BJ4:BJ34" si="23">IF(A4="","",IF(OR(AND(BH4&lt;&gt;"",NOT(OR(BH4="有給",BH4="休業"))),ISNUMBER(SEARCH("夜勤",BG4))),"○",""))</f>
        <v/>
      </c>
      <c r="BK4" s="31"/>
      <c r="BL4" s="27"/>
      <c r="BM4" s="28"/>
      <c r="BN4" s="29" t="str">
        <f t="shared" ref="BN4:BN34" si="24">IF(BL4="","",IF(ISNUMBER(SEARCH("夜勤",BL4)),"",IF(A4="","","○")))</f>
        <v/>
      </c>
      <c r="BO4" s="30" t="str">
        <f t="shared" ref="BO4:BO34" si="25">IF(A4="","",IF(OR(AND(BM4&lt;&gt;"",NOT(OR(BM4="有給",BM4="休業"))),ISNUMBER(SEARCH("夜勤",BL4))),"○",""))</f>
        <v/>
      </c>
      <c r="BP4" s="31"/>
      <c r="BQ4" s="27"/>
      <c r="BR4" s="28"/>
      <c r="BS4" s="29" t="str">
        <f t="shared" ref="BS4:BS34" si="26">IF(BQ4="","",IF(ISNUMBER(SEARCH("夜勤",BQ4)),"",IF(A4="","","○")))</f>
        <v/>
      </c>
      <c r="BT4" s="30" t="str">
        <f t="shared" ref="BT4:BT34" si="27">IF(A4="","",IF(OR(AND(BR4&lt;&gt;"",NOT(OR(BR4="有給",BR4="休業"))),ISNUMBER(SEARCH("夜勤",BQ4))),"○",""))</f>
        <v/>
      </c>
      <c r="BU4" s="31"/>
      <c r="BV4" s="27"/>
      <c r="BW4" s="28"/>
      <c r="BX4" s="29" t="str">
        <f t="shared" ref="BX4:BX34" si="28">IF(BV4="","",IF(ISNUMBER(SEARCH("夜勤",BV4)),"",IF(A4="","","○")))</f>
        <v/>
      </c>
      <c r="BY4" s="30" t="str">
        <f t="shared" ref="BY4:BY34" si="29">IF(A4="","",IF(OR(AND(BW4&lt;&gt;"",NOT(OR(BW4="有給",BW4="休業"))),ISNUMBER(SEARCH("夜勤",BV4))),"○",""))</f>
        <v/>
      </c>
      <c r="BZ4" s="31"/>
      <c r="CA4" s="27"/>
      <c r="CB4" s="28"/>
      <c r="CC4" s="29" t="str">
        <f t="shared" ref="CC4:CC34" si="30">IF(CA4="","",IF(ISNUMBER(SEARCH("夜勤",CA4)),"",IF(A4="","","○")))</f>
        <v/>
      </c>
      <c r="CD4" s="30" t="str">
        <f t="shared" ref="CD4:CD34" si="31">IF(A4="","",IF(OR(AND(CB4&lt;&gt;"",NOT(OR(CB4="有給",CB4="休業"))),ISNUMBER(SEARCH("夜勤",CA4))),"○",""))</f>
        <v/>
      </c>
      <c r="CE4" s="31"/>
      <c r="CF4" s="27"/>
      <c r="CG4" s="28"/>
      <c r="CH4" s="29" t="str">
        <f t="shared" ref="CH4:CH34" si="32">IF(CF4="","",IF(ISNUMBER(SEARCH("夜勤",CF4)),"",IF(A4="","","○")))</f>
        <v/>
      </c>
      <c r="CI4" s="30" t="str">
        <f t="shared" ref="CI4:CI34" si="33">IF(A4="","",IF(OR(AND(CG4&lt;&gt;"",NOT(OR(CG4="有給",CG4="休業"))),ISNUMBER(SEARCH("夜勤",CF4))),"○",""))</f>
        <v/>
      </c>
      <c r="CJ4" s="31"/>
      <c r="CK4" s="27"/>
      <c r="CL4" s="28"/>
      <c r="CM4" s="29" t="str">
        <f t="shared" ref="CM4:CM34" si="34">IF(CK4="","",IF(ISNUMBER(SEARCH("夜勤",CK4)),"",IF(A4="","","○")))</f>
        <v/>
      </c>
      <c r="CN4" s="30" t="str">
        <f t="shared" ref="CN4:CN34" si="35">IF(A4="","",IF(OR(AND(CL4&lt;&gt;"",NOT(OR(CL4="有給",CL4="休業"))),ISNUMBER(SEARCH("夜勤",CK4))),"○",""))</f>
        <v/>
      </c>
      <c r="CO4" s="31"/>
      <c r="CP4" s="27"/>
      <c r="CQ4" s="28"/>
      <c r="CR4" s="29" t="str">
        <f t="shared" ref="CR4:CR34" si="36">IF(CP4="","",IF(ISNUMBER(SEARCH("夜勤",CP4)),"",IF(A4="","","○")))</f>
        <v/>
      </c>
      <c r="CS4" s="30" t="str">
        <f t="shared" ref="CS4:CS34" si="37">IF(A4="","",IF(OR(AND(CQ4&lt;&gt;"",NOT(OR(CQ4="有給",CQ4="休業"))),ISNUMBER(SEARCH("夜勤",CP4))),"○",""))</f>
        <v/>
      </c>
      <c r="CT4" s="31"/>
      <c r="CU4" s="27"/>
      <c r="CV4" s="28"/>
      <c r="CW4" s="29" t="str">
        <f t="shared" ref="CW4:CW34" si="38">IF(CU4="","",IF(ISNUMBER(SEARCH("夜勤",CU4)),"",IF(A4="","","○")))</f>
        <v/>
      </c>
      <c r="CX4" s="30" t="str">
        <f t="shared" ref="CX4:CX34" si="39">IF(A4="","",IF(OR(AND(CV4&lt;&gt;"",NOT(OR(CV4="有給",CV4="休業"))),ISNUMBER(SEARCH("夜勤",CU4))),"○",""))</f>
        <v/>
      </c>
      <c r="CY4" s="31"/>
      <c r="CZ4" s="27"/>
      <c r="DA4" s="28"/>
      <c r="DB4" s="29" t="str">
        <f t="shared" ref="DB4:DB34" si="40">IF(CZ4="","",IF(ISNUMBER(SEARCH("夜勤",CZ4)),"",IF(A4="","","○")))</f>
        <v/>
      </c>
      <c r="DC4" s="30" t="str">
        <f t="shared" ref="DC4:DC34" si="41">IF(A4="","",IF(OR(AND(DA4&lt;&gt;"",NOT(OR(DA4="有給",DA4="休業"))),ISNUMBER(SEARCH("夜勤",CZ4))),"○",""))</f>
        <v/>
      </c>
      <c r="DD4" s="31"/>
      <c r="DE4" s="27"/>
      <c r="DF4" s="28"/>
      <c r="DG4" s="29" t="str">
        <f t="shared" ref="DG4:DG34" si="42">IF(DE4="","",IF(ISNUMBER(SEARCH("夜勤",DE4)),"",IF(A4="","","○")))</f>
        <v/>
      </c>
      <c r="DH4" s="30" t="str">
        <f t="shared" ref="DH4:DH34" si="43">IF(A4="","",IF(OR(AND(DF4&lt;&gt;"",NOT(OR(DF4="有給",DF4="休業"))),ISNUMBER(SEARCH("夜勤",DE4))),"○",""))</f>
        <v/>
      </c>
      <c r="DI4" s="31"/>
      <c r="DJ4" s="27"/>
      <c r="DK4" s="28"/>
      <c r="DL4" s="29" t="str">
        <f t="shared" ref="DL4:DL34" si="44">IF(DJ4="","",IF(ISNUMBER(SEARCH("夜勤",DJ4)),"",IF(A4="","","○")))</f>
        <v/>
      </c>
      <c r="DM4" s="30" t="str">
        <f t="shared" ref="DM4:DM34" si="45">IF(A4="","",IF(OR(AND(DK4&lt;&gt;"",NOT(OR(DK4="有給",DK4="休業"))),ISNUMBER(SEARCH("夜勤",DJ4))),"○",""))</f>
        <v/>
      </c>
      <c r="DN4" s="31"/>
      <c r="DO4" s="27"/>
      <c r="DP4" s="28"/>
      <c r="DQ4" s="29" t="str">
        <f t="shared" ref="DQ4:DQ34" si="46">IF(DO4="","",IF(ISNUMBER(SEARCH("夜勤",DO4)),"",IF(A4="","","○")))</f>
        <v/>
      </c>
      <c r="DR4" s="30" t="str">
        <f t="shared" ref="DR4:DR34" si="47">IF(A4="","",IF(OR(AND(DP4&lt;&gt;"",NOT(OR(DP4="有給",DP4="休業"))),ISNUMBER(SEARCH("夜勤",DO4))),"○",""))</f>
        <v/>
      </c>
      <c r="DS4" s="31"/>
      <c r="DT4" s="27"/>
      <c r="DU4" s="28"/>
      <c r="DV4" s="29" t="str">
        <f t="shared" ref="DV4:DV34" si="48">IF(DT4="","",IF(ISNUMBER(SEARCH("夜勤",DT4)),"",IF(A4="","","○")))</f>
        <v/>
      </c>
      <c r="DW4" s="30" t="str">
        <f t="shared" ref="DW4:DW34" si="49">IF(A4="","",IF(OR(AND(DU4&lt;&gt;"",NOT(OR(DU4="有給",DU4="休業"))),ISNUMBER(SEARCH("夜勤",DT4))),"○",""))</f>
        <v/>
      </c>
      <c r="DX4" s="31"/>
      <c r="DY4" s="27"/>
      <c r="DZ4" s="28"/>
      <c r="EA4" s="29" t="str">
        <f t="shared" ref="EA4:EA34" si="50">IF(DY4="","",IF(ISNUMBER(SEARCH("夜勤",DY4)),"",IF(A4="","","○")))</f>
        <v/>
      </c>
      <c r="EB4" s="30" t="str">
        <f t="shared" ref="EB4:EB34" si="51">IF(A4="","",IF(OR(AND(DZ4&lt;&gt;"",NOT(OR(DZ4="有給",DZ4="休業"))),ISNUMBER(SEARCH("夜勤",DY4))),"○",""))</f>
        <v/>
      </c>
      <c r="EC4" s="31"/>
      <c r="ED4" s="27"/>
      <c r="EE4" s="28"/>
      <c r="EF4" s="29" t="str">
        <f t="shared" ref="EF4:EF34" si="52">IF(ED4="","",IF(ISNUMBER(SEARCH("夜勤",ED4)),"",IF(A4="","","○")))</f>
        <v/>
      </c>
      <c r="EG4" s="30" t="str">
        <f t="shared" ref="EG4:EG34" si="53">IF(A4="","",IF(OR(AND(EE4&lt;&gt;"",NOT(OR(EE4="有給",EE4="休業"))),ISNUMBER(SEARCH("夜勤",ED4))),"○",""))</f>
        <v/>
      </c>
      <c r="EH4" s="31"/>
      <c r="EI4" s="27"/>
      <c r="EJ4" s="28"/>
      <c r="EK4" s="29" t="str">
        <f t="shared" ref="EK4:EK34" si="54">IF(EI4="","",IF(ISNUMBER(SEARCH("夜勤",EI4)),"",IF(A4="","","○")))</f>
        <v/>
      </c>
      <c r="EL4" s="30" t="str">
        <f t="shared" ref="EL4:EL34" si="55">IF(A4="","",IF(OR(AND(EJ4&lt;&gt;"",NOT(OR(EJ4="有給",EJ4="休業"))),ISNUMBER(SEARCH("夜勤",EI4))),"○",""))</f>
        <v/>
      </c>
      <c r="EM4" s="31"/>
      <c r="EN4" s="27"/>
      <c r="EO4" s="28"/>
      <c r="EP4" s="29" t="str">
        <f t="shared" ref="EP4:EP34" si="56">IF(EN4="","",IF(ISNUMBER(SEARCH("夜勤",EN4)),"",IF(A4="","","○")))</f>
        <v/>
      </c>
      <c r="EQ4" s="30" t="str">
        <f t="shared" ref="EQ4:EQ34" si="57">IF(A4="","",IF(OR(AND(EO4&lt;&gt;"",NOT(OR(EO4="有給",EO4="休業"))),ISNUMBER(SEARCH("夜勤",EN4))),"○",""))</f>
        <v/>
      </c>
      <c r="ER4" s="31"/>
      <c r="ES4" s="27"/>
      <c r="ET4" s="28"/>
      <c r="EU4" s="29" t="str">
        <f t="shared" ref="EU4:EU34" si="58">IF(ES4="","",IF(ISNUMBER(SEARCH("夜勤",ES4)),"",IF(A4="","","○")))</f>
        <v/>
      </c>
      <c r="EV4" s="30" t="str">
        <f t="shared" ref="EV4:EV34" si="59">IF(A4="","",IF(OR(AND(ET4&lt;&gt;"",NOT(OR(ET4="有給",ET4="休業"))),ISNUMBER(SEARCH("夜勤",ES4))),"○",""))</f>
        <v/>
      </c>
      <c r="EW4" s="31"/>
    </row>
    <row r="5" spans="1:153" ht="19.5" customHeight="1">
      <c r="A5" s="32">
        <f>IF(DAY(DATE(対象年度,7,2))&lt;&gt;2,"",2)</f>
        <v>2</v>
      </c>
      <c r="B5" s="32" t="str">
        <f>IF(DAY(DATE(対象年度,7,2))&lt;&gt;2,"",CHOOSE(WEEKDAY(DATE(対象年度,7,2),2),"月","火","水","木","金","土","日"))</f>
        <v>木</v>
      </c>
      <c r="C5" s="32" t="str">
        <f>IF(DAY(DATE(対象年度,7,2))&lt;&gt;2,"",IF(ISNUMBER(MATCH(DATE(対象年度,7,2),祝日リスト,0)),"祝",""))</f>
        <v/>
      </c>
      <c r="D5" s="33"/>
      <c r="E5" s="34"/>
      <c r="F5" s="35" t="str">
        <f t="shared" si="0"/>
        <v/>
      </c>
      <c r="G5" s="36" t="str">
        <f t="shared" si="1"/>
        <v/>
      </c>
      <c r="H5" s="37"/>
      <c r="I5" s="33"/>
      <c r="J5" s="34"/>
      <c r="K5" s="35" t="str">
        <f t="shared" si="2"/>
        <v/>
      </c>
      <c r="L5" s="36" t="str">
        <f t="shared" si="3"/>
        <v/>
      </c>
      <c r="M5" s="37"/>
      <c r="N5" s="33"/>
      <c r="O5" s="34"/>
      <c r="P5" s="35" t="str">
        <f t="shared" si="4"/>
        <v/>
      </c>
      <c r="Q5" s="36" t="str">
        <f t="shared" si="5"/>
        <v/>
      </c>
      <c r="R5" s="37"/>
      <c r="S5" s="33"/>
      <c r="T5" s="34"/>
      <c r="U5" s="35" t="str">
        <f t="shared" si="6"/>
        <v/>
      </c>
      <c r="V5" s="36" t="str">
        <f t="shared" si="7"/>
        <v/>
      </c>
      <c r="W5" s="37"/>
      <c r="X5" s="33"/>
      <c r="Y5" s="34"/>
      <c r="Z5" s="35" t="str">
        <f t="shared" si="8"/>
        <v/>
      </c>
      <c r="AA5" s="36" t="str">
        <f t="shared" si="9"/>
        <v/>
      </c>
      <c r="AB5" s="37"/>
      <c r="AC5" s="33"/>
      <c r="AD5" s="34"/>
      <c r="AE5" s="35" t="str">
        <f t="shared" si="10"/>
        <v/>
      </c>
      <c r="AF5" s="36" t="str">
        <f t="shared" si="11"/>
        <v/>
      </c>
      <c r="AG5" s="37"/>
      <c r="AH5" s="33"/>
      <c r="AI5" s="34"/>
      <c r="AJ5" s="35" t="str">
        <f t="shared" si="12"/>
        <v/>
      </c>
      <c r="AK5" s="36" t="str">
        <f t="shared" si="13"/>
        <v/>
      </c>
      <c r="AL5" s="37"/>
      <c r="AM5" s="33"/>
      <c r="AN5" s="34"/>
      <c r="AO5" s="35" t="str">
        <f t="shared" si="14"/>
        <v/>
      </c>
      <c r="AP5" s="36" t="str">
        <f t="shared" si="15"/>
        <v/>
      </c>
      <c r="AQ5" s="37"/>
      <c r="AR5" s="33"/>
      <c r="AS5" s="34"/>
      <c r="AT5" s="35" t="str">
        <f t="shared" si="16"/>
        <v/>
      </c>
      <c r="AU5" s="36" t="str">
        <f t="shared" si="17"/>
        <v/>
      </c>
      <c r="AV5" s="37"/>
      <c r="AW5" s="33"/>
      <c r="AX5" s="34"/>
      <c r="AY5" s="35" t="str">
        <f t="shared" si="18"/>
        <v/>
      </c>
      <c r="AZ5" s="36" t="str">
        <f t="shared" si="19"/>
        <v/>
      </c>
      <c r="BA5" s="37"/>
      <c r="BB5" s="33"/>
      <c r="BC5" s="34"/>
      <c r="BD5" s="35" t="str">
        <f t="shared" si="20"/>
        <v/>
      </c>
      <c r="BE5" s="36" t="str">
        <f t="shared" si="21"/>
        <v/>
      </c>
      <c r="BF5" s="37"/>
      <c r="BG5" s="33"/>
      <c r="BH5" s="34"/>
      <c r="BI5" s="35" t="str">
        <f t="shared" si="22"/>
        <v/>
      </c>
      <c r="BJ5" s="36" t="str">
        <f t="shared" si="23"/>
        <v/>
      </c>
      <c r="BK5" s="37"/>
      <c r="BL5" s="33"/>
      <c r="BM5" s="34"/>
      <c r="BN5" s="35" t="str">
        <f t="shared" si="24"/>
        <v/>
      </c>
      <c r="BO5" s="36" t="str">
        <f t="shared" si="25"/>
        <v/>
      </c>
      <c r="BP5" s="37"/>
      <c r="BQ5" s="33"/>
      <c r="BR5" s="34"/>
      <c r="BS5" s="35" t="str">
        <f t="shared" si="26"/>
        <v/>
      </c>
      <c r="BT5" s="36" t="str">
        <f t="shared" si="27"/>
        <v/>
      </c>
      <c r="BU5" s="37"/>
      <c r="BV5" s="33"/>
      <c r="BW5" s="34"/>
      <c r="BX5" s="35" t="str">
        <f t="shared" si="28"/>
        <v/>
      </c>
      <c r="BY5" s="36" t="str">
        <f t="shared" si="29"/>
        <v/>
      </c>
      <c r="BZ5" s="37"/>
      <c r="CA5" s="33"/>
      <c r="CB5" s="34"/>
      <c r="CC5" s="35" t="str">
        <f t="shared" si="30"/>
        <v/>
      </c>
      <c r="CD5" s="36" t="str">
        <f t="shared" si="31"/>
        <v/>
      </c>
      <c r="CE5" s="37"/>
      <c r="CF5" s="33"/>
      <c r="CG5" s="34"/>
      <c r="CH5" s="35" t="str">
        <f t="shared" si="32"/>
        <v/>
      </c>
      <c r="CI5" s="36" t="str">
        <f t="shared" si="33"/>
        <v/>
      </c>
      <c r="CJ5" s="37"/>
      <c r="CK5" s="33"/>
      <c r="CL5" s="34"/>
      <c r="CM5" s="35" t="str">
        <f t="shared" si="34"/>
        <v/>
      </c>
      <c r="CN5" s="36" t="str">
        <f t="shared" si="35"/>
        <v/>
      </c>
      <c r="CO5" s="37"/>
      <c r="CP5" s="33"/>
      <c r="CQ5" s="34"/>
      <c r="CR5" s="35" t="str">
        <f t="shared" si="36"/>
        <v/>
      </c>
      <c r="CS5" s="36" t="str">
        <f t="shared" si="37"/>
        <v/>
      </c>
      <c r="CT5" s="37"/>
      <c r="CU5" s="33"/>
      <c r="CV5" s="34"/>
      <c r="CW5" s="35" t="str">
        <f t="shared" si="38"/>
        <v/>
      </c>
      <c r="CX5" s="36" t="str">
        <f t="shared" si="39"/>
        <v/>
      </c>
      <c r="CY5" s="37"/>
      <c r="CZ5" s="33"/>
      <c r="DA5" s="34"/>
      <c r="DB5" s="35" t="str">
        <f t="shared" si="40"/>
        <v/>
      </c>
      <c r="DC5" s="36" t="str">
        <f t="shared" si="41"/>
        <v/>
      </c>
      <c r="DD5" s="37"/>
      <c r="DE5" s="33"/>
      <c r="DF5" s="34"/>
      <c r="DG5" s="35" t="str">
        <f t="shared" si="42"/>
        <v/>
      </c>
      <c r="DH5" s="36" t="str">
        <f t="shared" si="43"/>
        <v/>
      </c>
      <c r="DI5" s="37"/>
      <c r="DJ5" s="33"/>
      <c r="DK5" s="34"/>
      <c r="DL5" s="35" t="str">
        <f t="shared" si="44"/>
        <v/>
      </c>
      <c r="DM5" s="36" t="str">
        <f t="shared" si="45"/>
        <v/>
      </c>
      <c r="DN5" s="37"/>
      <c r="DO5" s="33"/>
      <c r="DP5" s="34"/>
      <c r="DQ5" s="35" t="str">
        <f t="shared" si="46"/>
        <v/>
      </c>
      <c r="DR5" s="36" t="str">
        <f t="shared" si="47"/>
        <v/>
      </c>
      <c r="DS5" s="37"/>
      <c r="DT5" s="33"/>
      <c r="DU5" s="34"/>
      <c r="DV5" s="35" t="str">
        <f t="shared" si="48"/>
        <v/>
      </c>
      <c r="DW5" s="36" t="str">
        <f t="shared" si="49"/>
        <v/>
      </c>
      <c r="DX5" s="37"/>
      <c r="DY5" s="33"/>
      <c r="DZ5" s="34"/>
      <c r="EA5" s="35" t="str">
        <f t="shared" si="50"/>
        <v/>
      </c>
      <c r="EB5" s="36" t="str">
        <f t="shared" si="51"/>
        <v/>
      </c>
      <c r="EC5" s="37"/>
      <c r="ED5" s="33"/>
      <c r="EE5" s="34"/>
      <c r="EF5" s="35" t="str">
        <f t="shared" si="52"/>
        <v/>
      </c>
      <c r="EG5" s="36" t="str">
        <f t="shared" si="53"/>
        <v/>
      </c>
      <c r="EH5" s="37"/>
      <c r="EI5" s="33"/>
      <c r="EJ5" s="34"/>
      <c r="EK5" s="35" t="str">
        <f t="shared" si="54"/>
        <v/>
      </c>
      <c r="EL5" s="36" t="str">
        <f t="shared" si="55"/>
        <v/>
      </c>
      <c r="EM5" s="37"/>
      <c r="EN5" s="33"/>
      <c r="EO5" s="34"/>
      <c r="EP5" s="35" t="str">
        <f t="shared" si="56"/>
        <v/>
      </c>
      <c r="EQ5" s="36" t="str">
        <f t="shared" si="57"/>
        <v/>
      </c>
      <c r="ER5" s="37"/>
      <c r="ES5" s="33"/>
      <c r="ET5" s="34"/>
      <c r="EU5" s="35" t="str">
        <f t="shared" si="58"/>
        <v/>
      </c>
      <c r="EV5" s="36" t="str">
        <f t="shared" si="59"/>
        <v/>
      </c>
      <c r="EW5" s="37"/>
    </row>
    <row r="6" spans="1:153" ht="19.5" customHeight="1">
      <c r="A6" s="32">
        <f>IF(DAY(DATE(対象年度,7,3))&lt;&gt;3,"",3)</f>
        <v>3</v>
      </c>
      <c r="B6" s="32" t="str">
        <f>IF(DAY(DATE(対象年度,7,3))&lt;&gt;3,"",CHOOSE(WEEKDAY(DATE(対象年度,7,3),2),"月","火","水","木","金","土","日"))</f>
        <v>金</v>
      </c>
      <c r="C6" s="32" t="str">
        <f>IF(DAY(DATE(対象年度,7,3))&lt;&gt;3,"",IF(ISNUMBER(MATCH(DATE(対象年度,7,3),祝日リスト,0)),"祝",""))</f>
        <v/>
      </c>
      <c r="D6" s="33"/>
      <c r="E6" s="34"/>
      <c r="F6" s="35" t="str">
        <f t="shared" si="0"/>
        <v/>
      </c>
      <c r="G6" s="36" t="str">
        <f t="shared" si="1"/>
        <v/>
      </c>
      <c r="H6" s="37"/>
      <c r="I6" s="33"/>
      <c r="J6" s="34"/>
      <c r="K6" s="35" t="str">
        <f t="shared" si="2"/>
        <v/>
      </c>
      <c r="L6" s="36" t="str">
        <f t="shared" si="3"/>
        <v/>
      </c>
      <c r="M6" s="37"/>
      <c r="N6" s="33"/>
      <c r="O6" s="34"/>
      <c r="P6" s="35" t="str">
        <f t="shared" si="4"/>
        <v/>
      </c>
      <c r="Q6" s="36" t="str">
        <f t="shared" si="5"/>
        <v/>
      </c>
      <c r="R6" s="37"/>
      <c r="S6" s="33"/>
      <c r="T6" s="34"/>
      <c r="U6" s="35" t="str">
        <f t="shared" si="6"/>
        <v/>
      </c>
      <c r="V6" s="36" t="str">
        <f t="shared" si="7"/>
        <v/>
      </c>
      <c r="W6" s="37"/>
      <c r="X6" s="33"/>
      <c r="Y6" s="34"/>
      <c r="Z6" s="35" t="str">
        <f t="shared" si="8"/>
        <v/>
      </c>
      <c r="AA6" s="36" t="str">
        <f t="shared" si="9"/>
        <v/>
      </c>
      <c r="AB6" s="37"/>
      <c r="AC6" s="33"/>
      <c r="AD6" s="34"/>
      <c r="AE6" s="35" t="str">
        <f t="shared" si="10"/>
        <v/>
      </c>
      <c r="AF6" s="36" t="str">
        <f t="shared" si="11"/>
        <v/>
      </c>
      <c r="AG6" s="37"/>
      <c r="AH6" s="33"/>
      <c r="AI6" s="34"/>
      <c r="AJ6" s="35" t="str">
        <f t="shared" si="12"/>
        <v/>
      </c>
      <c r="AK6" s="36" t="str">
        <f t="shared" si="13"/>
        <v/>
      </c>
      <c r="AL6" s="37"/>
      <c r="AM6" s="33"/>
      <c r="AN6" s="34"/>
      <c r="AO6" s="35" t="str">
        <f t="shared" si="14"/>
        <v/>
      </c>
      <c r="AP6" s="36" t="str">
        <f t="shared" si="15"/>
        <v/>
      </c>
      <c r="AQ6" s="37"/>
      <c r="AR6" s="33"/>
      <c r="AS6" s="34"/>
      <c r="AT6" s="35" t="str">
        <f t="shared" si="16"/>
        <v/>
      </c>
      <c r="AU6" s="36" t="str">
        <f t="shared" si="17"/>
        <v/>
      </c>
      <c r="AV6" s="37"/>
      <c r="AW6" s="33"/>
      <c r="AX6" s="34"/>
      <c r="AY6" s="35" t="str">
        <f t="shared" si="18"/>
        <v/>
      </c>
      <c r="AZ6" s="36" t="str">
        <f t="shared" si="19"/>
        <v/>
      </c>
      <c r="BA6" s="37"/>
      <c r="BB6" s="33"/>
      <c r="BC6" s="34"/>
      <c r="BD6" s="35" t="str">
        <f t="shared" si="20"/>
        <v/>
      </c>
      <c r="BE6" s="36" t="str">
        <f t="shared" si="21"/>
        <v/>
      </c>
      <c r="BF6" s="37"/>
      <c r="BG6" s="33"/>
      <c r="BH6" s="34"/>
      <c r="BI6" s="35" t="str">
        <f t="shared" si="22"/>
        <v/>
      </c>
      <c r="BJ6" s="36" t="str">
        <f t="shared" si="23"/>
        <v/>
      </c>
      <c r="BK6" s="37"/>
      <c r="BL6" s="33"/>
      <c r="BM6" s="34"/>
      <c r="BN6" s="35" t="str">
        <f t="shared" si="24"/>
        <v/>
      </c>
      <c r="BO6" s="36" t="str">
        <f t="shared" si="25"/>
        <v/>
      </c>
      <c r="BP6" s="37"/>
      <c r="BQ6" s="33"/>
      <c r="BR6" s="34"/>
      <c r="BS6" s="35" t="str">
        <f t="shared" si="26"/>
        <v/>
      </c>
      <c r="BT6" s="36" t="str">
        <f t="shared" si="27"/>
        <v/>
      </c>
      <c r="BU6" s="37"/>
      <c r="BV6" s="33"/>
      <c r="BW6" s="34"/>
      <c r="BX6" s="35" t="str">
        <f t="shared" si="28"/>
        <v/>
      </c>
      <c r="BY6" s="36" t="str">
        <f t="shared" si="29"/>
        <v/>
      </c>
      <c r="BZ6" s="37"/>
      <c r="CA6" s="33"/>
      <c r="CB6" s="34"/>
      <c r="CC6" s="35" t="str">
        <f t="shared" si="30"/>
        <v/>
      </c>
      <c r="CD6" s="36" t="str">
        <f t="shared" si="31"/>
        <v/>
      </c>
      <c r="CE6" s="37"/>
      <c r="CF6" s="33"/>
      <c r="CG6" s="34"/>
      <c r="CH6" s="35" t="str">
        <f t="shared" si="32"/>
        <v/>
      </c>
      <c r="CI6" s="36" t="str">
        <f t="shared" si="33"/>
        <v/>
      </c>
      <c r="CJ6" s="37"/>
      <c r="CK6" s="33"/>
      <c r="CL6" s="34"/>
      <c r="CM6" s="35" t="str">
        <f t="shared" si="34"/>
        <v/>
      </c>
      <c r="CN6" s="36" t="str">
        <f t="shared" si="35"/>
        <v/>
      </c>
      <c r="CO6" s="37"/>
      <c r="CP6" s="33"/>
      <c r="CQ6" s="34"/>
      <c r="CR6" s="35" t="str">
        <f t="shared" si="36"/>
        <v/>
      </c>
      <c r="CS6" s="36" t="str">
        <f t="shared" si="37"/>
        <v/>
      </c>
      <c r="CT6" s="37"/>
      <c r="CU6" s="33"/>
      <c r="CV6" s="34"/>
      <c r="CW6" s="35" t="str">
        <f t="shared" si="38"/>
        <v/>
      </c>
      <c r="CX6" s="36" t="str">
        <f t="shared" si="39"/>
        <v/>
      </c>
      <c r="CY6" s="37"/>
      <c r="CZ6" s="33"/>
      <c r="DA6" s="34"/>
      <c r="DB6" s="35" t="str">
        <f t="shared" si="40"/>
        <v/>
      </c>
      <c r="DC6" s="36" t="str">
        <f t="shared" si="41"/>
        <v/>
      </c>
      <c r="DD6" s="37"/>
      <c r="DE6" s="33"/>
      <c r="DF6" s="34"/>
      <c r="DG6" s="35" t="str">
        <f t="shared" si="42"/>
        <v/>
      </c>
      <c r="DH6" s="36" t="str">
        <f t="shared" si="43"/>
        <v/>
      </c>
      <c r="DI6" s="37"/>
      <c r="DJ6" s="33"/>
      <c r="DK6" s="34"/>
      <c r="DL6" s="35" t="str">
        <f t="shared" si="44"/>
        <v/>
      </c>
      <c r="DM6" s="36" t="str">
        <f t="shared" si="45"/>
        <v/>
      </c>
      <c r="DN6" s="37"/>
      <c r="DO6" s="33"/>
      <c r="DP6" s="34"/>
      <c r="DQ6" s="35" t="str">
        <f t="shared" si="46"/>
        <v/>
      </c>
      <c r="DR6" s="36" t="str">
        <f t="shared" si="47"/>
        <v/>
      </c>
      <c r="DS6" s="37"/>
      <c r="DT6" s="33"/>
      <c r="DU6" s="34"/>
      <c r="DV6" s="35" t="str">
        <f t="shared" si="48"/>
        <v/>
      </c>
      <c r="DW6" s="36" t="str">
        <f t="shared" si="49"/>
        <v/>
      </c>
      <c r="DX6" s="37"/>
      <c r="DY6" s="33"/>
      <c r="DZ6" s="34"/>
      <c r="EA6" s="35" t="str">
        <f t="shared" si="50"/>
        <v/>
      </c>
      <c r="EB6" s="36" t="str">
        <f t="shared" si="51"/>
        <v/>
      </c>
      <c r="EC6" s="37"/>
      <c r="ED6" s="33"/>
      <c r="EE6" s="34"/>
      <c r="EF6" s="35" t="str">
        <f t="shared" si="52"/>
        <v/>
      </c>
      <c r="EG6" s="36" t="str">
        <f t="shared" si="53"/>
        <v/>
      </c>
      <c r="EH6" s="37"/>
      <c r="EI6" s="33"/>
      <c r="EJ6" s="34"/>
      <c r="EK6" s="35" t="str">
        <f t="shared" si="54"/>
        <v/>
      </c>
      <c r="EL6" s="36" t="str">
        <f t="shared" si="55"/>
        <v/>
      </c>
      <c r="EM6" s="37"/>
      <c r="EN6" s="33"/>
      <c r="EO6" s="34"/>
      <c r="EP6" s="35" t="str">
        <f t="shared" si="56"/>
        <v/>
      </c>
      <c r="EQ6" s="36" t="str">
        <f t="shared" si="57"/>
        <v/>
      </c>
      <c r="ER6" s="37"/>
      <c r="ES6" s="33"/>
      <c r="ET6" s="34"/>
      <c r="EU6" s="35" t="str">
        <f t="shared" si="58"/>
        <v/>
      </c>
      <c r="EV6" s="36" t="str">
        <f t="shared" si="59"/>
        <v/>
      </c>
      <c r="EW6" s="37"/>
    </row>
    <row r="7" spans="1:153" ht="19.5" customHeight="1">
      <c r="A7" s="32">
        <f>IF(DAY(DATE(対象年度,7,4))&lt;&gt;4,"",4)</f>
        <v>4</v>
      </c>
      <c r="B7" s="32" t="str">
        <f>IF(DAY(DATE(対象年度,7,4))&lt;&gt;4,"",CHOOSE(WEEKDAY(DATE(対象年度,7,4),2),"月","火","水","木","金","土","日"))</f>
        <v>土</v>
      </c>
      <c r="C7" s="32" t="str">
        <f>IF(DAY(DATE(対象年度,7,4))&lt;&gt;4,"",IF(ISNUMBER(MATCH(DATE(対象年度,7,4),祝日リスト,0)),"祝",""))</f>
        <v/>
      </c>
      <c r="D7" s="33"/>
      <c r="E7" s="34"/>
      <c r="F7" s="35" t="str">
        <f t="shared" si="0"/>
        <v/>
      </c>
      <c r="G7" s="36" t="str">
        <f t="shared" si="1"/>
        <v/>
      </c>
      <c r="H7" s="37"/>
      <c r="I7" s="33"/>
      <c r="J7" s="34"/>
      <c r="K7" s="35" t="str">
        <f t="shared" si="2"/>
        <v/>
      </c>
      <c r="L7" s="36" t="str">
        <f t="shared" si="3"/>
        <v/>
      </c>
      <c r="M7" s="37"/>
      <c r="N7" s="33"/>
      <c r="O7" s="34"/>
      <c r="P7" s="35" t="str">
        <f t="shared" si="4"/>
        <v/>
      </c>
      <c r="Q7" s="36" t="str">
        <f t="shared" si="5"/>
        <v/>
      </c>
      <c r="R7" s="37"/>
      <c r="S7" s="33"/>
      <c r="T7" s="34"/>
      <c r="U7" s="35" t="str">
        <f t="shared" si="6"/>
        <v/>
      </c>
      <c r="V7" s="36" t="str">
        <f t="shared" si="7"/>
        <v/>
      </c>
      <c r="W7" s="37"/>
      <c r="X7" s="33"/>
      <c r="Y7" s="34"/>
      <c r="Z7" s="35" t="str">
        <f t="shared" si="8"/>
        <v/>
      </c>
      <c r="AA7" s="36" t="str">
        <f t="shared" si="9"/>
        <v/>
      </c>
      <c r="AB7" s="37"/>
      <c r="AC7" s="33"/>
      <c r="AD7" s="34"/>
      <c r="AE7" s="35" t="str">
        <f t="shared" si="10"/>
        <v/>
      </c>
      <c r="AF7" s="36" t="str">
        <f t="shared" si="11"/>
        <v/>
      </c>
      <c r="AG7" s="37"/>
      <c r="AH7" s="33"/>
      <c r="AI7" s="34"/>
      <c r="AJ7" s="35" t="str">
        <f t="shared" si="12"/>
        <v/>
      </c>
      <c r="AK7" s="36" t="str">
        <f t="shared" si="13"/>
        <v/>
      </c>
      <c r="AL7" s="37"/>
      <c r="AM7" s="33"/>
      <c r="AN7" s="34"/>
      <c r="AO7" s="35" t="str">
        <f t="shared" si="14"/>
        <v/>
      </c>
      <c r="AP7" s="36" t="str">
        <f t="shared" si="15"/>
        <v/>
      </c>
      <c r="AQ7" s="37"/>
      <c r="AR7" s="33"/>
      <c r="AS7" s="34"/>
      <c r="AT7" s="35" t="str">
        <f t="shared" si="16"/>
        <v/>
      </c>
      <c r="AU7" s="36" t="str">
        <f t="shared" si="17"/>
        <v/>
      </c>
      <c r="AV7" s="37"/>
      <c r="AW7" s="33"/>
      <c r="AX7" s="34"/>
      <c r="AY7" s="35" t="str">
        <f t="shared" si="18"/>
        <v/>
      </c>
      <c r="AZ7" s="36" t="str">
        <f t="shared" si="19"/>
        <v/>
      </c>
      <c r="BA7" s="37"/>
      <c r="BB7" s="33"/>
      <c r="BC7" s="34"/>
      <c r="BD7" s="35" t="str">
        <f t="shared" si="20"/>
        <v/>
      </c>
      <c r="BE7" s="36" t="str">
        <f t="shared" si="21"/>
        <v/>
      </c>
      <c r="BF7" s="37"/>
      <c r="BG7" s="33"/>
      <c r="BH7" s="34"/>
      <c r="BI7" s="35" t="str">
        <f t="shared" si="22"/>
        <v/>
      </c>
      <c r="BJ7" s="36" t="str">
        <f t="shared" si="23"/>
        <v/>
      </c>
      <c r="BK7" s="37"/>
      <c r="BL7" s="33"/>
      <c r="BM7" s="34"/>
      <c r="BN7" s="35" t="str">
        <f t="shared" si="24"/>
        <v/>
      </c>
      <c r="BO7" s="36" t="str">
        <f t="shared" si="25"/>
        <v/>
      </c>
      <c r="BP7" s="37"/>
      <c r="BQ7" s="33"/>
      <c r="BR7" s="34"/>
      <c r="BS7" s="35" t="str">
        <f t="shared" si="26"/>
        <v/>
      </c>
      <c r="BT7" s="36" t="str">
        <f t="shared" si="27"/>
        <v/>
      </c>
      <c r="BU7" s="37"/>
      <c r="BV7" s="33"/>
      <c r="BW7" s="34"/>
      <c r="BX7" s="35" t="str">
        <f t="shared" si="28"/>
        <v/>
      </c>
      <c r="BY7" s="36" t="str">
        <f t="shared" si="29"/>
        <v/>
      </c>
      <c r="BZ7" s="37"/>
      <c r="CA7" s="33"/>
      <c r="CB7" s="34"/>
      <c r="CC7" s="35" t="str">
        <f t="shared" si="30"/>
        <v/>
      </c>
      <c r="CD7" s="36" t="str">
        <f t="shared" si="31"/>
        <v/>
      </c>
      <c r="CE7" s="37"/>
      <c r="CF7" s="33"/>
      <c r="CG7" s="34"/>
      <c r="CH7" s="35" t="str">
        <f t="shared" si="32"/>
        <v/>
      </c>
      <c r="CI7" s="36" t="str">
        <f t="shared" si="33"/>
        <v/>
      </c>
      <c r="CJ7" s="37"/>
      <c r="CK7" s="33"/>
      <c r="CL7" s="34"/>
      <c r="CM7" s="35" t="str">
        <f t="shared" si="34"/>
        <v/>
      </c>
      <c r="CN7" s="36" t="str">
        <f t="shared" si="35"/>
        <v/>
      </c>
      <c r="CO7" s="37"/>
      <c r="CP7" s="33"/>
      <c r="CQ7" s="34"/>
      <c r="CR7" s="35" t="str">
        <f t="shared" si="36"/>
        <v/>
      </c>
      <c r="CS7" s="36" t="str">
        <f t="shared" si="37"/>
        <v/>
      </c>
      <c r="CT7" s="37"/>
      <c r="CU7" s="33"/>
      <c r="CV7" s="34"/>
      <c r="CW7" s="35" t="str">
        <f t="shared" si="38"/>
        <v/>
      </c>
      <c r="CX7" s="36" t="str">
        <f t="shared" si="39"/>
        <v/>
      </c>
      <c r="CY7" s="37"/>
      <c r="CZ7" s="33"/>
      <c r="DA7" s="34"/>
      <c r="DB7" s="35" t="str">
        <f t="shared" si="40"/>
        <v/>
      </c>
      <c r="DC7" s="36" t="str">
        <f t="shared" si="41"/>
        <v/>
      </c>
      <c r="DD7" s="37"/>
      <c r="DE7" s="33"/>
      <c r="DF7" s="34"/>
      <c r="DG7" s="35" t="str">
        <f t="shared" si="42"/>
        <v/>
      </c>
      <c r="DH7" s="36" t="str">
        <f t="shared" si="43"/>
        <v/>
      </c>
      <c r="DI7" s="37"/>
      <c r="DJ7" s="33"/>
      <c r="DK7" s="34"/>
      <c r="DL7" s="35" t="str">
        <f t="shared" si="44"/>
        <v/>
      </c>
      <c r="DM7" s="36" t="str">
        <f t="shared" si="45"/>
        <v/>
      </c>
      <c r="DN7" s="37"/>
      <c r="DO7" s="33"/>
      <c r="DP7" s="34"/>
      <c r="DQ7" s="35" t="str">
        <f t="shared" si="46"/>
        <v/>
      </c>
      <c r="DR7" s="36" t="str">
        <f t="shared" si="47"/>
        <v/>
      </c>
      <c r="DS7" s="37"/>
      <c r="DT7" s="33"/>
      <c r="DU7" s="34"/>
      <c r="DV7" s="35" t="str">
        <f t="shared" si="48"/>
        <v/>
      </c>
      <c r="DW7" s="36" t="str">
        <f t="shared" si="49"/>
        <v/>
      </c>
      <c r="DX7" s="37"/>
      <c r="DY7" s="33"/>
      <c r="DZ7" s="34"/>
      <c r="EA7" s="35" t="str">
        <f t="shared" si="50"/>
        <v/>
      </c>
      <c r="EB7" s="36" t="str">
        <f t="shared" si="51"/>
        <v/>
      </c>
      <c r="EC7" s="37"/>
      <c r="ED7" s="33"/>
      <c r="EE7" s="34"/>
      <c r="EF7" s="35" t="str">
        <f t="shared" si="52"/>
        <v/>
      </c>
      <c r="EG7" s="36" t="str">
        <f t="shared" si="53"/>
        <v/>
      </c>
      <c r="EH7" s="37"/>
      <c r="EI7" s="33"/>
      <c r="EJ7" s="34"/>
      <c r="EK7" s="35" t="str">
        <f t="shared" si="54"/>
        <v/>
      </c>
      <c r="EL7" s="36" t="str">
        <f t="shared" si="55"/>
        <v/>
      </c>
      <c r="EM7" s="37"/>
      <c r="EN7" s="33"/>
      <c r="EO7" s="34"/>
      <c r="EP7" s="35" t="str">
        <f t="shared" si="56"/>
        <v/>
      </c>
      <c r="EQ7" s="36" t="str">
        <f t="shared" si="57"/>
        <v/>
      </c>
      <c r="ER7" s="37"/>
      <c r="ES7" s="33"/>
      <c r="ET7" s="34"/>
      <c r="EU7" s="35" t="str">
        <f t="shared" si="58"/>
        <v/>
      </c>
      <c r="EV7" s="36" t="str">
        <f t="shared" si="59"/>
        <v/>
      </c>
      <c r="EW7" s="37"/>
    </row>
    <row r="8" spans="1:153" ht="19.5" customHeight="1">
      <c r="A8" s="32">
        <f>IF(DAY(DATE(対象年度,7,5))&lt;&gt;5,"",5)</f>
        <v>5</v>
      </c>
      <c r="B8" s="32" t="str">
        <f>IF(DAY(DATE(対象年度,7,5))&lt;&gt;5,"",CHOOSE(WEEKDAY(DATE(対象年度,7,5),2),"月","火","水","木","金","土","日"))</f>
        <v>日</v>
      </c>
      <c r="C8" s="32" t="str">
        <f>IF(DAY(DATE(対象年度,7,5))&lt;&gt;5,"",IF(ISNUMBER(MATCH(DATE(対象年度,7,5),祝日リスト,0)),"祝",""))</f>
        <v/>
      </c>
      <c r="D8" s="33"/>
      <c r="E8" s="34"/>
      <c r="F8" s="35" t="str">
        <f t="shared" si="0"/>
        <v/>
      </c>
      <c r="G8" s="36" t="str">
        <f t="shared" si="1"/>
        <v/>
      </c>
      <c r="H8" s="37"/>
      <c r="I8" s="33"/>
      <c r="J8" s="34"/>
      <c r="K8" s="35" t="str">
        <f t="shared" si="2"/>
        <v/>
      </c>
      <c r="L8" s="36" t="str">
        <f t="shared" si="3"/>
        <v/>
      </c>
      <c r="M8" s="37"/>
      <c r="N8" s="33"/>
      <c r="O8" s="34"/>
      <c r="P8" s="35" t="str">
        <f t="shared" si="4"/>
        <v/>
      </c>
      <c r="Q8" s="36" t="str">
        <f t="shared" si="5"/>
        <v/>
      </c>
      <c r="R8" s="37"/>
      <c r="S8" s="33"/>
      <c r="T8" s="34"/>
      <c r="U8" s="35" t="str">
        <f t="shared" si="6"/>
        <v/>
      </c>
      <c r="V8" s="36" t="str">
        <f t="shared" si="7"/>
        <v/>
      </c>
      <c r="W8" s="37"/>
      <c r="X8" s="33"/>
      <c r="Y8" s="34"/>
      <c r="Z8" s="35" t="str">
        <f t="shared" si="8"/>
        <v/>
      </c>
      <c r="AA8" s="36" t="str">
        <f t="shared" si="9"/>
        <v/>
      </c>
      <c r="AB8" s="37"/>
      <c r="AC8" s="33"/>
      <c r="AD8" s="34"/>
      <c r="AE8" s="35" t="str">
        <f t="shared" si="10"/>
        <v/>
      </c>
      <c r="AF8" s="36" t="str">
        <f t="shared" si="11"/>
        <v/>
      </c>
      <c r="AG8" s="37"/>
      <c r="AH8" s="33"/>
      <c r="AI8" s="34"/>
      <c r="AJ8" s="35" t="str">
        <f t="shared" si="12"/>
        <v/>
      </c>
      <c r="AK8" s="36" t="str">
        <f t="shared" si="13"/>
        <v/>
      </c>
      <c r="AL8" s="37"/>
      <c r="AM8" s="33"/>
      <c r="AN8" s="34"/>
      <c r="AO8" s="35" t="str">
        <f t="shared" si="14"/>
        <v/>
      </c>
      <c r="AP8" s="36" t="str">
        <f t="shared" si="15"/>
        <v/>
      </c>
      <c r="AQ8" s="37"/>
      <c r="AR8" s="33"/>
      <c r="AS8" s="34"/>
      <c r="AT8" s="35" t="str">
        <f t="shared" si="16"/>
        <v/>
      </c>
      <c r="AU8" s="36" t="str">
        <f t="shared" si="17"/>
        <v/>
      </c>
      <c r="AV8" s="37"/>
      <c r="AW8" s="33"/>
      <c r="AX8" s="34"/>
      <c r="AY8" s="35" t="str">
        <f t="shared" si="18"/>
        <v/>
      </c>
      <c r="AZ8" s="36" t="str">
        <f t="shared" si="19"/>
        <v/>
      </c>
      <c r="BA8" s="37"/>
      <c r="BB8" s="33"/>
      <c r="BC8" s="34"/>
      <c r="BD8" s="35" t="str">
        <f t="shared" si="20"/>
        <v/>
      </c>
      <c r="BE8" s="36" t="str">
        <f t="shared" si="21"/>
        <v/>
      </c>
      <c r="BF8" s="37"/>
      <c r="BG8" s="33"/>
      <c r="BH8" s="34"/>
      <c r="BI8" s="35" t="str">
        <f t="shared" si="22"/>
        <v/>
      </c>
      <c r="BJ8" s="36" t="str">
        <f t="shared" si="23"/>
        <v/>
      </c>
      <c r="BK8" s="37"/>
      <c r="BL8" s="33"/>
      <c r="BM8" s="34"/>
      <c r="BN8" s="35" t="str">
        <f t="shared" si="24"/>
        <v/>
      </c>
      <c r="BO8" s="36" t="str">
        <f t="shared" si="25"/>
        <v/>
      </c>
      <c r="BP8" s="37"/>
      <c r="BQ8" s="33"/>
      <c r="BR8" s="34"/>
      <c r="BS8" s="35" t="str">
        <f t="shared" si="26"/>
        <v/>
      </c>
      <c r="BT8" s="36" t="str">
        <f t="shared" si="27"/>
        <v/>
      </c>
      <c r="BU8" s="37"/>
      <c r="BV8" s="33"/>
      <c r="BW8" s="34"/>
      <c r="BX8" s="35" t="str">
        <f t="shared" si="28"/>
        <v/>
      </c>
      <c r="BY8" s="36" t="str">
        <f t="shared" si="29"/>
        <v/>
      </c>
      <c r="BZ8" s="37"/>
      <c r="CA8" s="33"/>
      <c r="CB8" s="34"/>
      <c r="CC8" s="35" t="str">
        <f t="shared" si="30"/>
        <v/>
      </c>
      <c r="CD8" s="36" t="str">
        <f t="shared" si="31"/>
        <v/>
      </c>
      <c r="CE8" s="37"/>
      <c r="CF8" s="33"/>
      <c r="CG8" s="34"/>
      <c r="CH8" s="35" t="str">
        <f t="shared" si="32"/>
        <v/>
      </c>
      <c r="CI8" s="36" t="str">
        <f t="shared" si="33"/>
        <v/>
      </c>
      <c r="CJ8" s="37"/>
      <c r="CK8" s="33"/>
      <c r="CL8" s="34"/>
      <c r="CM8" s="35" t="str">
        <f t="shared" si="34"/>
        <v/>
      </c>
      <c r="CN8" s="36" t="str">
        <f t="shared" si="35"/>
        <v/>
      </c>
      <c r="CO8" s="37"/>
      <c r="CP8" s="33"/>
      <c r="CQ8" s="34"/>
      <c r="CR8" s="35" t="str">
        <f t="shared" si="36"/>
        <v/>
      </c>
      <c r="CS8" s="36" t="str">
        <f t="shared" si="37"/>
        <v/>
      </c>
      <c r="CT8" s="37"/>
      <c r="CU8" s="33"/>
      <c r="CV8" s="34"/>
      <c r="CW8" s="35" t="str">
        <f t="shared" si="38"/>
        <v/>
      </c>
      <c r="CX8" s="36" t="str">
        <f t="shared" si="39"/>
        <v/>
      </c>
      <c r="CY8" s="37"/>
      <c r="CZ8" s="33"/>
      <c r="DA8" s="34"/>
      <c r="DB8" s="35" t="str">
        <f t="shared" si="40"/>
        <v/>
      </c>
      <c r="DC8" s="36" t="str">
        <f t="shared" si="41"/>
        <v/>
      </c>
      <c r="DD8" s="37"/>
      <c r="DE8" s="33"/>
      <c r="DF8" s="34"/>
      <c r="DG8" s="35" t="str">
        <f t="shared" si="42"/>
        <v/>
      </c>
      <c r="DH8" s="36" t="str">
        <f t="shared" si="43"/>
        <v/>
      </c>
      <c r="DI8" s="37"/>
      <c r="DJ8" s="33"/>
      <c r="DK8" s="34"/>
      <c r="DL8" s="35" t="str">
        <f t="shared" si="44"/>
        <v/>
      </c>
      <c r="DM8" s="36" t="str">
        <f t="shared" si="45"/>
        <v/>
      </c>
      <c r="DN8" s="37"/>
      <c r="DO8" s="33"/>
      <c r="DP8" s="34"/>
      <c r="DQ8" s="35" t="str">
        <f t="shared" si="46"/>
        <v/>
      </c>
      <c r="DR8" s="36" t="str">
        <f t="shared" si="47"/>
        <v/>
      </c>
      <c r="DS8" s="37"/>
      <c r="DT8" s="33"/>
      <c r="DU8" s="34"/>
      <c r="DV8" s="35" t="str">
        <f t="shared" si="48"/>
        <v/>
      </c>
      <c r="DW8" s="36" t="str">
        <f t="shared" si="49"/>
        <v/>
      </c>
      <c r="DX8" s="37"/>
      <c r="DY8" s="33"/>
      <c r="DZ8" s="34"/>
      <c r="EA8" s="35" t="str">
        <f t="shared" si="50"/>
        <v/>
      </c>
      <c r="EB8" s="36" t="str">
        <f t="shared" si="51"/>
        <v/>
      </c>
      <c r="EC8" s="37"/>
      <c r="ED8" s="33"/>
      <c r="EE8" s="34"/>
      <c r="EF8" s="35" t="str">
        <f t="shared" si="52"/>
        <v/>
      </c>
      <c r="EG8" s="36" t="str">
        <f t="shared" si="53"/>
        <v/>
      </c>
      <c r="EH8" s="37"/>
      <c r="EI8" s="33"/>
      <c r="EJ8" s="34"/>
      <c r="EK8" s="35" t="str">
        <f t="shared" si="54"/>
        <v/>
      </c>
      <c r="EL8" s="36" t="str">
        <f t="shared" si="55"/>
        <v/>
      </c>
      <c r="EM8" s="37"/>
      <c r="EN8" s="33"/>
      <c r="EO8" s="34"/>
      <c r="EP8" s="35" t="str">
        <f t="shared" si="56"/>
        <v/>
      </c>
      <c r="EQ8" s="36" t="str">
        <f t="shared" si="57"/>
        <v/>
      </c>
      <c r="ER8" s="37"/>
      <c r="ES8" s="33"/>
      <c r="ET8" s="34"/>
      <c r="EU8" s="35" t="str">
        <f t="shared" si="58"/>
        <v/>
      </c>
      <c r="EV8" s="36" t="str">
        <f t="shared" si="59"/>
        <v/>
      </c>
      <c r="EW8" s="37"/>
    </row>
    <row r="9" spans="1:153" ht="19.5" customHeight="1">
      <c r="A9" s="32">
        <f>IF(DAY(DATE(対象年度,7,6))&lt;&gt;6,"",6)</f>
        <v>6</v>
      </c>
      <c r="B9" s="32" t="str">
        <f>IF(DAY(DATE(対象年度,7,6))&lt;&gt;6,"",CHOOSE(WEEKDAY(DATE(対象年度,7,6),2),"月","火","水","木","金","土","日"))</f>
        <v>月</v>
      </c>
      <c r="C9" s="32" t="str">
        <f>IF(DAY(DATE(対象年度,7,6))&lt;&gt;6,"",IF(ISNUMBER(MATCH(DATE(対象年度,7,6),祝日リスト,0)),"祝",""))</f>
        <v/>
      </c>
      <c r="D9" s="33"/>
      <c r="E9" s="34"/>
      <c r="F9" s="35" t="str">
        <f t="shared" si="0"/>
        <v/>
      </c>
      <c r="G9" s="36" t="str">
        <f t="shared" si="1"/>
        <v/>
      </c>
      <c r="H9" s="37"/>
      <c r="I9" s="33"/>
      <c r="J9" s="34"/>
      <c r="K9" s="35" t="str">
        <f t="shared" si="2"/>
        <v/>
      </c>
      <c r="L9" s="36" t="str">
        <f t="shared" si="3"/>
        <v/>
      </c>
      <c r="M9" s="37"/>
      <c r="N9" s="33"/>
      <c r="O9" s="34"/>
      <c r="P9" s="35" t="str">
        <f t="shared" si="4"/>
        <v/>
      </c>
      <c r="Q9" s="36" t="str">
        <f t="shared" si="5"/>
        <v/>
      </c>
      <c r="R9" s="37"/>
      <c r="S9" s="33"/>
      <c r="T9" s="34"/>
      <c r="U9" s="35" t="str">
        <f t="shared" si="6"/>
        <v/>
      </c>
      <c r="V9" s="36" t="str">
        <f t="shared" si="7"/>
        <v/>
      </c>
      <c r="W9" s="37"/>
      <c r="X9" s="33"/>
      <c r="Y9" s="34"/>
      <c r="Z9" s="35" t="str">
        <f t="shared" si="8"/>
        <v/>
      </c>
      <c r="AA9" s="36" t="str">
        <f t="shared" si="9"/>
        <v/>
      </c>
      <c r="AB9" s="37"/>
      <c r="AC9" s="33"/>
      <c r="AD9" s="34"/>
      <c r="AE9" s="35" t="str">
        <f t="shared" si="10"/>
        <v/>
      </c>
      <c r="AF9" s="36" t="str">
        <f t="shared" si="11"/>
        <v/>
      </c>
      <c r="AG9" s="37"/>
      <c r="AH9" s="33"/>
      <c r="AI9" s="34"/>
      <c r="AJ9" s="35" t="str">
        <f t="shared" si="12"/>
        <v/>
      </c>
      <c r="AK9" s="36" t="str">
        <f t="shared" si="13"/>
        <v/>
      </c>
      <c r="AL9" s="37"/>
      <c r="AM9" s="33"/>
      <c r="AN9" s="34"/>
      <c r="AO9" s="35" t="str">
        <f t="shared" si="14"/>
        <v/>
      </c>
      <c r="AP9" s="36" t="str">
        <f t="shared" si="15"/>
        <v/>
      </c>
      <c r="AQ9" s="37"/>
      <c r="AR9" s="33"/>
      <c r="AS9" s="34"/>
      <c r="AT9" s="35" t="str">
        <f t="shared" si="16"/>
        <v/>
      </c>
      <c r="AU9" s="36" t="str">
        <f t="shared" si="17"/>
        <v/>
      </c>
      <c r="AV9" s="37"/>
      <c r="AW9" s="33"/>
      <c r="AX9" s="34"/>
      <c r="AY9" s="35" t="str">
        <f t="shared" si="18"/>
        <v/>
      </c>
      <c r="AZ9" s="36" t="str">
        <f t="shared" si="19"/>
        <v/>
      </c>
      <c r="BA9" s="37"/>
      <c r="BB9" s="33"/>
      <c r="BC9" s="34"/>
      <c r="BD9" s="35" t="str">
        <f t="shared" si="20"/>
        <v/>
      </c>
      <c r="BE9" s="36" t="str">
        <f t="shared" si="21"/>
        <v/>
      </c>
      <c r="BF9" s="37"/>
      <c r="BG9" s="33"/>
      <c r="BH9" s="34"/>
      <c r="BI9" s="35" t="str">
        <f t="shared" si="22"/>
        <v/>
      </c>
      <c r="BJ9" s="36" t="str">
        <f t="shared" si="23"/>
        <v/>
      </c>
      <c r="BK9" s="37"/>
      <c r="BL9" s="33"/>
      <c r="BM9" s="34"/>
      <c r="BN9" s="35" t="str">
        <f t="shared" si="24"/>
        <v/>
      </c>
      <c r="BO9" s="36" t="str">
        <f t="shared" si="25"/>
        <v/>
      </c>
      <c r="BP9" s="37"/>
      <c r="BQ9" s="33"/>
      <c r="BR9" s="34"/>
      <c r="BS9" s="35" t="str">
        <f t="shared" si="26"/>
        <v/>
      </c>
      <c r="BT9" s="36" t="str">
        <f t="shared" si="27"/>
        <v/>
      </c>
      <c r="BU9" s="37"/>
      <c r="BV9" s="33"/>
      <c r="BW9" s="34"/>
      <c r="BX9" s="35" t="str">
        <f t="shared" si="28"/>
        <v/>
      </c>
      <c r="BY9" s="36" t="str">
        <f t="shared" si="29"/>
        <v/>
      </c>
      <c r="BZ9" s="37"/>
      <c r="CA9" s="33"/>
      <c r="CB9" s="34"/>
      <c r="CC9" s="35" t="str">
        <f t="shared" si="30"/>
        <v/>
      </c>
      <c r="CD9" s="36" t="str">
        <f t="shared" si="31"/>
        <v/>
      </c>
      <c r="CE9" s="37"/>
      <c r="CF9" s="33"/>
      <c r="CG9" s="34"/>
      <c r="CH9" s="35" t="str">
        <f t="shared" si="32"/>
        <v/>
      </c>
      <c r="CI9" s="36" t="str">
        <f t="shared" si="33"/>
        <v/>
      </c>
      <c r="CJ9" s="37"/>
      <c r="CK9" s="33"/>
      <c r="CL9" s="34"/>
      <c r="CM9" s="35" t="str">
        <f t="shared" si="34"/>
        <v/>
      </c>
      <c r="CN9" s="36" t="str">
        <f t="shared" si="35"/>
        <v/>
      </c>
      <c r="CO9" s="37"/>
      <c r="CP9" s="33"/>
      <c r="CQ9" s="34"/>
      <c r="CR9" s="35" t="str">
        <f t="shared" si="36"/>
        <v/>
      </c>
      <c r="CS9" s="36" t="str">
        <f t="shared" si="37"/>
        <v/>
      </c>
      <c r="CT9" s="37"/>
      <c r="CU9" s="33"/>
      <c r="CV9" s="34"/>
      <c r="CW9" s="35" t="str">
        <f t="shared" si="38"/>
        <v/>
      </c>
      <c r="CX9" s="36" t="str">
        <f t="shared" si="39"/>
        <v/>
      </c>
      <c r="CY9" s="37"/>
      <c r="CZ9" s="33"/>
      <c r="DA9" s="34"/>
      <c r="DB9" s="35" t="str">
        <f t="shared" si="40"/>
        <v/>
      </c>
      <c r="DC9" s="36" t="str">
        <f t="shared" si="41"/>
        <v/>
      </c>
      <c r="DD9" s="37"/>
      <c r="DE9" s="33"/>
      <c r="DF9" s="34"/>
      <c r="DG9" s="35" t="str">
        <f t="shared" si="42"/>
        <v/>
      </c>
      <c r="DH9" s="36" t="str">
        <f t="shared" si="43"/>
        <v/>
      </c>
      <c r="DI9" s="37"/>
      <c r="DJ9" s="33"/>
      <c r="DK9" s="34"/>
      <c r="DL9" s="35" t="str">
        <f t="shared" si="44"/>
        <v/>
      </c>
      <c r="DM9" s="36" t="str">
        <f t="shared" si="45"/>
        <v/>
      </c>
      <c r="DN9" s="37"/>
      <c r="DO9" s="33"/>
      <c r="DP9" s="34"/>
      <c r="DQ9" s="35" t="str">
        <f t="shared" si="46"/>
        <v/>
      </c>
      <c r="DR9" s="36" t="str">
        <f t="shared" si="47"/>
        <v/>
      </c>
      <c r="DS9" s="37"/>
      <c r="DT9" s="33"/>
      <c r="DU9" s="34"/>
      <c r="DV9" s="35" t="str">
        <f t="shared" si="48"/>
        <v/>
      </c>
      <c r="DW9" s="36" t="str">
        <f t="shared" si="49"/>
        <v/>
      </c>
      <c r="DX9" s="37"/>
      <c r="DY9" s="33"/>
      <c r="DZ9" s="34"/>
      <c r="EA9" s="35" t="str">
        <f t="shared" si="50"/>
        <v/>
      </c>
      <c r="EB9" s="36" t="str">
        <f t="shared" si="51"/>
        <v/>
      </c>
      <c r="EC9" s="37"/>
      <c r="ED9" s="33"/>
      <c r="EE9" s="34"/>
      <c r="EF9" s="35" t="str">
        <f t="shared" si="52"/>
        <v/>
      </c>
      <c r="EG9" s="36" t="str">
        <f t="shared" si="53"/>
        <v/>
      </c>
      <c r="EH9" s="37"/>
      <c r="EI9" s="33"/>
      <c r="EJ9" s="34"/>
      <c r="EK9" s="35" t="str">
        <f t="shared" si="54"/>
        <v/>
      </c>
      <c r="EL9" s="36" t="str">
        <f t="shared" si="55"/>
        <v/>
      </c>
      <c r="EM9" s="37"/>
      <c r="EN9" s="33"/>
      <c r="EO9" s="34"/>
      <c r="EP9" s="35" t="str">
        <f t="shared" si="56"/>
        <v/>
      </c>
      <c r="EQ9" s="36" t="str">
        <f t="shared" si="57"/>
        <v/>
      </c>
      <c r="ER9" s="37"/>
      <c r="ES9" s="33"/>
      <c r="ET9" s="34"/>
      <c r="EU9" s="35" t="str">
        <f t="shared" si="58"/>
        <v/>
      </c>
      <c r="EV9" s="36" t="str">
        <f t="shared" si="59"/>
        <v/>
      </c>
      <c r="EW9" s="37"/>
    </row>
    <row r="10" spans="1:153" ht="19.5" customHeight="1">
      <c r="A10" s="32">
        <f>IF(DAY(DATE(対象年度,7,7))&lt;&gt;7,"",7)</f>
        <v>7</v>
      </c>
      <c r="B10" s="32" t="str">
        <f>IF(DAY(DATE(対象年度,7,7))&lt;&gt;7,"",CHOOSE(WEEKDAY(DATE(対象年度,7,7),2),"月","火","水","木","金","土","日"))</f>
        <v>火</v>
      </c>
      <c r="C10" s="32" t="str">
        <f>IF(DAY(DATE(対象年度,7,7))&lt;&gt;7,"",IF(ISNUMBER(MATCH(DATE(対象年度,7,7),祝日リスト,0)),"祝",""))</f>
        <v/>
      </c>
      <c r="D10" s="33"/>
      <c r="E10" s="34"/>
      <c r="F10" s="35" t="str">
        <f t="shared" si="0"/>
        <v/>
      </c>
      <c r="G10" s="36" t="str">
        <f t="shared" si="1"/>
        <v/>
      </c>
      <c r="H10" s="37"/>
      <c r="I10" s="33"/>
      <c r="J10" s="34"/>
      <c r="K10" s="35" t="str">
        <f t="shared" si="2"/>
        <v/>
      </c>
      <c r="L10" s="36" t="str">
        <f t="shared" si="3"/>
        <v/>
      </c>
      <c r="M10" s="37"/>
      <c r="N10" s="33"/>
      <c r="O10" s="34"/>
      <c r="P10" s="35" t="str">
        <f t="shared" si="4"/>
        <v/>
      </c>
      <c r="Q10" s="36" t="str">
        <f t="shared" si="5"/>
        <v/>
      </c>
      <c r="R10" s="37"/>
      <c r="S10" s="33"/>
      <c r="T10" s="34"/>
      <c r="U10" s="35" t="str">
        <f t="shared" si="6"/>
        <v/>
      </c>
      <c r="V10" s="36" t="str">
        <f t="shared" si="7"/>
        <v/>
      </c>
      <c r="W10" s="37"/>
      <c r="X10" s="33"/>
      <c r="Y10" s="34"/>
      <c r="Z10" s="35" t="str">
        <f t="shared" si="8"/>
        <v/>
      </c>
      <c r="AA10" s="36" t="str">
        <f t="shared" si="9"/>
        <v/>
      </c>
      <c r="AB10" s="37"/>
      <c r="AC10" s="33"/>
      <c r="AD10" s="34"/>
      <c r="AE10" s="35" t="str">
        <f t="shared" si="10"/>
        <v/>
      </c>
      <c r="AF10" s="36" t="str">
        <f t="shared" si="11"/>
        <v/>
      </c>
      <c r="AG10" s="37"/>
      <c r="AH10" s="33"/>
      <c r="AI10" s="34"/>
      <c r="AJ10" s="35" t="str">
        <f t="shared" si="12"/>
        <v/>
      </c>
      <c r="AK10" s="36" t="str">
        <f t="shared" si="13"/>
        <v/>
      </c>
      <c r="AL10" s="37"/>
      <c r="AM10" s="33"/>
      <c r="AN10" s="34"/>
      <c r="AO10" s="35" t="str">
        <f t="shared" si="14"/>
        <v/>
      </c>
      <c r="AP10" s="36" t="str">
        <f t="shared" si="15"/>
        <v/>
      </c>
      <c r="AQ10" s="37"/>
      <c r="AR10" s="33"/>
      <c r="AS10" s="34"/>
      <c r="AT10" s="35" t="str">
        <f t="shared" si="16"/>
        <v/>
      </c>
      <c r="AU10" s="36" t="str">
        <f t="shared" si="17"/>
        <v/>
      </c>
      <c r="AV10" s="37"/>
      <c r="AW10" s="33"/>
      <c r="AX10" s="34"/>
      <c r="AY10" s="35" t="str">
        <f t="shared" si="18"/>
        <v/>
      </c>
      <c r="AZ10" s="36" t="str">
        <f t="shared" si="19"/>
        <v/>
      </c>
      <c r="BA10" s="37"/>
      <c r="BB10" s="33"/>
      <c r="BC10" s="34"/>
      <c r="BD10" s="35" t="str">
        <f t="shared" si="20"/>
        <v/>
      </c>
      <c r="BE10" s="36" t="str">
        <f t="shared" si="21"/>
        <v/>
      </c>
      <c r="BF10" s="37"/>
      <c r="BG10" s="33"/>
      <c r="BH10" s="34"/>
      <c r="BI10" s="35" t="str">
        <f t="shared" si="22"/>
        <v/>
      </c>
      <c r="BJ10" s="36" t="str">
        <f t="shared" si="23"/>
        <v/>
      </c>
      <c r="BK10" s="37"/>
      <c r="BL10" s="33"/>
      <c r="BM10" s="34"/>
      <c r="BN10" s="35" t="str">
        <f t="shared" si="24"/>
        <v/>
      </c>
      <c r="BO10" s="36" t="str">
        <f t="shared" si="25"/>
        <v/>
      </c>
      <c r="BP10" s="37"/>
      <c r="BQ10" s="33"/>
      <c r="BR10" s="34"/>
      <c r="BS10" s="35" t="str">
        <f t="shared" si="26"/>
        <v/>
      </c>
      <c r="BT10" s="36" t="str">
        <f t="shared" si="27"/>
        <v/>
      </c>
      <c r="BU10" s="37"/>
      <c r="BV10" s="33"/>
      <c r="BW10" s="34"/>
      <c r="BX10" s="35" t="str">
        <f t="shared" si="28"/>
        <v/>
      </c>
      <c r="BY10" s="36" t="str">
        <f t="shared" si="29"/>
        <v/>
      </c>
      <c r="BZ10" s="37"/>
      <c r="CA10" s="33"/>
      <c r="CB10" s="34"/>
      <c r="CC10" s="35" t="str">
        <f t="shared" si="30"/>
        <v/>
      </c>
      <c r="CD10" s="36" t="str">
        <f t="shared" si="31"/>
        <v/>
      </c>
      <c r="CE10" s="37"/>
      <c r="CF10" s="33"/>
      <c r="CG10" s="34"/>
      <c r="CH10" s="35" t="str">
        <f t="shared" si="32"/>
        <v/>
      </c>
      <c r="CI10" s="36" t="str">
        <f t="shared" si="33"/>
        <v/>
      </c>
      <c r="CJ10" s="37"/>
      <c r="CK10" s="33"/>
      <c r="CL10" s="34"/>
      <c r="CM10" s="35" t="str">
        <f t="shared" si="34"/>
        <v/>
      </c>
      <c r="CN10" s="36" t="str">
        <f t="shared" si="35"/>
        <v/>
      </c>
      <c r="CO10" s="37"/>
      <c r="CP10" s="33"/>
      <c r="CQ10" s="34"/>
      <c r="CR10" s="35" t="str">
        <f t="shared" si="36"/>
        <v/>
      </c>
      <c r="CS10" s="36" t="str">
        <f t="shared" si="37"/>
        <v/>
      </c>
      <c r="CT10" s="37"/>
      <c r="CU10" s="33"/>
      <c r="CV10" s="34"/>
      <c r="CW10" s="35" t="str">
        <f t="shared" si="38"/>
        <v/>
      </c>
      <c r="CX10" s="36" t="str">
        <f t="shared" si="39"/>
        <v/>
      </c>
      <c r="CY10" s="37"/>
      <c r="CZ10" s="33"/>
      <c r="DA10" s="34"/>
      <c r="DB10" s="35" t="str">
        <f t="shared" si="40"/>
        <v/>
      </c>
      <c r="DC10" s="36" t="str">
        <f t="shared" si="41"/>
        <v/>
      </c>
      <c r="DD10" s="37"/>
      <c r="DE10" s="33"/>
      <c r="DF10" s="34"/>
      <c r="DG10" s="35" t="str">
        <f t="shared" si="42"/>
        <v/>
      </c>
      <c r="DH10" s="36" t="str">
        <f t="shared" si="43"/>
        <v/>
      </c>
      <c r="DI10" s="37"/>
      <c r="DJ10" s="33"/>
      <c r="DK10" s="34"/>
      <c r="DL10" s="35" t="str">
        <f t="shared" si="44"/>
        <v/>
      </c>
      <c r="DM10" s="36" t="str">
        <f t="shared" si="45"/>
        <v/>
      </c>
      <c r="DN10" s="37"/>
      <c r="DO10" s="33"/>
      <c r="DP10" s="34"/>
      <c r="DQ10" s="35" t="str">
        <f t="shared" si="46"/>
        <v/>
      </c>
      <c r="DR10" s="36" t="str">
        <f t="shared" si="47"/>
        <v/>
      </c>
      <c r="DS10" s="37"/>
      <c r="DT10" s="33"/>
      <c r="DU10" s="34"/>
      <c r="DV10" s="35" t="str">
        <f t="shared" si="48"/>
        <v/>
      </c>
      <c r="DW10" s="36" t="str">
        <f t="shared" si="49"/>
        <v/>
      </c>
      <c r="DX10" s="37"/>
      <c r="DY10" s="33"/>
      <c r="DZ10" s="34"/>
      <c r="EA10" s="35" t="str">
        <f t="shared" si="50"/>
        <v/>
      </c>
      <c r="EB10" s="36" t="str">
        <f t="shared" si="51"/>
        <v/>
      </c>
      <c r="EC10" s="37"/>
      <c r="ED10" s="33"/>
      <c r="EE10" s="34"/>
      <c r="EF10" s="35" t="str">
        <f t="shared" si="52"/>
        <v/>
      </c>
      <c r="EG10" s="36" t="str">
        <f t="shared" si="53"/>
        <v/>
      </c>
      <c r="EH10" s="37"/>
      <c r="EI10" s="33"/>
      <c r="EJ10" s="34"/>
      <c r="EK10" s="35" t="str">
        <f t="shared" si="54"/>
        <v/>
      </c>
      <c r="EL10" s="36" t="str">
        <f t="shared" si="55"/>
        <v/>
      </c>
      <c r="EM10" s="37"/>
      <c r="EN10" s="33"/>
      <c r="EO10" s="34"/>
      <c r="EP10" s="35" t="str">
        <f t="shared" si="56"/>
        <v/>
      </c>
      <c r="EQ10" s="36" t="str">
        <f t="shared" si="57"/>
        <v/>
      </c>
      <c r="ER10" s="37"/>
      <c r="ES10" s="33"/>
      <c r="ET10" s="34"/>
      <c r="EU10" s="35" t="str">
        <f t="shared" si="58"/>
        <v/>
      </c>
      <c r="EV10" s="36" t="str">
        <f t="shared" si="59"/>
        <v/>
      </c>
      <c r="EW10" s="37"/>
    </row>
    <row r="11" spans="1:153" ht="19.5" customHeight="1">
      <c r="A11" s="32">
        <f>IF(DAY(DATE(対象年度,7,8))&lt;&gt;8,"",8)</f>
        <v>8</v>
      </c>
      <c r="B11" s="32" t="str">
        <f>IF(DAY(DATE(対象年度,7,8))&lt;&gt;8,"",CHOOSE(WEEKDAY(DATE(対象年度,7,8),2),"月","火","水","木","金","土","日"))</f>
        <v>水</v>
      </c>
      <c r="C11" s="32" t="str">
        <f>IF(DAY(DATE(対象年度,7,8))&lt;&gt;8,"",IF(ISNUMBER(MATCH(DATE(対象年度,7,8),祝日リスト,0)),"祝",""))</f>
        <v/>
      </c>
      <c r="D11" s="33"/>
      <c r="E11" s="34"/>
      <c r="F11" s="35" t="str">
        <f t="shared" si="0"/>
        <v/>
      </c>
      <c r="G11" s="36" t="str">
        <f t="shared" si="1"/>
        <v/>
      </c>
      <c r="H11" s="37"/>
      <c r="I11" s="33"/>
      <c r="J11" s="34"/>
      <c r="K11" s="35" t="str">
        <f t="shared" si="2"/>
        <v/>
      </c>
      <c r="L11" s="36" t="str">
        <f t="shared" si="3"/>
        <v/>
      </c>
      <c r="M11" s="37"/>
      <c r="N11" s="33"/>
      <c r="O11" s="34"/>
      <c r="P11" s="35" t="str">
        <f t="shared" si="4"/>
        <v/>
      </c>
      <c r="Q11" s="36" t="str">
        <f t="shared" si="5"/>
        <v/>
      </c>
      <c r="R11" s="37"/>
      <c r="S11" s="33"/>
      <c r="T11" s="34"/>
      <c r="U11" s="35" t="str">
        <f t="shared" si="6"/>
        <v/>
      </c>
      <c r="V11" s="36" t="str">
        <f t="shared" si="7"/>
        <v/>
      </c>
      <c r="W11" s="37"/>
      <c r="X11" s="33"/>
      <c r="Y11" s="34"/>
      <c r="Z11" s="35" t="str">
        <f t="shared" si="8"/>
        <v/>
      </c>
      <c r="AA11" s="36" t="str">
        <f t="shared" si="9"/>
        <v/>
      </c>
      <c r="AB11" s="37"/>
      <c r="AC11" s="33"/>
      <c r="AD11" s="34"/>
      <c r="AE11" s="35" t="str">
        <f t="shared" si="10"/>
        <v/>
      </c>
      <c r="AF11" s="36" t="str">
        <f t="shared" si="11"/>
        <v/>
      </c>
      <c r="AG11" s="37"/>
      <c r="AH11" s="33"/>
      <c r="AI11" s="34"/>
      <c r="AJ11" s="35" t="str">
        <f t="shared" si="12"/>
        <v/>
      </c>
      <c r="AK11" s="36" t="str">
        <f t="shared" si="13"/>
        <v/>
      </c>
      <c r="AL11" s="37"/>
      <c r="AM11" s="33"/>
      <c r="AN11" s="34"/>
      <c r="AO11" s="35" t="str">
        <f t="shared" si="14"/>
        <v/>
      </c>
      <c r="AP11" s="36" t="str">
        <f t="shared" si="15"/>
        <v/>
      </c>
      <c r="AQ11" s="37"/>
      <c r="AR11" s="33"/>
      <c r="AS11" s="34"/>
      <c r="AT11" s="35" t="str">
        <f t="shared" si="16"/>
        <v/>
      </c>
      <c r="AU11" s="36" t="str">
        <f t="shared" si="17"/>
        <v/>
      </c>
      <c r="AV11" s="37"/>
      <c r="AW11" s="33"/>
      <c r="AX11" s="34"/>
      <c r="AY11" s="35" t="str">
        <f t="shared" si="18"/>
        <v/>
      </c>
      <c r="AZ11" s="36" t="str">
        <f t="shared" si="19"/>
        <v/>
      </c>
      <c r="BA11" s="37"/>
      <c r="BB11" s="33"/>
      <c r="BC11" s="34"/>
      <c r="BD11" s="35" t="str">
        <f t="shared" si="20"/>
        <v/>
      </c>
      <c r="BE11" s="36" t="str">
        <f t="shared" si="21"/>
        <v/>
      </c>
      <c r="BF11" s="37"/>
      <c r="BG11" s="33"/>
      <c r="BH11" s="34"/>
      <c r="BI11" s="35" t="str">
        <f t="shared" si="22"/>
        <v/>
      </c>
      <c r="BJ11" s="36" t="str">
        <f t="shared" si="23"/>
        <v/>
      </c>
      <c r="BK11" s="37"/>
      <c r="BL11" s="33"/>
      <c r="BM11" s="34"/>
      <c r="BN11" s="35" t="str">
        <f t="shared" si="24"/>
        <v/>
      </c>
      <c r="BO11" s="36" t="str">
        <f t="shared" si="25"/>
        <v/>
      </c>
      <c r="BP11" s="37"/>
      <c r="BQ11" s="33"/>
      <c r="BR11" s="34"/>
      <c r="BS11" s="35" t="str">
        <f t="shared" si="26"/>
        <v/>
      </c>
      <c r="BT11" s="36" t="str">
        <f t="shared" si="27"/>
        <v/>
      </c>
      <c r="BU11" s="37"/>
      <c r="BV11" s="33"/>
      <c r="BW11" s="34"/>
      <c r="BX11" s="35" t="str">
        <f t="shared" si="28"/>
        <v/>
      </c>
      <c r="BY11" s="36" t="str">
        <f t="shared" si="29"/>
        <v/>
      </c>
      <c r="BZ11" s="37"/>
      <c r="CA11" s="33"/>
      <c r="CB11" s="34"/>
      <c r="CC11" s="35" t="str">
        <f t="shared" si="30"/>
        <v/>
      </c>
      <c r="CD11" s="36" t="str">
        <f t="shared" si="31"/>
        <v/>
      </c>
      <c r="CE11" s="37"/>
      <c r="CF11" s="33"/>
      <c r="CG11" s="34"/>
      <c r="CH11" s="35" t="str">
        <f t="shared" si="32"/>
        <v/>
      </c>
      <c r="CI11" s="36" t="str">
        <f t="shared" si="33"/>
        <v/>
      </c>
      <c r="CJ11" s="37"/>
      <c r="CK11" s="33"/>
      <c r="CL11" s="34"/>
      <c r="CM11" s="35" t="str">
        <f t="shared" si="34"/>
        <v/>
      </c>
      <c r="CN11" s="36" t="str">
        <f t="shared" si="35"/>
        <v/>
      </c>
      <c r="CO11" s="37"/>
      <c r="CP11" s="33"/>
      <c r="CQ11" s="34"/>
      <c r="CR11" s="35" t="str">
        <f t="shared" si="36"/>
        <v/>
      </c>
      <c r="CS11" s="36" t="str">
        <f t="shared" si="37"/>
        <v/>
      </c>
      <c r="CT11" s="37"/>
      <c r="CU11" s="33"/>
      <c r="CV11" s="34"/>
      <c r="CW11" s="35" t="str">
        <f t="shared" si="38"/>
        <v/>
      </c>
      <c r="CX11" s="36" t="str">
        <f t="shared" si="39"/>
        <v/>
      </c>
      <c r="CY11" s="37"/>
      <c r="CZ11" s="33"/>
      <c r="DA11" s="34"/>
      <c r="DB11" s="35" t="str">
        <f t="shared" si="40"/>
        <v/>
      </c>
      <c r="DC11" s="36" t="str">
        <f t="shared" si="41"/>
        <v/>
      </c>
      <c r="DD11" s="37"/>
      <c r="DE11" s="33"/>
      <c r="DF11" s="34"/>
      <c r="DG11" s="35" t="str">
        <f t="shared" si="42"/>
        <v/>
      </c>
      <c r="DH11" s="36" t="str">
        <f t="shared" si="43"/>
        <v/>
      </c>
      <c r="DI11" s="37"/>
      <c r="DJ11" s="33"/>
      <c r="DK11" s="34"/>
      <c r="DL11" s="35" t="str">
        <f t="shared" si="44"/>
        <v/>
      </c>
      <c r="DM11" s="36" t="str">
        <f t="shared" si="45"/>
        <v/>
      </c>
      <c r="DN11" s="37"/>
      <c r="DO11" s="33"/>
      <c r="DP11" s="34"/>
      <c r="DQ11" s="35" t="str">
        <f t="shared" si="46"/>
        <v/>
      </c>
      <c r="DR11" s="36" t="str">
        <f t="shared" si="47"/>
        <v/>
      </c>
      <c r="DS11" s="37"/>
      <c r="DT11" s="33"/>
      <c r="DU11" s="34"/>
      <c r="DV11" s="35" t="str">
        <f t="shared" si="48"/>
        <v/>
      </c>
      <c r="DW11" s="36" t="str">
        <f t="shared" si="49"/>
        <v/>
      </c>
      <c r="DX11" s="37"/>
      <c r="DY11" s="33"/>
      <c r="DZ11" s="34"/>
      <c r="EA11" s="35" t="str">
        <f t="shared" si="50"/>
        <v/>
      </c>
      <c r="EB11" s="36" t="str">
        <f t="shared" si="51"/>
        <v/>
      </c>
      <c r="EC11" s="37"/>
      <c r="ED11" s="33"/>
      <c r="EE11" s="34"/>
      <c r="EF11" s="35" t="str">
        <f t="shared" si="52"/>
        <v/>
      </c>
      <c r="EG11" s="36" t="str">
        <f t="shared" si="53"/>
        <v/>
      </c>
      <c r="EH11" s="37"/>
      <c r="EI11" s="33"/>
      <c r="EJ11" s="34"/>
      <c r="EK11" s="35" t="str">
        <f t="shared" si="54"/>
        <v/>
      </c>
      <c r="EL11" s="36" t="str">
        <f t="shared" si="55"/>
        <v/>
      </c>
      <c r="EM11" s="37"/>
      <c r="EN11" s="33"/>
      <c r="EO11" s="34"/>
      <c r="EP11" s="35" t="str">
        <f t="shared" si="56"/>
        <v/>
      </c>
      <c r="EQ11" s="36" t="str">
        <f t="shared" si="57"/>
        <v/>
      </c>
      <c r="ER11" s="37"/>
      <c r="ES11" s="33"/>
      <c r="ET11" s="34"/>
      <c r="EU11" s="35" t="str">
        <f t="shared" si="58"/>
        <v/>
      </c>
      <c r="EV11" s="36" t="str">
        <f t="shared" si="59"/>
        <v/>
      </c>
      <c r="EW11" s="37"/>
    </row>
    <row r="12" spans="1:153" ht="19.5" customHeight="1">
      <c r="A12" s="32">
        <f>IF(DAY(DATE(対象年度,7,9))&lt;&gt;9,"",9)</f>
        <v>9</v>
      </c>
      <c r="B12" s="32" t="str">
        <f>IF(DAY(DATE(対象年度,7,9))&lt;&gt;9,"",CHOOSE(WEEKDAY(DATE(対象年度,7,9),2),"月","火","水","木","金","土","日"))</f>
        <v>木</v>
      </c>
      <c r="C12" s="32" t="str">
        <f>IF(DAY(DATE(対象年度,7,9))&lt;&gt;9,"",IF(ISNUMBER(MATCH(DATE(対象年度,7,9),祝日リスト,0)),"祝",""))</f>
        <v/>
      </c>
      <c r="D12" s="33"/>
      <c r="E12" s="34"/>
      <c r="F12" s="35" t="str">
        <f t="shared" si="0"/>
        <v/>
      </c>
      <c r="G12" s="36" t="str">
        <f t="shared" si="1"/>
        <v/>
      </c>
      <c r="H12" s="37"/>
      <c r="I12" s="33"/>
      <c r="J12" s="34"/>
      <c r="K12" s="35" t="str">
        <f t="shared" si="2"/>
        <v/>
      </c>
      <c r="L12" s="36" t="str">
        <f t="shared" si="3"/>
        <v/>
      </c>
      <c r="M12" s="37"/>
      <c r="N12" s="33"/>
      <c r="O12" s="34"/>
      <c r="P12" s="35" t="str">
        <f t="shared" si="4"/>
        <v/>
      </c>
      <c r="Q12" s="36" t="str">
        <f t="shared" si="5"/>
        <v/>
      </c>
      <c r="R12" s="37"/>
      <c r="S12" s="33"/>
      <c r="T12" s="34"/>
      <c r="U12" s="35" t="str">
        <f t="shared" si="6"/>
        <v/>
      </c>
      <c r="V12" s="36" t="str">
        <f t="shared" si="7"/>
        <v/>
      </c>
      <c r="W12" s="37"/>
      <c r="X12" s="33"/>
      <c r="Y12" s="34"/>
      <c r="Z12" s="35" t="str">
        <f t="shared" si="8"/>
        <v/>
      </c>
      <c r="AA12" s="36" t="str">
        <f t="shared" si="9"/>
        <v/>
      </c>
      <c r="AB12" s="37"/>
      <c r="AC12" s="33"/>
      <c r="AD12" s="34"/>
      <c r="AE12" s="35" t="str">
        <f t="shared" si="10"/>
        <v/>
      </c>
      <c r="AF12" s="36" t="str">
        <f t="shared" si="11"/>
        <v/>
      </c>
      <c r="AG12" s="37"/>
      <c r="AH12" s="33"/>
      <c r="AI12" s="34"/>
      <c r="AJ12" s="35" t="str">
        <f t="shared" si="12"/>
        <v/>
      </c>
      <c r="AK12" s="36" t="str">
        <f t="shared" si="13"/>
        <v/>
      </c>
      <c r="AL12" s="37"/>
      <c r="AM12" s="33"/>
      <c r="AN12" s="34"/>
      <c r="AO12" s="35" t="str">
        <f t="shared" si="14"/>
        <v/>
      </c>
      <c r="AP12" s="36" t="str">
        <f t="shared" si="15"/>
        <v/>
      </c>
      <c r="AQ12" s="37"/>
      <c r="AR12" s="33"/>
      <c r="AS12" s="34"/>
      <c r="AT12" s="35" t="str">
        <f t="shared" si="16"/>
        <v/>
      </c>
      <c r="AU12" s="36" t="str">
        <f t="shared" si="17"/>
        <v/>
      </c>
      <c r="AV12" s="37"/>
      <c r="AW12" s="33"/>
      <c r="AX12" s="34"/>
      <c r="AY12" s="35" t="str">
        <f t="shared" si="18"/>
        <v/>
      </c>
      <c r="AZ12" s="36" t="str">
        <f t="shared" si="19"/>
        <v/>
      </c>
      <c r="BA12" s="37"/>
      <c r="BB12" s="33"/>
      <c r="BC12" s="34"/>
      <c r="BD12" s="35" t="str">
        <f t="shared" si="20"/>
        <v/>
      </c>
      <c r="BE12" s="36" t="str">
        <f t="shared" si="21"/>
        <v/>
      </c>
      <c r="BF12" s="37"/>
      <c r="BG12" s="33"/>
      <c r="BH12" s="34"/>
      <c r="BI12" s="35" t="str">
        <f t="shared" si="22"/>
        <v/>
      </c>
      <c r="BJ12" s="36" t="str">
        <f t="shared" si="23"/>
        <v/>
      </c>
      <c r="BK12" s="37"/>
      <c r="BL12" s="33"/>
      <c r="BM12" s="34"/>
      <c r="BN12" s="35" t="str">
        <f t="shared" si="24"/>
        <v/>
      </c>
      <c r="BO12" s="36" t="str">
        <f t="shared" si="25"/>
        <v/>
      </c>
      <c r="BP12" s="37"/>
      <c r="BQ12" s="33"/>
      <c r="BR12" s="34"/>
      <c r="BS12" s="35" t="str">
        <f t="shared" si="26"/>
        <v/>
      </c>
      <c r="BT12" s="36" t="str">
        <f t="shared" si="27"/>
        <v/>
      </c>
      <c r="BU12" s="37"/>
      <c r="BV12" s="33"/>
      <c r="BW12" s="34"/>
      <c r="BX12" s="35" t="str">
        <f t="shared" si="28"/>
        <v/>
      </c>
      <c r="BY12" s="36" t="str">
        <f t="shared" si="29"/>
        <v/>
      </c>
      <c r="BZ12" s="37"/>
      <c r="CA12" s="33"/>
      <c r="CB12" s="34"/>
      <c r="CC12" s="35" t="str">
        <f t="shared" si="30"/>
        <v/>
      </c>
      <c r="CD12" s="36" t="str">
        <f t="shared" si="31"/>
        <v/>
      </c>
      <c r="CE12" s="37"/>
      <c r="CF12" s="33"/>
      <c r="CG12" s="34"/>
      <c r="CH12" s="35" t="str">
        <f t="shared" si="32"/>
        <v/>
      </c>
      <c r="CI12" s="36" t="str">
        <f t="shared" si="33"/>
        <v/>
      </c>
      <c r="CJ12" s="37"/>
      <c r="CK12" s="33"/>
      <c r="CL12" s="34"/>
      <c r="CM12" s="35" t="str">
        <f t="shared" si="34"/>
        <v/>
      </c>
      <c r="CN12" s="36" t="str">
        <f t="shared" si="35"/>
        <v/>
      </c>
      <c r="CO12" s="37"/>
      <c r="CP12" s="33"/>
      <c r="CQ12" s="34"/>
      <c r="CR12" s="35" t="str">
        <f t="shared" si="36"/>
        <v/>
      </c>
      <c r="CS12" s="36" t="str">
        <f t="shared" si="37"/>
        <v/>
      </c>
      <c r="CT12" s="37"/>
      <c r="CU12" s="33"/>
      <c r="CV12" s="34"/>
      <c r="CW12" s="35" t="str">
        <f t="shared" si="38"/>
        <v/>
      </c>
      <c r="CX12" s="36" t="str">
        <f t="shared" si="39"/>
        <v/>
      </c>
      <c r="CY12" s="37"/>
      <c r="CZ12" s="33"/>
      <c r="DA12" s="34"/>
      <c r="DB12" s="35" t="str">
        <f t="shared" si="40"/>
        <v/>
      </c>
      <c r="DC12" s="36" t="str">
        <f t="shared" si="41"/>
        <v/>
      </c>
      <c r="DD12" s="37"/>
      <c r="DE12" s="33"/>
      <c r="DF12" s="34"/>
      <c r="DG12" s="35" t="str">
        <f t="shared" si="42"/>
        <v/>
      </c>
      <c r="DH12" s="36" t="str">
        <f t="shared" si="43"/>
        <v/>
      </c>
      <c r="DI12" s="37"/>
      <c r="DJ12" s="33"/>
      <c r="DK12" s="34"/>
      <c r="DL12" s="35" t="str">
        <f t="shared" si="44"/>
        <v/>
      </c>
      <c r="DM12" s="36" t="str">
        <f t="shared" si="45"/>
        <v/>
      </c>
      <c r="DN12" s="37"/>
      <c r="DO12" s="33"/>
      <c r="DP12" s="34"/>
      <c r="DQ12" s="35" t="str">
        <f t="shared" si="46"/>
        <v/>
      </c>
      <c r="DR12" s="36" t="str">
        <f t="shared" si="47"/>
        <v/>
      </c>
      <c r="DS12" s="37"/>
      <c r="DT12" s="33"/>
      <c r="DU12" s="34"/>
      <c r="DV12" s="35" t="str">
        <f t="shared" si="48"/>
        <v/>
      </c>
      <c r="DW12" s="36" t="str">
        <f t="shared" si="49"/>
        <v/>
      </c>
      <c r="DX12" s="37"/>
      <c r="DY12" s="33"/>
      <c r="DZ12" s="34"/>
      <c r="EA12" s="35" t="str">
        <f t="shared" si="50"/>
        <v/>
      </c>
      <c r="EB12" s="36" t="str">
        <f t="shared" si="51"/>
        <v/>
      </c>
      <c r="EC12" s="37"/>
      <c r="ED12" s="33"/>
      <c r="EE12" s="34"/>
      <c r="EF12" s="35" t="str">
        <f t="shared" si="52"/>
        <v/>
      </c>
      <c r="EG12" s="36" t="str">
        <f t="shared" si="53"/>
        <v/>
      </c>
      <c r="EH12" s="37"/>
      <c r="EI12" s="33"/>
      <c r="EJ12" s="34"/>
      <c r="EK12" s="35" t="str">
        <f t="shared" si="54"/>
        <v/>
      </c>
      <c r="EL12" s="36" t="str">
        <f t="shared" si="55"/>
        <v/>
      </c>
      <c r="EM12" s="37"/>
      <c r="EN12" s="33"/>
      <c r="EO12" s="34"/>
      <c r="EP12" s="35" t="str">
        <f t="shared" si="56"/>
        <v/>
      </c>
      <c r="EQ12" s="36" t="str">
        <f t="shared" si="57"/>
        <v/>
      </c>
      <c r="ER12" s="37"/>
      <c r="ES12" s="33"/>
      <c r="ET12" s="34"/>
      <c r="EU12" s="35" t="str">
        <f t="shared" si="58"/>
        <v/>
      </c>
      <c r="EV12" s="36" t="str">
        <f t="shared" si="59"/>
        <v/>
      </c>
      <c r="EW12" s="37"/>
    </row>
    <row r="13" spans="1:153" ht="19.5" customHeight="1">
      <c r="A13" s="32">
        <f>IF(DAY(DATE(対象年度,7,10))&lt;&gt;10,"",10)</f>
        <v>10</v>
      </c>
      <c r="B13" s="32" t="str">
        <f>IF(DAY(DATE(対象年度,7,10))&lt;&gt;10,"",CHOOSE(WEEKDAY(DATE(対象年度,7,10),2),"月","火","水","木","金","土","日"))</f>
        <v>金</v>
      </c>
      <c r="C13" s="32" t="str">
        <f>IF(DAY(DATE(対象年度,7,10))&lt;&gt;10,"",IF(ISNUMBER(MATCH(DATE(対象年度,7,10),祝日リスト,0)),"祝",""))</f>
        <v/>
      </c>
      <c r="D13" s="33"/>
      <c r="E13" s="34"/>
      <c r="F13" s="35" t="str">
        <f t="shared" si="0"/>
        <v/>
      </c>
      <c r="G13" s="36" t="str">
        <f t="shared" si="1"/>
        <v/>
      </c>
      <c r="H13" s="37"/>
      <c r="I13" s="33"/>
      <c r="J13" s="34"/>
      <c r="K13" s="35" t="str">
        <f t="shared" si="2"/>
        <v/>
      </c>
      <c r="L13" s="36" t="str">
        <f t="shared" si="3"/>
        <v/>
      </c>
      <c r="M13" s="37"/>
      <c r="N13" s="33"/>
      <c r="O13" s="34"/>
      <c r="P13" s="35" t="str">
        <f t="shared" si="4"/>
        <v/>
      </c>
      <c r="Q13" s="36" t="str">
        <f t="shared" si="5"/>
        <v/>
      </c>
      <c r="R13" s="37"/>
      <c r="S13" s="33"/>
      <c r="T13" s="34"/>
      <c r="U13" s="35" t="str">
        <f t="shared" si="6"/>
        <v/>
      </c>
      <c r="V13" s="36" t="str">
        <f t="shared" si="7"/>
        <v/>
      </c>
      <c r="W13" s="37"/>
      <c r="X13" s="33"/>
      <c r="Y13" s="34"/>
      <c r="Z13" s="35" t="str">
        <f t="shared" si="8"/>
        <v/>
      </c>
      <c r="AA13" s="36" t="str">
        <f t="shared" si="9"/>
        <v/>
      </c>
      <c r="AB13" s="37"/>
      <c r="AC13" s="33"/>
      <c r="AD13" s="34"/>
      <c r="AE13" s="35" t="str">
        <f t="shared" si="10"/>
        <v/>
      </c>
      <c r="AF13" s="36" t="str">
        <f t="shared" si="11"/>
        <v/>
      </c>
      <c r="AG13" s="37"/>
      <c r="AH13" s="33"/>
      <c r="AI13" s="34"/>
      <c r="AJ13" s="35" t="str">
        <f t="shared" si="12"/>
        <v/>
      </c>
      <c r="AK13" s="36" t="str">
        <f t="shared" si="13"/>
        <v/>
      </c>
      <c r="AL13" s="37"/>
      <c r="AM13" s="33"/>
      <c r="AN13" s="34"/>
      <c r="AO13" s="35" t="str">
        <f t="shared" si="14"/>
        <v/>
      </c>
      <c r="AP13" s="36" t="str">
        <f t="shared" si="15"/>
        <v/>
      </c>
      <c r="AQ13" s="37"/>
      <c r="AR13" s="33"/>
      <c r="AS13" s="34"/>
      <c r="AT13" s="35" t="str">
        <f t="shared" si="16"/>
        <v/>
      </c>
      <c r="AU13" s="36" t="str">
        <f t="shared" si="17"/>
        <v/>
      </c>
      <c r="AV13" s="37"/>
      <c r="AW13" s="33"/>
      <c r="AX13" s="34"/>
      <c r="AY13" s="35" t="str">
        <f t="shared" si="18"/>
        <v/>
      </c>
      <c r="AZ13" s="36" t="str">
        <f t="shared" si="19"/>
        <v/>
      </c>
      <c r="BA13" s="37"/>
      <c r="BB13" s="33"/>
      <c r="BC13" s="34"/>
      <c r="BD13" s="35" t="str">
        <f t="shared" si="20"/>
        <v/>
      </c>
      <c r="BE13" s="36" t="str">
        <f t="shared" si="21"/>
        <v/>
      </c>
      <c r="BF13" s="37"/>
      <c r="BG13" s="33"/>
      <c r="BH13" s="34"/>
      <c r="BI13" s="35" t="str">
        <f t="shared" si="22"/>
        <v/>
      </c>
      <c r="BJ13" s="36" t="str">
        <f t="shared" si="23"/>
        <v/>
      </c>
      <c r="BK13" s="37"/>
      <c r="BL13" s="33"/>
      <c r="BM13" s="34"/>
      <c r="BN13" s="35" t="str">
        <f t="shared" si="24"/>
        <v/>
      </c>
      <c r="BO13" s="36" t="str">
        <f t="shared" si="25"/>
        <v/>
      </c>
      <c r="BP13" s="37"/>
      <c r="BQ13" s="33"/>
      <c r="BR13" s="34"/>
      <c r="BS13" s="35" t="str">
        <f t="shared" si="26"/>
        <v/>
      </c>
      <c r="BT13" s="36" t="str">
        <f t="shared" si="27"/>
        <v/>
      </c>
      <c r="BU13" s="37"/>
      <c r="BV13" s="33"/>
      <c r="BW13" s="34"/>
      <c r="BX13" s="35" t="str">
        <f t="shared" si="28"/>
        <v/>
      </c>
      <c r="BY13" s="36" t="str">
        <f t="shared" si="29"/>
        <v/>
      </c>
      <c r="BZ13" s="37"/>
      <c r="CA13" s="33"/>
      <c r="CB13" s="34"/>
      <c r="CC13" s="35" t="str">
        <f t="shared" si="30"/>
        <v/>
      </c>
      <c r="CD13" s="36" t="str">
        <f t="shared" si="31"/>
        <v/>
      </c>
      <c r="CE13" s="37"/>
      <c r="CF13" s="33"/>
      <c r="CG13" s="34"/>
      <c r="CH13" s="35" t="str">
        <f t="shared" si="32"/>
        <v/>
      </c>
      <c r="CI13" s="36" t="str">
        <f t="shared" si="33"/>
        <v/>
      </c>
      <c r="CJ13" s="37"/>
      <c r="CK13" s="33"/>
      <c r="CL13" s="34"/>
      <c r="CM13" s="35" t="str">
        <f t="shared" si="34"/>
        <v/>
      </c>
      <c r="CN13" s="36" t="str">
        <f t="shared" si="35"/>
        <v/>
      </c>
      <c r="CO13" s="37"/>
      <c r="CP13" s="33"/>
      <c r="CQ13" s="34"/>
      <c r="CR13" s="35" t="str">
        <f t="shared" si="36"/>
        <v/>
      </c>
      <c r="CS13" s="36" t="str">
        <f t="shared" si="37"/>
        <v/>
      </c>
      <c r="CT13" s="37"/>
      <c r="CU13" s="33"/>
      <c r="CV13" s="34"/>
      <c r="CW13" s="35" t="str">
        <f t="shared" si="38"/>
        <v/>
      </c>
      <c r="CX13" s="36" t="str">
        <f t="shared" si="39"/>
        <v/>
      </c>
      <c r="CY13" s="37"/>
      <c r="CZ13" s="33"/>
      <c r="DA13" s="34"/>
      <c r="DB13" s="35" t="str">
        <f t="shared" si="40"/>
        <v/>
      </c>
      <c r="DC13" s="36" t="str">
        <f t="shared" si="41"/>
        <v/>
      </c>
      <c r="DD13" s="37"/>
      <c r="DE13" s="33"/>
      <c r="DF13" s="34"/>
      <c r="DG13" s="35" t="str">
        <f t="shared" si="42"/>
        <v/>
      </c>
      <c r="DH13" s="36" t="str">
        <f t="shared" si="43"/>
        <v/>
      </c>
      <c r="DI13" s="37"/>
      <c r="DJ13" s="33"/>
      <c r="DK13" s="34"/>
      <c r="DL13" s="35" t="str">
        <f t="shared" si="44"/>
        <v/>
      </c>
      <c r="DM13" s="36" t="str">
        <f t="shared" si="45"/>
        <v/>
      </c>
      <c r="DN13" s="37"/>
      <c r="DO13" s="33"/>
      <c r="DP13" s="34"/>
      <c r="DQ13" s="35" t="str">
        <f t="shared" si="46"/>
        <v/>
      </c>
      <c r="DR13" s="36" t="str">
        <f t="shared" si="47"/>
        <v/>
      </c>
      <c r="DS13" s="37"/>
      <c r="DT13" s="33"/>
      <c r="DU13" s="34"/>
      <c r="DV13" s="35" t="str">
        <f t="shared" si="48"/>
        <v/>
      </c>
      <c r="DW13" s="36" t="str">
        <f t="shared" si="49"/>
        <v/>
      </c>
      <c r="DX13" s="37"/>
      <c r="DY13" s="33"/>
      <c r="DZ13" s="34"/>
      <c r="EA13" s="35" t="str">
        <f t="shared" si="50"/>
        <v/>
      </c>
      <c r="EB13" s="36" t="str">
        <f t="shared" si="51"/>
        <v/>
      </c>
      <c r="EC13" s="37"/>
      <c r="ED13" s="33"/>
      <c r="EE13" s="34"/>
      <c r="EF13" s="35" t="str">
        <f t="shared" si="52"/>
        <v/>
      </c>
      <c r="EG13" s="36" t="str">
        <f t="shared" si="53"/>
        <v/>
      </c>
      <c r="EH13" s="37"/>
      <c r="EI13" s="33"/>
      <c r="EJ13" s="34"/>
      <c r="EK13" s="35" t="str">
        <f t="shared" si="54"/>
        <v/>
      </c>
      <c r="EL13" s="36" t="str">
        <f t="shared" si="55"/>
        <v/>
      </c>
      <c r="EM13" s="37"/>
      <c r="EN13" s="33"/>
      <c r="EO13" s="34"/>
      <c r="EP13" s="35" t="str">
        <f t="shared" si="56"/>
        <v/>
      </c>
      <c r="EQ13" s="36" t="str">
        <f t="shared" si="57"/>
        <v/>
      </c>
      <c r="ER13" s="37"/>
      <c r="ES13" s="33"/>
      <c r="ET13" s="34"/>
      <c r="EU13" s="35" t="str">
        <f t="shared" si="58"/>
        <v/>
      </c>
      <c r="EV13" s="36" t="str">
        <f t="shared" si="59"/>
        <v/>
      </c>
      <c r="EW13" s="37"/>
    </row>
    <row r="14" spans="1:153" ht="19.5" customHeight="1">
      <c r="A14" s="32">
        <f>IF(DAY(DATE(対象年度,7,11))&lt;&gt;11,"",11)</f>
        <v>11</v>
      </c>
      <c r="B14" s="32" t="str">
        <f>IF(DAY(DATE(対象年度,7,11))&lt;&gt;11,"",CHOOSE(WEEKDAY(DATE(対象年度,7,11),2),"月","火","水","木","金","土","日"))</f>
        <v>土</v>
      </c>
      <c r="C14" s="32" t="str">
        <f>IF(DAY(DATE(対象年度,7,11))&lt;&gt;11,"",IF(ISNUMBER(MATCH(DATE(対象年度,7,11),祝日リスト,0)),"祝",""))</f>
        <v/>
      </c>
      <c r="D14" s="33"/>
      <c r="E14" s="34"/>
      <c r="F14" s="35" t="str">
        <f t="shared" si="0"/>
        <v/>
      </c>
      <c r="G14" s="36" t="str">
        <f t="shared" si="1"/>
        <v/>
      </c>
      <c r="H14" s="37"/>
      <c r="I14" s="33"/>
      <c r="J14" s="34"/>
      <c r="K14" s="35" t="str">
        <f t="shared" si="2"/>
        <v/>
      </c>
      <c r="L14" s="36" t="str">
        <f t="shared" si="3"/>
        <v/>
      </c>
      <c r="M14" s="37"/>
      <c r="N14" s="33"/>
      <c r="O14" s="34"/>
      <c r="P14" s="35" t="str">
        <f t="shared" si="4"/>
        <v/>
      </c>
      <c r="Q14" s="36" t="str">
        <f t="shared" si="5"/>
        <v/>
      </c>
      <c r="R14" s="37"/>
      <c r="S14" s="33"/>
      <c r="T14" s="34"/>
      <c r="U14" s="35" t="str">
        <f t="shared" si="6"/>
        <v/>
      </c>
      <c r="V14" s="36" t="str">
        <f t="shared" si="7"/>
        <v/>
      </c>
      <c r="W14" s="37"/>
      <c r="X14" s="33"/>
      <c r="Y14" s="34"/>
      <c r="Z14" s="35" t="str">
        <f t="shared" si="8"/>
        <v/>
      </c>
      <c r="AA14" s="36" t="str">
        <f t="shared" si="9"/>
        <v/>
      </c>
      <c r="AB14" s="37"/>
      <c r="AC14" s="33"/>
      <c r="AD14" s="34"/>
      <c r="AE14" s="35" t="str">
        <f t="shared" si="10"/>
        <v/>
      </c>
      <c r="AF14" s="36" t="str">
        <f t="shared" si="11"/>
        <v/>
      </c>
      <c r="AG14" s="37"/>
      <c r="AH14" s="33"/>
      <c r="AI14" s="34"/>
      <c r="AJ14" s="35" t="str">
        <f t="shared" si="12"/>
        <v/>
      </c>
      <c r="AK14" s="36" t="str">
        <f t="shared" si="13"/>
        <v/>
      </c>
      <c r="AL14" s="37"/>
      <c r="AM14" s="33"/>
      <c r="AN14" s="34"/>
      <c r="AO14" s="35" t="str">
        <f t="shared" si="14"/>
        <v/>
      </c>
      <c r="AP14" s="36" t="str">
        <f t="shared" si="15"/>
        <v/>
      </c>
      <c r="AQ14" s="37"/>
      <c r="AR14" s="33"/>
      <c r="AS14" s="34"/>
      <c r="AT14" s="35" t="str">
        <f t="shared" si="16"/>
        <v/>
      </c>
      <c r="AU14" s="36" t="str">
        <f t="shared" si="17"/>
        <v/>
      </c>
      <c r="AV14" s="37"/>
      <c r="AW14" s="33"/>
      <c r="AX14" s="34"/>
      <c r="AY14" s="35" t="str">
        <f t="shared" si="18"/>
        <v/>
      </c>
      <c r="AZ14" s="36" t="str">
        <f t="shared" si="19"/>
        <v/>
      </c>
      <c r="BA14" s="37"/>
      <c r="BB14" s="33"/>
      <c r="BC14" s="34"/>
      <c r="BD14" s="35" t="str">
        <f t="shared" si="20"/>
        <v/>
      </c>
      <c r="BE14" s="36" t="str">
        <f t="shared" si="21"/>
        <v/>
      </c>
      <c r="BF14" s="37"/>
      <c r="BG14" s="33"/>
      <c r="BH14" s="34"/>
      <c r="BI14" s="35" t="str">
        <f t="shared" si="22"/>
        <v/>
      </c>
      <c r="BJ14" s="36" t="str">
        <f t="shared" si="23"/>
        <v/>
      </c>
      <c r="BK14" s="37"/>
      <c r="BL14" s="33"/>
      <c r="BM14" s="34"/>
      <c r="BN14" s="35" t="str">
        <f t="shared" si="24"/>
        <v/>
      </c>
      <c r="BO14" s="36" t="str">
        <f t="shared" si="25"/>
        <v/>
      </c>
      <c r="BP14" s="37"/>
      <c r="BQ14" s="33"/>
      <c r="BR14" s="34"/>
      <c r="BS14" s="35" t="str">
        <f t="shared" si="26"/>
        <v/>
      </c>
      <c r="BT14" s="36" t="str">
        <f t="shared" si="27"/>
        <v/>
      </c>
      <c r="BU14" s="37"/>
      <c r="BV14" s="33"/>
      <c r="BW14" s="34"/>
      <c r="BX14" s="35" t="str">
        <f t="shared" si="28"/>
        <v/>
      </c>
      <c r="BY14" s="36" t="str">
        <f t="shared" si="29"/>
        <v/>
      </c>
      <c r="BZ14" s="37"/>
      <c r="CA14" s="33"/>
      <c r="CB14" s="34"/>
      <c r="CC14" s="35" t="str">
        <f t="shared" si="30"/>
        <v/>
      </c>
      <c r="CD14" s="36" t="str">
        <f t="shared" si="31"/>
        <v/>
      </c>
      <c r="CE14" s="37"/>
      <c r="CF14" s="33"/>
      <c r="CG14" s="34"/>
      <c r="CH14" s="35" t="str">
        <f t="shared" si="32"/>
        <v/>
      </c>
      <c r="CI14" s="36" t="str">
        <f t="shared" si="33"/>
        <v/>
      </c>
      <c r="CJ14" s="37"/>
      <c r="CK14" s="33"/>
      <c r="CL14" s="34"/>
      <c r="CM14" s="35" t="str">
        <f t="shared" si="34"/>
        <v/>
      </c>
      <c r="CN14" s="36" t="str">
        <f t="shared" si="35"/>
        <v/>
      </c>
      <c r="CO14" s="37"/>
      <c r="CP14" s="33"/>
      <c r="CQ14" s="34"/>
      <c r="CR14" s="35" t="str">
        <f t="shared" si="36"/>
        <v/>
      </c>
      <c r="CS14" s="36" t="str">
        <f t="shared" si="37"/>
        <v/>
      </c>
      <c r="CT14" s="37"/>
      <c r="CU14" s="33"/>
      <c r="CV14" s="34"/>
      <c r="CW14" s="35" t="str">
        <f t="shared" si="38"/>
        <v/>
      </c>
      <c r="CX14" s="36" t="str">
        <f t="shared" si="39"/>
        <v/>
      </c>
      <c r="CY14" s="37"/>
      <c r="CZ14" s="33"/>
      <c r="DA14" s="34"/>
      <c r="DB14" s="35" t="str">
        <f t="shared" si="40"/>
        <v/>
      </c>
      <c r="DC14" s="36" t="str">
        <f t="shared" si="41"/>
        <v/>
      </c>
      <c r="DD14" s="37"/>
      <c r="DE14" s="33"/>
      <c r="DF14" s="34"/>
      <c r="DG14" s="35" t="str">
        <f t="shared" si="42"/>
        <v/>
      </c>
      <c r="DH14" s="36" t="str">
        <f t="shared" si="43"/>
        <v/>
      </c>
      <c r="DI14" s="37"/>
      <c r="DJ14" s="33"/>
      <c r="DK14" s="34"/>
      <c r="DL14" s="35" t="str">
        <f t="shared" si="44"/>
        <v/>
      </c>
      <c r="DM14" s="36" t="str">
        <f t="shared" si="45"/>
        <v/>
      </c>
      <c r="DN14" s="37"/>
      <c r="DO14" s="33"/>
      <c r="DP14" s="34"/>
      <c r="DQ14" s="35" t="str">
        <f t="shared" si="46"/>
        <v/>
      </c>
      <c r="DR14" s="36" t="str">
        <f t="shared" si="47"/>
        <v/>
      </c>
      <c r="DS14" s="37"/>
      <c r="DT14" s="33"/>
      <c r="DU14" s="34"/>
      <c r="DV14" s="35" t="str">
        <f t="shared" si="48"/>
        <v/>
      </c>
      <c r="DW14" s="36" t="str">
        <f t="shared" si="49"/>
        <v/>
      </c>
      <c r="DX14" s="37"/>
      <c r="DY14" s="33"/>
      <c r="DZ14" s="34"/>
      <c r="EA14" s="35" t="str">
        <f t="shared" si="50"/>
        <v/>
      </c>
      <c r="EB14" s="36" t="str">
        <f t="shared" si="51"/>
        <v/>
      </c>
      <c r="EC14" s="37"/>
      <c r="ED14" s="33"/>
      <c r="EE14" s="34"/>
      <c r="EF14" s="35" t="str">
        <f t="shared" si="52"/>
        <v/>
      </c>
      <c r="EG14" s="36" t="str">
        <f t="shared" si="53"/>
        <v/>
      </c>
      <c r="EH14" s="37"/>
      <c r="EI14" s="33"/>
      <c r="EJ14" s="34"/>
      <c r="EK14" s="35" t="str">
        <f t="shared" si="54"/>
        <v/>
      </c>
      <c r="EL14" s="36" t="str">
        <f t="shared" si="55"/>
        <v/>
      </c>
      <c r="EM14" s="37"/>
      <c r="EN14" s="33"/>
      <c r="EO14" s="34"/>
      <c r="EP14" s="35" t="str">
        <f t="shared" si="56"/>
        <v/>
      </c>
      <c r="EQ14" s="36" t="str">
        <f t="shared" si="57"/>
        <v/>
      </c>
      <c r="ER14" s="37"/>
      <c r="ES14" s="33"/>
      <c r="ET14" s="34"/>
      <c r="EU14" s="35" t="str">
        <f t="shared" si="58"/>
        <v/>
      </c>
      <c r="EV14" s="36" t="str">
        <f t="shared" si="59"/>
        <v/>
      </c>
      <c r="EW14" s="37"/>
    </row>
    <row r="15" spans="1:153" ht="19.5" customHeight="1">
      <c r="A15" s="32">
        <f>IF(DAY(DATE(対象年度,7,12))&lt;&gt;12,"",12)</f>
        <v>12</v>
      </c>
      <c r="B15" s="32" t="str">
        <f>IF(DAY(DATE(対象年度,7,12))&lt;&gt;12,"",CHOOSE(WEEKDAY(DATE(対象年度,7,12),2),"月","火","水","木","金","土","日"))</f>
        <v>日</v>
      </c>
      <c r="C15" s="32" t="str">
        <f>IF(DAY(DATE(対象年度,7,12))&lt;&gt;12,"",IF(ISNUMBER(MATCH(DATE(対象年度,7,12),祝日リスト,0)),"祝",""))</f>
        <v/>
      </c>
      <c r="D15" s="33"/>
      <c r="E15" s="34"/>
      <c r="F15" s="35" t="str">
        <f t="shared" si="0"/>
        <v/>
      </c>
      <c r="G15" s="36" t="str">
        <f t="shared" si="1"/>
        <v/>
      </c>
      <c r="H15" s="37"/>
      <c r="I15" s="33"/>
      <c r="J15" s="34"/>
      <c r="K15" s="35" t="str">
        <f t="shared" si="2"/>
        <v/>
      </c>
      <c r="L15" s="36" t="str">
        <f t="shared" si="3"/>
        <v/>
      </c>
      <c r="M15" s="37"/>
      <c r="N15" s="33"/>
      <c r="O15" s="34"/>
      <c r="P15" s="35" t="str">
        <f t="shared" si="4"/>
        <v/>
      </c>
      <c r="Q15" s="36" t="str">
        <f t="shared" si="5"/>
        <v/>
      </c>
      <c r="R15" s="37"/>
      <c r="S15" s="33"/>
      <c r="T15" s="34"/>
      <c r="U15" s="35" t="str">
        <f t="shared" si="6"/>
        <v/>
      </c>
      <c r="V15" s="36" t="str">
        <f t="shared" si="7"/>
        <v/>
      </c>
      <c r="W15" s="37"/>
      <c r="X15" s="33"/>
      <c r="Y15" s="34"/>
      <c r="Z15" s="35" t="str">
        <f t="shared" si="8"/>
        <v/>
      </c>
      <c r="AA15" s="36" t="str">
        <f t="shared" si="9"/>
        <v/>
      </c>
      <c r="AB15" s="37"/>
      <c r="AC15" s="33"/>
      <c r="AD15" s="34"/>
      <c r="AE15" s="35" t="str">
        <f t="shared" si="10"/>
        <v/>
      </c>
      <c r="AF15" s="36" t="str">
        <f t="shared" si="11"/>
        <v/>
      </c>
      <c r="AG15" s="37"/>
      <c r="AH15" s="33"/>
      <c r="AI15" s="34"/>
      <c r="AJ15" s="35" t="str">
        <f t="shared" si="12"/>
        <v/>
      </c>
      <c r="AK15" s="36" t="str">
        <f t="shared" si="13"/>
        <v/>
      </c>
      <c r="AL15" s="37"/>
      <c r="AM15" s="33"/>
      <c r="AN15" s="34"/>
      <c r="AO15" s="35" t="str">
        <f t="shared" si="14"/>
        <v/>
      </c>
      <c r="AP15" s="36" t="str">
        <f t="shared" si="15"/>
        <v/>
      </c>
      <c r="AQ15" s="37"/>
      <c r="AR15" s="33"/>
      <c r="AS15" s="34"/>
      <c r="AT15" s="35" t="str">
        <f t="shared" si="16"/>
        <v/>
      </c>
      <c r="AU15" s="36" t="str">
        <f t="shared" si="17"/>
        <v/>
      </c>
      <c r="AV15" s="37"/>
      <c r="AW15" s="33"/>
      <c r="AX15" s="34"/>
      <c r="AY15" s="35" t="str">
        <f t="shared" si="18"/>
        <v/>
      </c>
      <c r="AZ15" s="36" t="str">
        <f t="shared" si="19"/>
        <v/>
      </c>
      <c r="BA15" s="37"/>
      <c r="BB15" s="33"/>
      <c r="BC15" s="34"/>
      <c r="BD15" s="35" t="str">
        <f t="shared" si="20"/>
        <v/>
      </c>
      <c r="BE15" s="36" t="str">
        <f t="shared" si="21"/>
        <v/>
      </c>
      <c r="BF15" s="37"/>
      <c r="BG15" s="33"/>
      <c r="BH15" s="34"/>
      <c r="BI15" s="35" t="str">
        <f t="shared" si="22"/>
        <v/>
      </c>
      <c r="BJ15" s="36" t="str">
        <f t="shared" si="23"/>
        <v/>
      </c>
      <c r="BK15" s="37"/>
      <c r="BL15" s="33"/>
      <c r="BM15" s="34"/>
      <c r="BN15" s="35" t="str">
        <f t="shared" si="24"/>
        <v/>
      </c>
      <c r="BO15" s="36" t="str">
        <f t="shared" si="25"/>
        <v/>
      </c>
      <c r="BP15" s="37"/>
      <c r="BQ15" s="33"/>
      <c r="BR15" s="34"/>
      <c r="BS15" s="35" t="str">
        <f t="shared" si="26"/>
        <v/>
      </c>
      <c r="BT15" s="36" t="str">
        <f t="shared" si="27"/>
        <v/>
      </c>
      <c r="BU15" s="37"/>
      <c r="BV15" s="33"/>
      <c r="BW15" s="34"/>
      <c r="BX15" s="35" t="str">
        <f t="shared" si="28"/>
        <v/>
      </c>
      <c r="BY15" s="36" t="str">
        <f t="shared" si="29"/>
        <v/>
      </c>
      <c r="BZ15" s="37"/>
      <c r="CA15" s="33"/>
      <c r="CB15" s="34"/>
      <c r="CC15" s="35" t="str">
        <f t="shared" si="30"/>
        <v/>
      </c>
      <c r="CD15" s="36" t="str">
        <f t="shared" si="31"/>
        <v/>
      </c>
      <c r="CE15" s="37"/>
      <c r="CF15" s="33"/>
      <c r="CG15" s="34"/>
      <c r="CH15" s="35" t="str">
        <f t="shared" si="32"/>
        <v/>
      </c>
      <c r="CI15" s="36" t="str">
        <f t="shared" si="33"/>
        <v/>
      </c>
      <c r="CJ15" s="37"/>
      <c r="CK15" s="33"/>
      <c r="CL15" s="34"/>
      <c r="CM15" s="35" t="str">
        <f t="shared" si="34"/>
        <v/>
      </c>
      <c r="CN15" s="36" t="str">
        <f t="shared" si="35"/>
        <v/>
      </c>
      <c r="CO15" s="37"/>
      <c r="CP15" s="33"/>
      <c r="CQ15" s="34"/>
      <c r="CR15" s="35" t="str">
        <f t="shared" si="36"/>
        <v/>
      </c>
      <c r="CS15" s="36" t="str">
        <f t="shared" si="37"/>
        <v/>
      </c>
      <c r="CT15" s="37"/>
      <c r="CU15" s="33"/>
      <c r="CV15" s="34"/>
      <c r="CW15" s="35" t="str">
        <f t="shared" si="38"/>
        <v/>
      </c>
      <c r="CX15" s="36" t="str">
        <f t="shared" si="39"/>
        <v/>
      </c>
      <c r="CY15" s="37"/>
      <c r="CZ15" s="33"/>
      <c r="DA15" s="34"/>
      <c r="DB15" s="35" t="str">
        <f t="shared" si="40"/>
        <v/>
      </c>
      <c r="DC15" s="36" t="str">
        <f t="shared" si="41"/>
        <v/>
      </c>
      <c r="DD15" s="37"/>
      <c r="DE15" s="33"/>
      <c r="DF15" s="34"/>
      <c r="DG15" s="35" t="str">
        <f t="shared" si="42"/>
        <v/>
      </c>
      <c r="DH15" s="36" t="str">
        <f t="shared" si="43"/>
        <v/>
      </c>
      <c r="DI15" s="37"/>
      <c r="DJ15" s="33"/>
      <c r="DK15" s="34"/>
      <c r="DL15" s="35" t="str">
        <f t="shared" si="44"/>
        <v/>
      </c>
      <c r="DM15" s="36" t="str">
        <f t="shared" si="45"/>
        <v/>
      </c>
      <c r="DN15" s="37"/>
      <c r="DO15" s="33"/>
      <c r="DP15" s="34"/>
      <c r="DQ15" s="35" t="str">
        <f t="shared" si="46"/>
        <v/>
      </c>
      <c r="DR15" s="36" t="str">
        <f t="shared" si="47"/>
        <v/>
      </c>
      <c r="DS15" s="37"/>
      <c r="DT15" s="33"/>
      <c r="DU15" s="34"/>
      <c r="DV15" s="35" t="str">
        <f t="shared" si="48"/>
        <v/>
      </c>
      <c r="DW15" s="36" t="str">
        <f t="shared" si="49"/>
        <v/>
      </c>
      <c r="DX15" s="37"/>
      <c r="DY15" s="33"/>
      <c r="DZ15" s="34"/>
      <c r="EA15" s="35" t="str">
        <f t="shared" si="50"/>
        <v/>
      </c>
      <c r="EB15" s="36" t="str">
        <f t="shared" si="51"/>
        <v/>
      </c>
      <c r="EC15" s="37"/>
      <c r="ED15" s="33"/>
      <c r="EE15" s="34"/>
      <c r="EF15" s="35" t="str">
        <f t="shared" si="52"/>
        <v/>
      </c>
      <c r="EG15" s="36" t="str">
        <f t="shared" si="53"/>
        <v/>
      </c>
      <c r="EH15" s="37"/>
      <c r="EI15" s="33"/>
      <c r="EJ15" s="34"/>
      <c r="EK15" s="35" t="str">
        <f t="shared" si="54"/>
        <v/>
      </c>
      <c r="EL15" s="36" t="str">
        <f t="shared" si="55"/>
        <v/>
      </c>
      <c r="EM15" s="37"/>
      <c r="EN15" s="33"/>
      <c r="EO15" s="34"/>
      <c r="EP15" s="35" t="str">
        <f t="shared" si="56"/>
        <v/>
      </c>
      <c r="EQ15" s="36" t="str">
        <f t="shared" si="57"/>
        <v/>
      </c>
      <c r="ER15" s="37"/>
      <c r="ES15" s="33"/>
      <c r="ET15" s="34"/>
      <c r="EU15" s="35" t="str">
        <f t="shared" si="58"/>
        <v/>
      </c>
      <c r="EV15" s="36" t="str">
        <f t="shared" si="59"/>
        <v/>
      </c>
      <c r="EW15" s="37"/>
    </row>
    <row r="16" spans="1:153" ht="19.5" customHeight="1">
      <c r="A16" s="32">
        <f>IF(DAY(DATE(対象年度,7,13))&lt;&gt;13,"",13)</f>
        <v>13</v>
      </c>
      <c r="B16" s="32" t="str">
        <f>IF(DAY(DATE(対象年度,7,13))&lt;&gt;13,"",CHOOSE(WEEKDAY(DATE(対象年度,7,13),2),"月","火","水","木","金","土","日"))</f>
        <v>月</v>
      </c>
      <c r="C16" s="32" t="str">
        <f>IF(DAY(DATE(対象年度,7,13))&lt;&gt;13,"",IF(ISNUMBER(MATCH(DATE(対象年度,7,13),祝日リスト,0)),"祝",""))</f>
        <v/>
      </c>
      <c r="D16" s="33"/>
      <c r="E16" s="34"/>
      <c r="F16" s="35" t="str">
        <f t="shared" si="0"/>
        <v/>
      </c>
      <c r="G16" s="36" t="str">
        <f t="shared" si="1"/>
        <v/>
      </c>
      <c r="H16" s="37"/>
      <c r="I16" s="33"/>
      <c r="J16" s="34"/>
      <c r="K16" s="35" t="str">
        <f t="shared" si="2"/>
        <v/>
      </c>
      <c r="L16" s="36" t="str">
        <f t="shared" si="3"/>
        <v/>
      </c>
      <c r="M16" s="37"/>
      <c r="N16" s="33"/>
      <c r="O16" s="34"/>
      <c r="P16" s="35" t="str">
        <f t="shared" si="4"/>
        <v/>
      </c>
      <c r="Q16" s="36" t="str">
        <f t="shared" si="5"/>
        <v/>
      </c>
      <c r="R16" s="37"/>
      <c r="S16" s="33"/>
      <c r="T16" s="34"/>
      <c r="U16" s="35" t="str">
        <f t="shared" si="6"/>
        <v/>
      </c>
      <c r="V16" s="36" t="str">
        <f t="shared" si="7"/>
        <v/>
      </c>
      <c r="W16" s="37"/>
      <c r="X16" s="33"/>
      <c r="Y16" s="34"/>
      <c r="Z16" s="35" t="str">
        <f t="shared" si="8"/>
        <v/>
      </c>
      <c r="AA16" s="36" t="str">
        <f t="shared" si="9"/>
        <v/>
      </c>
      <c r="AB16" s="37"/>
      <c r="AC16" s="33"/>
      <c r="AD16" s="34"/>
      <c r="AE16" s="35" t="str">
        <f t="shared" si="10"/>
        <v/>
      </c>
      <c r="AF16" s="36" t="str">
        <f t="shared" si="11"/>
        <v/>
      </c>
      <c r="AG16" s="37"/>
      <c r="AH16" s="33"/>
      <c r="AI16" s="34"/>
      <c r="AJ16" s="35" t="str">
        <f t="shared" si="12"/>
        <v/>
      </c>
      <c r="AK16" s="36" t="str">
        <f t="shared" si="13"/>
        <v/>
      </c>
      <c r="AL16" s="37"/>
      <c r="AM16" s="33"/>
      <c r="AN16" s="34"/>
      <c r="AO16" s="35" t="str">
        <f t="shared" si="14"/>
        <v/>
      </c>
      <c r="AP16" s="36" t="str">
        <f t="shared" si="15"/>
        <v/>
      </c>
      <c r="AQ16" s="37"/>
      <c r="AR16" s="33"/>
      <c r="AS16" s="34"/>
      <c r="AT16" s="35" t="str">
        <f t="shared" si="16"/>
        <v/>
      </c>
      <c r="AU16" s="36" t="str">
        <f t="shared" si="17"/>
        <v/>
      </c>
      <c r="AV16" s="37"/>
      <c r="AW16" s="33"/>
      <c r="AX16" s="34"/>
      <c r="AY16" s="35" t="str">
        <f t="shared" si="18"/>
        <v/>
      </c>
      <c r="AZ16" s="36" t="str">
        <f t="shared" si="19"/>
        <v/>
      </c>
      <c r="BA16" s="37"/>
      <c r="BB16" s="33"/>
      <c r="BC16" s="34"/>
      <c r="BD16" s="35" t="str">
        <f t="shared" si="20"/>
        <v/>
      </c>
      <c r="BE16" s="36" t="str">
        <f t="shared" si="21"/>
        <v/>
      </c>
      <c r="BF16" s="37"/>
      <c r="BG16" s="33"/>
      <c r="BH16" s="34"/>
      <c r="BI16" s="35" t="str">
        <f t="shared" si="22"/>
        <v/>
      </c>
      <c r="BJ16" s="36" t="str">
        <f t="shared" si="23"/>
        <v/>
      </c>
      <c r="BK16" s="37"/>
      <c r="BL16" s="33"/>
      <c r="BM16" s="34"/>
      <c r="BN16" s="35" t="str">
        <f t="shared" si="24"/>
        <v/>
      </c>
      <c r="BO16" s="36" t="str">
        <f t="shared" si="25"/>
        <v/>
      </c>
      <c r="BP16" s="37"/>
      <c r="BQ16" s="33"/>
      <c r="BR16" s="34"/>
      <c r="BS16" s="35" t="str">
        <f t="shared" si="26"/>
        <v/>
      </c>
      <c r="BT16" s="36" t="str">
        <f t="shared" si="27"/>
        <v/>
      </c>
      <c r="BU16" s="37"/>
      <c r="BV16" s="33"/>
      <c r="BW16" s="34"/>
      <c r="BX16" s="35" t="str">
        <f t="shared" si="28"/>
        <v/>
      </c>
      <c r="BY16" s="36" t="str">
        <f t="shared" si="29"/>
        <v/>
      </c>
      <c r="BZ16" s="37"/>
      <c r="CA16" s="33"/>
      <c r="CB16" s="34"/>
      <c r="CC16" s="35" t="str">
        <f t="shared" si="30"/>
        <v/>
      </c>
      <c r="CD16" s="36" t="str">
        <f t="shared" si="31"/>
        <v/>
      </c>
      <c r="CE16" s="37"/>
      <c r="CF16" s="33"/>
      <c r="CG16" s="34"/>
      <c r="CH16" s="35" t="str">
        <f t="shared" si="32"/>
        <v/>
      </c>
      <c r="CI16" s="36" t="str">
        <f t="shared" si="33"/>
        <v/>
      </c>
      <c r="CJ16" s="37"/>
      <c r="CK16" s="33"/>
      <c r="CL16" s="34"/>
      <c r="CM16" s="35" t="str">
        <f t="shared" si="34"/>
        <v/>
      </c>
      <c r="CN16" s="36" t="str">
        <f t="shared" si="35"/>
        <v/>
      </c>
      <c r="CO16" s="37"/>
      <c r="CP16" s="33"/>
      <c r="CQ16" s="34"/>
      <c r="CR16" s="35" t="str">
        <f t="shared" si="36"/>
        <v/>
      </c>
      <c r="CS16" s="36" t="str">
        <f t="shared" si="37"/>
        <v/>
      </c>
      <c r="CT16" s="37"/>
      <c r="CU16" s="33"/>
      <c r="CV16" s="34"/>
      <c r="CW16" s="35" t="str">
        <f t="shared" si="38"/>
        <v/>
      </c>
      <c r="CX16" s="36" t="str">
        <f t="shared" si="39"/>
        <v/>
      </c>
      <c r="CY16" s="37"/>
      <c r="CZ16" s="33"/>
      <c r="DA16" s="34"/>
      <c r="DB16" s="35" t="str">
        <f t="shared" si="40"/>
        <v/>
      </c>
      <c r="DC16" s="36" t="str">
        <f t="shared" si="41"/>
        <v/>
      </c>
      <c r="DD16" s="37"/>
      <c r="DE16" s="33"/>
      <c r="DF16" s="34"/>
      <c r="DG16" s="35" t="str">
        <f t="shared" si="42"/>
        <v/>
      </c>
      <c r="DH16" s="36" t="str">
        <f t="shared" si="43"/>
        <v/>
      </c>
      <c r="DI16" s="37"/>
      <c r="DJ16" s="33"/>
      <c r="DK16" s="34"/>
      <c r="DL16" s="35" t="str">
        <f t="shared" si="44"/>
        <v/>
      </c>
      <c r="DM16" s="36" t="str">
        <f t="shared" si="45"/>
        <v/>
      </c>
      <c r="DN16" s="37"/>
      <c r="DO16" s="33"/>
      <c r="DP16" s="34"/>
      <c r="DQ16" s="35" t="str">
        <f t="shared" si="46"/>
        <v/>
      </c>
      <c r="DR16" s="36" t="str">
        <f t="shared" si="47"/>
        <v/>
      </c>
      <c r="DS16" s="37"/>
      <c r="DT16" s="33"/>
      <c r="DU16" s="34"/>
      <c r="DV16" s="35" t="str">
        <f t="shared" si="48"/>
        <v/>
      </c>
      <c r="DW16" s="36" t="str">
        <f t="shared" si="49"/>
        <v/>
      </c>
      <c r="DX16" s="37"/>
      <c r="DY16" s="33"/>
      <c r="DZ16" s="34"/>
      <c r="EA16" s="35" t="str">
        <f t="shared" si="50"/>
        <v/>
      </c>
      <c r="EB16" s="36" t="str">
        <f t="shared" si="51"/>
        <v/>
      </c>
      <c r="EC16" s="37"/>
      <c r="ED16" s="33"/>
      <c r="EE16" s="34"/>
      <c r="EF16" s="35" t="str">
        <f t="shared" si="52"/>
        <v/>
      </c>
      <c r="EG16" s="36" t="str">
        <f t="shared" si="53"/>
        <v/>
      </c>
      <c r="EH16" s="37"/>
      <c r="EI16" s="33"/>
      <c r="EJ16" s="34"/>
      <c r="EK16" s="35" t="str">
        <f t="shared" si="54"/>
        <v/>
      </c>
      <c r="EL16" s="36" t="str">
        <f t="shared" si="55"/>
        <v/>
      </c>
      <c r="EM16" s="37"/>
      <c r="EN16" s="33"/>
      <c r="EO16" s="34"/>
      <c r="EP16" s="35" t="str">
        <f t="shared" si="56"/>
        <v/>
      </c>
      <c r="EQ16" s="36" t="str">
        <f t="shared" si="57"/>
        <v/>
      </c>
      <c r="ER16" s="37"/>
      <c r="ES16" s="33"/>
      <c r="ET16" s="34"/>
      <c r="EU16" s="35" t="str">
        <f t="shared" si="58"/>
        <v/>
      </c>
      <c r="EV16" s="36" t="str">
        <f t="shared" si="59"/>
        <v/>
      </c>
      <c r="EW16" s="37"/>
    </row>
    <row r="17" spans="1:153" ht="19.5" customHeight="1">
      <c r="A17" s="32">
        <f>IF(DAY(DATE(対象年度,7,14))&lt;&gt;14,"",14)</f>
        <v>14</v>
      </c>
      <c r="B17" s="32" t="str">
        <f>IF(DAY(DATE(対象年度,7,14))&lt;&gt;14,"",CHOOSE(WEEKDAY(DATE(対象年度,7,14),2),"月","火","水","木","金","土","日"))</f>
        <v>火</v>
      </c>
      <c r="C17" s="32" t="str">
        <f>IF(DAY(DATE(対象年度,7,14))&lt;&gt;14,"",IF(ISNUMBER(MATCH(DATE(対象年度,7,14),祝日リスト,0)),"祝",""))</f>
        <v/>
      </c>
      <c r="D17" s="33"/>
      <c r="E17" s="34"/>
      <c r="F17" s="35" t="str">
        <f t="shared" si="0"/>
        <v/>
      </c>
      <c r="G17" s="36" t="str">
        <f t="shared" si="1"/>
        <v/>
      </c>
      <c r="H17" s="37"/>
      <c r="I17" s="33"/>
      <c r="J17" s="34"/>
      <c r="K17" s="35" t="str">
        <f t="shared" si="2"/>
        <v/>
      </c>
      <c r="L17" s="36" t="str">
        <f t="shared" si="3"/>
        <v/>
      </c>
      <c r="M17" s="37"/>
      <c r="N17" s="33"/>
      <c r="O17" s="34"/>
      <c r="P17" s="35" t="str">
        <f t="shared" si="4"/>
        <v/>
      </c>
      <c r="Q17" s="36" t="str">
        <f t="shared" si="5"/>
        <v/>
      </c>
      <c r="R17" s="37"/>
      <c r="S17" s="33"/>
      <c r="T17" s="34"/>
      <c r="U17" s="35" t="str">
        <f t="shared" si="6"/>
        <v/>
      </c>
      <c r="V17" s="36" t="str">
        <f t="shared" si="7"/>
        <v/>
      </c>
      <c r="W17" s="37"/>
      <c r="X17" s="33"/>
      <c r="Y17" s="34"/>
      <c r="Z17" s="35" t="str">
        <f t="shared" si="8"/>
        <v/>
      </c>
      <c r="AA17" s="36" t="str">
        <f t="shared" si="9"/>
        <v/>
      </c>
      <c r="AB17" s="37"/>
      <c r="AC17" s="33"/>
      <c r="AD17" s="34"/>
      <c r="AE17" s="35" t="str">
        <f t="shared" si="10"/>
        <v/>
      </c>
      <c r="AF17" s="36" t="str">
        <f t="shared" si="11"/>
        <v/>
      </c>
      <c r="AG17" s="37"/>
      <c r="AH17" s="33"/>
      <c r="AI17" s="34"/>
      <c r="AJ17" s="35" t="str">
        <f t="shared" si="12"/>
        <v/>
      </c>
      <c r="AK17" s="36" t="str">
        <f t="shared" si="13"/>
        <v/>
      </c>
      <c r="AL17" s="37"/>
      <c r="AM17" s="33"/>
      <c r="AN17" s="34"/>
      <c r="AO17" s="35" t="str">
        <f t="shared" si="14"/>
        <v/>
      </c>
      <c r="AP17" s="36" t="str">
        <f t="shared" si="15"/>
        <v/>
      </c>
      <c r="AQ17" s="37"/>
      <c r="AR17" s="33"/>
      <c r="AS17" s="34"/>
      <c r="AT17" s="35" t="str">
        <f t="shared" si="16"/>
        <v/>
      </c>
      <c r="AU17" s="36" t="str">
        <f t="shared" si="17"/>
        <v/>
      </c>
      <c r="AV17" s="37"/>
      <c r="AW17" s="33"/>
      <c r="AX17" s="34"/>
      <c r="AY17" s="35" t="str">
        <f t="shared" si="18"/>
        <v/>
      </c>
      <c r="AZ17" s="36" t="str">
        <f t="shared" si="19"/>
        <v/>
      </c>
      <c r="BA17" s="37"/>
      <c r="BB17" s="33"/>
      <c r="BC17" s="34"/>
      <c r="BD17" s="35" t="str">
        <f t="shared" si="20"/>
        <v/>
      </c>
      <c r="BE17" s="36" t="str">
        <f t="shared" si="21"/>
        <v/>
      </c>
      <c r="BF17" s="37"/>
      <c r="BG17" s="33"/>
      <c r="BH17" s="34"/>
      <c r="BI17" s="35" t="str">
        <f t="shared" si="22"/>
        <v/>
      </c>
      <c r="BJ17" s="36" t="str">
        <f t="shared" si="23"/>
        <v/>
      </c>
      <c r="BK17" s="37"/>
      <c r="BL17" s="33"/>
      <c r="BM17" s="34"/>
      <c r="BN17" s="35" t="str">
        <f t="shared" si="24"/>
        <v/>
      </c>
      <c r="BO17" s="36" t="str">
        <f t="shared" si="25"/>
        <v/>
      </c>
      <c r="BP17" s="37"/>
      <c r="BQ17" s="33"/>
      <c r="BR17" s="34"/>
      <c r="BS17" s="35" t="str">
        <f t="shared" si="26"/>
        <v/>
      </c>
      <c r="BT17" s="36" t="str">
        <f t="shared" si="27"/>
        <v/>
      </c>
      <c r="BU17" s="37"/>
      <c r="BV17" s="33"/>
      <c r="BW17" s="34"/>
      <c r="BX17" s="35" t="str">
        <f t="shared" si="28"/>
        <v/>
      </c>
      <c r="BY17" s="36" t="str">
        <f t="shared" si="29"/>
        <v/>
      </c>
      <c r="BZ17" s="37"/>
      <c r="CA17" s="33"/>
      <c r="CB17" s="34"/>
      <c r="CC17" s="35" t="str">
        <f t="shared" si="30"/>
        <v/>
      </c>
      <c r="CD17" s="36" t="str">
        <f t="shared" si="31"/>
        <v/>
      </c>
      <c r="CE17" s="37"/>
      <c r="CF17" s="33"/>
      <c r="CG17" s="34"/>
      <c r="CH17" s="35" t="str">
        <f t="shared" si="32"/>
        <v/>
      </c>
      <c r="CI17" s="36" t="str">
        <f t="shared" si="33"/>
        <v/>
      </c>
      <c r="CJ17" s="37"/>
      <c r="CK17" s="33"/>
      <c r="CL17" s="34"/>
      <c r="CM17" s="35" t="str">
        <f t="shared" si="34"/>
        <v/>
      </c>
      <c r="CN17" s="36" t="str">
        <f t="shared" si="35"/>
        <v/>
      </c>
      <c r="CO17" s="37"/>
      <c r="CP17" s="33"/>
      <c r="CQ17" s="34"/>
      <c r="CR17" s="35" t="str">
        <f t="shared" si="36"/>
        <v/>
      </c>
      <c r="CS17" s="36" t="str">
        <f t="shared" si="37"/>
        <v/>
      </c>
      <c r="CT17" s="37"/>
      <c r="CU17" s="33"/>
      <c r="CV17" s="34"/>
      <c r="CW17" s="35" t="str">
        <f t="shared" si="38"/>
        <v/>
      </c>
      <c r="CX17" s="36" t="str">
        <f t="shared" si="39"/>
        <v/>
      </c>
      <c r="CY17" s="37"/>
      <c r="CZ17" s="33"/>
      <c r="DA17" s="34"/>
      <c r="DB17" s="35" t="str">
        <f t="shared" si="40"/>
        <v/>
      </c>
      <c r="DC17" s="36" t="str">
        <f t="shared" si="41"/>
        <v/>
      </c>
      <c r="DD17" s="37"/>
      <c r="DE17" s="33"/>
      <c r="DF17" s="34"/>
      <c r="DG17" s="35" t="str">
        <f t="shared" si="42"/>
        <v/>
      </c>
      <c r="DH17" s="36" t="str">
        <f t="shared" si="43"/>
        <v/>
      </c>
      <c r="DI17" s="37"/>
      <c r="DJ17" s="33"/>
      <c r="DK17" s="34"/>
      <c r="DL17" s="35" t="str">
        <f t="shared" si="44"/>
        <v/>
      </c>
      <c r="DM17" s="36" t="str">
        <f t="shared" si="45"/>
        <v/>
      </c>
      <c r="DN17" s="37"/>
      <c r="DO17" s="33"/>
      <c r="DP17" s="34"/>
      <c r="DQ17" s="35" t="str">
        <f t="shared" si="46"/>
        <v/>
      </c>
      <c r="DR17" s="36" t="str">
        <f t="shared" si="47"/>
        <v/>
      </c>
      <c r="DS17" s="37"/>
      <c r="DT17" s="33"/>
      <c r="DU17" s="34"/>
      <c r="DV17" s="35" t="str">
        <f t="shared" si="48"/>
        <v/>
      </c>
      <c r="DW17" s="36" t="str">
        <f t="shared" si="49"/>
        <v/>
      </c>
      <c r="DX17" s="37"/>
      <c r="DY17" s="33"/>
      <c r="DZ17" s="34"/>
      <c r="EA17" s="35" t="str">
        <f t="shared" si="50"/>
        <v/>
      </c>
      <c r="EB17" s="36" t="str">
        <f t="shared" si="51"/>
        <v/>
      </c>
      <c r="EC17" s="37"/>
      <c r="ED17" s="33"/>
      <c r="EE17" s="34"/>
      <c r="EF17" s="35" t="str">
        <f t="shared" si="52"/>
        <v/>
      </c>
      <c r="EG17" s="36" t="str">
        <f t="shared" si="53"/>
        <v/>
      </c>
      <c r="EH17" s="37"/>
      <c r="EI17" s="33"/>
      <c r="EJ17" s="34"/>
      <c r="EK17" s="35" t="str">
        <f t="shared" si="54"/>
        <v/>
      </c>
      <c r="EL17" s="36" t="str">
        <f t="shared" si="55"/>
        <v/>
      </c>
      <c r="EM17" s="37"/>
      <c r="EN17" s="33"/>
      <c r="EO17" s="34"/>
      <c r="EP17" s="35" t="str">
        <f t="shared" si="56"/>
        <v/>
      </c>
      <c r="EQ17" s="36" t="str">
        <f t="shared" si="57"/>
        <v/>
      </c>
      <c r="ER17" s="37"/>
      <c r="ES17" s="33"/>
      <c r="ET17" s="34"/>
      <c r="EU17" s="35" t="str">
        <f t="shared" si="58"/>
        <v/>
      </c>
      <c r="EV17" s="36" t="str">
        <f t="shared" si="59"/>
        <v/>
      </c>
      <c r="EW17" s="37"/>
    </row>
    <row r="18" spans="1:153" ht="19.5" customHeight="1">
      <c r="A18" s="32">
        <f>IF(DAY(DATE(対象年度,7,15))&lt;&gt;15,"",15)</f>
        <v>15</v>
      </c>
      <c r="B18" s="32" t="str">
        <f>IF(DAY(DATE(対象年度,7,15))&lt;&gt;15,"",CHOOSE(WEEKDAY(DATE(対象年度,7,15),2),"月","火","水","木","金","土","日"))</f>
        <v>水</v>
      </c>
      <c r="C18" s="32" t="str">
        <f>IF(DAY(DATE(対象年度,7,15))&lt;&gt;15,"",IF(ISNUMBER(MATCH(DATE(対象年度,7,15),祝日リスト,0)),"祝",""))</f>
        <v/>
      </c>
      <c r="D18" s="33"/>
      <c r="E18" s="34"/>
      <c r="F18" s="35" t="str">
        <f t="shared" si="0"/>
        <v/>
      </c>
      <c r="G18" s="36" t="str">
        <f t="shared" si="1"/>
        <v/>
      </c>
      <c r="H18" s="37"/>
      <c r="I18" s="33"/>
      <c r="J18" s="34"/>
      <c r="K18" s="35" t="str">
        <f t="shared" si="2"/>
        <v/>
      </c>
      <c r="L18" s="36" t="str">
        <f t="shared" si="3"/>
        <v/>
      </c>
      <c r="M18" s="37"/>
      <c r="N18" s="33"/>
      <c r="O18" s="34"/>
      <c r="P18" s="35" t="str">
        <f t="shared" si="4"/>
        <v/>
      </c>
      <c r="Q18" s="36" t="str">
        <f t="shared" si="5"/>
        <v/>
      </c>
      <c r="R18" s="37"/>
      <c r="S18" s="33"/>
      <c r="T18" s="34"/>
      <c r="U18" s="35" t="str">
        <f t="shared" si="6"/>
        <v/>
      </c>
      <c r="V18" s="36" t="str">
        <f t="shared" si="7"/>
        <v/>
      </c>
      <c r="W18" s="37"/>
      <c r="X18" s="33"/>
      <c r="Y18" s="34"/>
      <c r="Z18" s="35" t="str">
        <f t="shared" si="8"/>
        <v/>
      </c>
      <c r="AA18" s="36" t="str">
        <f t="shared" si="9"/>
        <v/>
      </c>
      <c r="AB18" s="37"/>
      <c r="AC18" s="33"/>
      <c r="AD18" s="34"/>
      <c r="AE18" s="35" t="str">
        <f t="shared" si="10"/>
        <v/>
      </c>
      <c r="AF18" s="36" t="str">
        <f t="shared" si="11"/>
        <v/>
      </c>
      <c r="AG18" s="37"/>
      <c r="AH18" s="33"/>
      <c r="AI18" s="34"/>
      <c r="AJ18" s="35" t="str">
        <f t="shared" si="12"/>
        <v/>
      </c>
      <c r="AK18" s="36" t="str">
        <f t="shared" si="13"/>
        <v/>
      </c>
      <c r="AL18" s="37"/>
      <c r="AM18" s="33"/>
      <c r="AN18" s="34"/>
      <c r="AO18" s="35" t="str">
        <f t="shared" si="14"/>
        <v/>
      </c>
      <c r="AP18" s="36" t="str">
        <f t="shared" si="15"/>
        <v/>
      </c>
      <c r="AQ18" s="37"/>
      <c r="AR18" s="33"/>
      <c r="AS18" s="34"/>
      <c r="AT18" s="35" t="str">
        <f t="shared" si="16"/>
        <v/>
      </c>
      <c r="AU18" s="36" t="str">
        <f t="shared" si="17"/>
        <v/>
      </c>
      <c r="AV18" s="37"/>
      <c r="AW18" s="33"/>
      <c r="AX18" s="34"/>
      <c r="AY18" s="35" t="str">
        <f t="shared" si="18"/>
        <v/>
      </c>
      <c r="AZ18" s="36" t="str">
        <f t="shared" si="19"/>
        <v/>
      </c>
      <c r="BA18" s="37"/>
      <c r="BB18" s="33"/>
      <c r="BC18" s="34"/>
      <c r="BD18" s="35" t="str">
        <f t="shared" si="20"/>
        <v/>
      </c>
      <c r="BE18" s="36" t="str">
        <f t="shared" si="21"/>
        <v/>
      </c>
      <c r="BF18" s="37"/>
      <c r="BG18" s="33"/>
      <c r="BH18" s="34"/>
      <c r="BI18" s="35" t="str">
        <f t="shared" si="22"/>
        <v/>
      </c>
      <c r="BJ18" s="36" t="str">
        <f t="shared" si="23"/>
        <v/>
      </c>
      <c r="BK18" s="37"/>
      <c r="BL18" s="33"/>
      <c r="BM18" s="34"/>
      <c r="BN18" s="35" t="str">
        <f t="shared" si="24"/>
        <v/>
      </c>
      <c r="BO18" s="36" t="str">
        <f t="shared" si="25"/>
        <v/>
      </c>
      <c r="BP18" s="37"/>
      <c r="BQ18" s="33"/>
      <c r="BR18" s="34"/>
      <c r="BS18" s="35" t="str">
        <f t="shared" si="26"/>
        <v/>
      </c>
      <c r="BT18" s="36" t="str">
        <f t="shared" si="27"/>
        <v/>
      </c>
      <c r="BU18" s="37"/>
      <c r="BV18" s="33"/>
      <c r="BW18" s="34"/>
      <c r="BX18" s="35" t="str">
        <f t="shared" si="28"/>
        <v/>
      </c>
      <c r="BY18" s="36" t="str">
        <f t="shared" si="29"/>
        <v/>
      </c>
      <c r="BZ18" s="37"/>
      <c r="CA18" s="33"/>
      <c r="CB18" s="34"/>
      <c r="CC18" s="35" t="str">
        <f t="shared" si="30"/>
        <v/>
      </c>
      <c r="CD18" s="36" t="str">
        <f t="shared" si="31"/>
        <v/>
      </c>
      <c r="CE18" s="37"/>
      <c r="CF18" s="33"/>
      <c r="CG18" s="34"/>
      <c r="CH18" s="35" t="str">
        <f t="shared" si="32"/>
        <v/>
      </c>
      <c r="CI18" s="36" t="str">
        <f t="shared" si="33"/>
        <v/>
      </c>
      <c r="CJ18" s="37"/>
      <c r="CK18" s="33"/>
      <c r="CL18" s="34"/>
      <c r="CM18" s="35" t="str">
        <f t="shared" si="34"/>
        <v/>
      </c>
      <c r="CN18" s="36" t="str">
        <f t="shared" si="35"/>
        <v/>
      </c>
      <c r="CO18" s="37"/>
      <c r="CP18" s="33"/>
      <c r="CQ18" s="34"/>
      <c r="CR18" s="35" t="str">
        <f t="shared" si="36"/>
        <v/>
      </c>
      <c r="CS18" s="36" t="str">
        <f t="shared" si="37"/>
        <v/>
      </c>
      <c r="CT18" s="37"/>
      <c r="CU18" s="33"/>
      <c r="CV18" s="34"/>
      <c r="CW18" s="35" t="str">
        <f t="shared" si="38"/>
        <v/>
      </c>
      <c r="CX18" s="36" t="str">
        <f t="shared" si="39"/>
        <v/>
      </c>
      <c r="CY18" s="37"/>
      <c r="CZ18" s="33"/>
      <c r="DA18" s="34"/>
      <c r="DB18" s="35" t="str">
        <f t="shared" si="40"/>
        <v/>
      </c>
      <c r="DC18" s="36" t="str">
        <f t="shared" si="41"/>
        <v/>
      </c>
      <c r="DD18" s="37"/>
      <c r="DE18" s="33"/>
      <c r="DF18" s="34"/>
      <c r="DG18" s="35" t="str">
        <f t="shared" si="42"/>
        <v/>
      </c>
      <c r="DH18" s="36" t="str">
        <f t="shared" si="43"/>
        <v/>
      </c>
      <c r="DI18" s="37"/>
      <c r="DJ18" s="33"/>
      <c r="DK18" s="34"/>
      <c r="DL18" s="35" t="str">
        <f t="shared" si="44"/>
        <v/>
      </c>
      <c r="DM18" s="36" t="str">
        <f t="shared" si="45"/>
        <v/>
      </c>
      <c r="DN18" s="37"/>
      <c r="DO18" s="33"/>
      <c r="DP18" s="34"/>
      <c r="DQ18" s="35" t="str">
        <f t="shared" si="46"/>
        <v/>
      </c>
      <c r="DR18" s="36" t="str">
        <f t="shared" si="47"/>
        <v/>
      </c>
      <c r="DS18" s="37"/>
      <c r="DT18" s="33"/>
      <c r="DU18" s="34"/>
      <c r="DV18" s="35" t="str">
        <f t="shared" si="48"/>
        <v/>
      </c>
      <c r="DW18" s="36" t="str">
        <f t="shared" si="49"/>
        <v/>
      </c>
      <c r="DX18" s="37"/>
      <c r="DY18" s="33"/>
      <c r="DZ18" s="34"/>
      <c r="EA18" s="35" t="str">
        <f t="shared" si="50"/>
        <v/>
      </c>
      <c r="EB18" s="36" t="str">
        <f t="shared" si="51"/>
        <v/>
      </c>
      <c r="EC18" s="37"/>
      <c r="ED18" s="33"/>
      <c r="EE18" s="34"/>
      <c r="EF18" s="35" t="str">
        <f t="shared" si="52"/>
        <v/>
      </c>
      <c r="EG18" s="36" t="str">
        <f t="shared" si="53"/>
        <v/>
      </c>
      <c r="EH18" s="37"/>
      <c r="EI18" s="33"/>
      <c r="EJ18" s="34"/>
      <c r="EK18" s="35" t="str">
        <f t="shared" si="54"/>
        <v/>
      </c>
      <c r="EL18" s="36" t="str">
        <f t="shared" si="55"/>
        <v/>
      </c>
      <c r="EM18" s="37"/>
      <c r="EN18" s="33"/>
      <c r="EO18" s="34"/>
      <c r="EP18" s="35" t="str">
        <f t="shared" si="56"/>
        <v/>
      </c>
      <c r="EQ18" s="36" t="str">
        <f t="shared" si="57"/>
        <v/>
      </c>
      <c r="ER18" s="37"/>
      <c r="ES18" s="33"/>
      <c r="ET18" s="34"/>
      <c r="EU18" s="35" t="str">
        <f t="shared" si="58"/>
        <v/>
      </c>
      <c r="EV18" s="36" t="str">
        <f t="shared" si="59"/>
        <v/>
      </c>
      <c r="EW18" s="37"/>
    </row>
    <row r="19" spans="1:153" ht="19.5" customHeight="1">
      <c r="A19" s="32">
        <f>IF(DAY(DATE(対象年度,7,16))&lt;&gt;16,"",16)</f>
        <v>16</v>
      </c>
      <c r="B19" s="32" t="str">
        <f>IF(DAY(DATE(対象年度,7,16))&lt;&gt;16,"",CHOOSE(WEEKDAY(DATE(対象年度,7,16),2),"月","火","水","木","金","土","日"))</f>
        <v>木</v>
      </c>
      <c r="C19" s="32" t="str">
        <f>IF(DAY(DATE(対象年度,7,16))&lt;&gt;16,"",IF(ISNUMBER(MATCH(DATE(対象年度,7,16),祝日リスト,0)),"祝",""))</f>
        <v/>
      </c>
      <c r="D19" s="33"/>
      <c r="E19" s="34"/>
      <c r="F19" s="35" t="str">
        <f t="shared" si="0"/>
        <v/>
      </c>
      <c r="G19" s="36" t="str">
        <f t="shared" si="1"/>
        <v/>
      </c>
      <c r="H19" s="37"/>
      <c r="I19" s="33"/>
      <c r="J19" s="34"/>
      <c r="K19" s="35" t="str">
        <f t="shared" si="2"/>
        <v/>
      </c>
      <c r="L19" s="36" t="str">
        <f t="shared" si="3"/>
        <v/>
      </c>
      <c r="M19" s="37"/>
      <c r="N19" s="33"/>
      <c r="O19" s="34"/>
      <c r="P19" s="35" t="str">
        <f t="shared" si="4"/>
        <v/>
      </c>
      <c r="Q19" s="36" t="str">
        <f t="shared" si="5"/>
        <v/>
      </c>
      <c r="R19" s="37"/>
      <c r="S19" s="33"/>
      <c r="T19" s="34"/>
      <c r="U19" s="35" t="str">
        <f t="shared" si="6"/>
        <v/>
      </c>
      <c r="V19" s="36" t="str">
        <f t="shared" si="7"/>
        <v/>
      </c>
      <c r="W19" s="37"/>
      <c r="X19" s="33"/>
      <c r="Y19" s="34"/>
      <c r="Z19" s="35" t="str">
        <f t="shared" si="8"/>
        <v/>
      </c>
      <c r="AA19" s="36" t="str">
        <f t="shared" si="9"/>
        <v/>
      </c>
      <c r="AB19" s="37"/>
      <c r="AC19" s="33"/>
      <c r="AD19" s="34"/>
      <c r="AE19" s="35" t="str">
        <f t="shared" si="10"/>
        <v/>
      </c>
      <c r="AF19" s="36" t="str">
        <f t="shared" si="11"/>
        <v/>
      </c>
      <c r="AG19" s="37"/>
      <c r="AH19" s="33"/>
      <c r="AI19" s="34"/>
      <c r="AJ19" s="35" t="str">
        <f t="shared" si="12"/>
        <v/>
      </c>
      <c r="AK19" s="36" t="str">
        <f t="shared" si="13"/>
        <v/>
      </c>
      <c r="AL19" s="37"/>
      <c r="AM19" s="33"/>
      <c r="AN19" s="34"/>
      <c r="AO19" s="35" t="str">
        <f t="shared" si="14"/>
        <v/>
      </c>
      <c r="AP19" s="36" t="str">
        <f t="shared" si="15"/>
        <v/>
      </c>
      <c r="AQ19" s="37"/>
      <c r="AR19" s="33"/>
      <c r="AS19" s="34"/>
      <c r="AT19" s="35" t="str">
        <f t="shared" si="16"/>
        <v/>
      </c>
      <c r="AU19" s="36" t="str">
        <f t="shared" si="17"/>
        <v/>
      </c>
      <c r="AV19" s="37"/>
      <c r="AW19" s="33"/>
      <c r="AX19" s="34"/>
      <c r="AY19" s="35" t="str">
        <f t="shared" si="18"/>
        <v/>
      </c>
      <c r="AZ19" s="36" t="str">
        <f t="shared" si="19"/>
        <v/>
      </c>
      <c r="BA19" s="37"/>
      <c r="BB19" s="33"/>
      <c r="BC19" s="34"/>
      <c r="BD19" s="35" t="str">
        <f t="shared" si="20"/>
        <v/>
      </c>
      <c r="BE19" s="36" t="str">
        <f t="shared" si="21"/>
        <v/>
      </c>
      <c r="BF19" s="37"/>
      <c r="BG19" s="33"/>
      <c r="BH19" s="34"/>
      <c r="BI19" s="35" t="str">
        <f t="shared" si="22"/>
        <v/>
      </c>
      <c r="BJ19" s="36" t="str">
        <f t="shared" si="23"/>
        <v/>
      </c>
      <c r="BK19" s="37"/>
      <c r="BL19" s="33"/>
      <c r="BM19" s="34"/>
      <c r="BN19" s="35" t="str">
        <f t="shared" si="24"/>
        <v/>
      </c>
      <c r="BO19" s="36" t="str">
        <f t="shared" si="25"/>
        <v/>
      </c>
      <c r="BP19" s="37"/>
      <c r="BQ19" s="33"/>
      <c r="BR19" s="34"/>
      <c r="BS19" s="35" t="str">
        <f t="shared" si="26"/>
        <v/>
      </c>
      <c r="BT19" s="36" t="str">
        <f t="shared" si="27"/>
        <v/>
      </c>
      <c r="BU19" s="37"/>
      <c r="BV19" s="33"/>
      <c r="BW19" s="34"/>
      <c r="BX19" s="35" t="str">
        <f t="shared" si="28"/>
        <v/>
      </c>
      <c r="BY19" s="36" t="str">
        <f t="shared" si="29"/>
        <v/>
      </c>
      <c r="BZ19" s="37"/>
      <c r="CA19" s="33"/>
      <c r="CB19" s="34"/>
      <c r="CC19" s="35" t="str">
        <f t="shared" si="30"/>
        <v/>
      </c>
      <c r="CD19" s="36" t="str">
        <f t="shared" si="31"/>
        <v/>
      </c>
      <c r="CE19" s="37"/>
      <c r="CF19" s="33"/>
      <c r="CG19" s="34"/>
      <c r="CH19" s="35" t="str">
        <f t="shared" si="32"/>
        <v/>
      </c>
      <c r="CI19" s="36" t="str">
        <f t="shared" si="33"/>
        <v/>
      </c>
      <c r="CJ19" s="37"/>
      <c r="CK19" s="33"/>
      <c r="CL19" s="34"/>
      <c r="CM19" s="35" t="str">
        <f t="shared" si="34"/>
        <v/>
      </c>
      <c r="CN19" s="36" t="str">
        <f t="shared" si="35"/>
        <v/>
      </c>
      <c r="CO19" s="37"/>
      <c r="CP19" s="33"/>
      <c r="CQ19" s="34"/>
      <c r="CR19" s="35" t="str">
        <f t="shared" si="36"/>
        <v/>
      </c>
      <c r="CS19" s="36" t="str">
        <f t="shared" si="37"/>
        <v/>
      </c>
      <c r="CT19" s="37"/>
      <c r="CU19" s="33"/>
      <c r="CV19" s="34"/>
      <c r="CW19" s="35" t="str">
        <f t="shared" si="38"/>
        <v/>
      </c>
      <c r="CX19" s="36" t="str">
        <f t="shared" si="39"/>
        <v/>
      </c>
      <c r="CY19" s="37"/>
      <c r="CZ19" s="33"/>
      <c r="DA19" s="34"/>
      <c r="DB19" s="35" t="str">
        <f t="shared" si="40"/>
        <v/>
      </c>
      <c r="DC19" s="36" t="str">
        <f t="shared" si="41"/>
        <v/>
      </c>
      <c r="DD19" s="37"/>
      <c r="DE19" s="33"/>
      <c r="DF19" s="34"/>
      <c r="DG19" s="35" t="str">
        <f t="shared" si="42"/>
        <v/>
      </c>
      <c r="DH19" s="36" t="str">
        <f t="shared" si="43"/>
        <v/>
      </c>
      <c r="DI19" s="37"/>
      <c r="DJ19" s="33"/>
      <c r="DK19" s="34"/>
      <c r="DL19" s="35" t="str">
        <f t="shared" si="44"/>
        <v/>
      </c>
      <c r="DM19" s="36" t="str">
        <f t="shared" si="45"/>
        <v/>
      </c>
      <c r="DN19" s="37"/>
      <c r="DO19" s="33"/>
      <c r="DP19" s="34"/>
      <c r="DQ19" s="35" t="str">
        <f t="shared" si="46"/>
        <v/>
      </c>
      <c r="DR19" s="36" t="str">
        <f t="shared" si="47"/>
        <v/>
      </c>
      <c r="DS19" s="37"/>
      <c r="DT19" s="33"/>
      <c r="DU19" s="34"/>
      <c r="DV19" s="35" t="str">
        <f t="shared" si="48"/>
        <v/>
      </c>
      <c r="DW19" s="36" t="str">
        <f t="shared" si="49"/>
        <v/>
      </c>
      <c r="DX19" s="37"/>
      <c r="DY19" s="33"/>
      <c r="DZ19" s="34"/>
      <c r="EA19" s="35" t="str">
        <f t="shared" si="50"/>
        <v/>
      </c>
      <c r="EB19" s="36" t="str">
        <f t="shared" si="51"/>
        <v/>
      </c>
      <c r="EC19" s="37"/>
      <c r="ED19" s="33"/>
      <c r="EE19" s="34"/>
      <c r="EF19" s="35" t="str">
        <f t="shared" si="52"/>
        <v/>
      </c>
      <c r="EG19" s="36" t="str">
        <f t="shared" si="53"/>
        <v/>
      </c>
      <c r="EH19" s="37"/>
      <c r="EI19" s="33"/>
      <c r="EJ19" s="34"/>
      <c r="EK19" s="35" t="str">
        <f t="shared" si="54"/>
        <v/>
      </c>
      <c r="EL19" s="36" t="str">
        <f t="shared" si="55"/>
        <v/>
      </c>
      <c r="EM19" s="37"/>
      <c r="EN19" s="33"/>
      <c r="EO19" s="34"/>
      <c r="EP19" s="35" t="str">
        <f t="shared" si="56"/>
        <v/>
      </c>
      <c r="EQ19" s="36" t="str">
        <f t="shared" si="57"/>
        <v/>
      </c>
      <c r="ER19" s="37"/>
      <c r="ES19" s="33"/>
      <c r="ET19" s="34"/>
      <c r="EU19" s="35" t="str">
        <f t="shared" si="58"/>
        <v/>
      </c>
      <c r="EV19" s="36" t="str">
        <f t="shared" si="59"/>
        <v/>
      </c>
      <c r="EW19" s="37"/>
    </row>
    <row r="20" spans="1:153" ht="19.5" customHeight="1">
      <c r="A20" s="32">
        <f>IF(DAY(DATE(対象年度,7,17))&lt;&gt;17,"",17)</f>
        <v>17</v>
      </c>
      <c r="B20" s="32" t="str">
        <f>IF(DAY(DATE(対象年度,7,17))&lt;&gt;17,"",CHOOSE(WEEKDAY(DATE(対象年度,7,17),2),"月","火","水","木","金","土","日"))</f>
        <v>金</v>
      </c>
      <c r="C20" s="32" t="str">
        <f>IF(DAY(DATE(対象年度,7,17))&lt;&gt;17,"",IF(ISNUMBER(MATCH(DATE(対象年度,7,17),祝日リスト,0)),"祝",""))</f>
        <v/>
      </c>
      <c r="D20" s="33"/>
      <c r="E20" s="34"/>
      <c r="F20" s="35" t="str">
        <f t="shared" si="0"/>
        <v/>
      </c>
      <c r="G20" s="36" t="str">
        <f t="shared" si="1"/>
        <v/>
      </c>
      <c r="H20" s="37"/>
      <c r="I20" s="33"/>
      <c r="J20" s="34"/>
      <c r="K20" s="35" t="str">
        <f t="shared" si="2"/>
        <v/>
      </c>
      <c r="L20" s="36" t="str">
        <f t="shared" si="3"/>
        <v/>
      </c>
      <c r="M20" s="37"/>
      <c r="N20" s="33"/>
      <c r="O20" s="34"/>
      <c r="P20" s="35" t="str">
        <f t="shared" si="4"/>
        <v/>
      </c>
      <c r="Q20" s="36" t="str">
        <f t="shared" si="5"/>
        <v/>
      </c>
      <c r="R20" s="37"/>
      <c r="S20" s="33"/>
      <c r="T20" s="34"/>
      <c r="U20" s="35" t="str">
        <f t="shared" si="6"/>
        <v/>
      </c>
      <c r="V20" s="36" t="str">
        <f t="shared" si="7"/>
        <v/>
      </c>
      <c r="W20" s="37"/>
      <c r="X20" s="33"/>
      <c r="Y20" s="34"/>
      <c r="Z20" s="35" t="str">
        <f t="shared" si="8"/>
        <v/>
      </c>
      <c r="AA20" s="36" t="str">
        <f t="shared" si="9"/>
        <v/>
      </c>
      <c r="AB20" s="37"/>
      <c r="AC20" s="33"/>
      <c r="AD20" s="34"/>
      <c r="AE20" s="35" t="str">
        <f t="shared" si="10"/>
        <v/>
      </c>
      <c r="AF20" s="36" t="str">
        <f t="shared" si="11"/>
        <v/>
      </c>
      <c r="AG20" s="37"/>
      <c r="AH20" s="33"/>
      <c r="AI20" s="34"/>
      <c r="AJ20" s="35" t="str">
        <f t="shared" si="12"/>
        <v/>
      </c>
      <c r="AK20" s="36" t="str">
        <f t="shared" si="13"/>
        <v/>
      </c>
      <c r="AL20" s="37"/>
      <c r="AM20" s="33"/>
      <c r="AN20" s="34"/>
      <c r="AO20" s="35" t="str">
        <f t="shared" si="14"/>
        <v/>
      </c>
      <c r="AP20" s="36" t="str">
        <f t="shared" si="15"/>
        <v/>
      </c>
      <c r="AQ20" s="37"/>
      <c r="AR20" s="33"/>
      <c r="AS20" s="34"/>
      <c r="AT20" s="35" t="str">
        <f t="shared" si="16"/>
        <v/>
      </c>
      <c r="AU20" s="36" t="str">
        <f t="shared" si="17"/>
        <v/>
      </c>
      <c r="AV20" s="37"/>
      <c r="AW20" s="33"/>
      <c r="AX20" s="34"/>
      <c r="AY20" s="35" t="str">
        <f t="shared" si="18"/>
        <v/>
      </c>
      <c r="AZ20" s="36" t="str">
        <f t="shared" si="19"/>
        <v/>
      </c>
      <c r="BA20" s="37"/>
      <c r="BB20" s="33"/>
      <c r="BC20" s="34"/>
      <c r="BD20" s="35" t="str">
        <f t="shared" si="20"/>
        <v/>
      </c>
      <c r="BE20" s="36" t="str">
        <f t="shared" si="21"/>
        <v/>
      </c>
      <c r="BF20" s="37"/>
      <c r="BG20" s="33"/>
      <c r="BH20" s="34"/>
      <c r="BI20" s="35" t="str">
        <f t="shared" si="22"/>
        <v/>
      </c>
      <c r="BJ20" s="36" t="str">
        <f t="shared" si="23"/>
        <v/>
      </c>
      <c r="BK20" s="37"/>
      <c r="BL20" s="33"/>
      <c r="BM20" s="34"/>
      <c r="BN20" s="35" t="str">
        <f t="shared" si="24"/>
        <v/>
      </c>
      <c r="BO20" s="36" t="str">
        <f t="shared" si="25"/>
        <v/>
      </c>
      <c r="BP20" s="37"/>
      <c r="BQ20" s="33"/>
      <c r="BR20" s="34"/>
      <c r="BS20" s="35" t="str">
        <f t="shared" si="26"/>
        <v/>
      </c>
      <c r="BT20" s="36" t="str">
        <f t="shared" si="27"/>
        <v/>
      </c>
      <c r="BU20" s="37"/>
      <c r="BV20" s="33"/>
      <c r="BW20" s="34"/>
      <c r="BX20" s="35" t="str">
        <f t="shared" si="28"/>
        <v/>
      </c>
      <c r="BY20" s="36" t="str">
        <f t="shared" si="29"/>
        <v/>
      </c>
      <c r="BZ20" s="37"/>
      <c r="CA20" s="33"/>
      <c r="CB20" s="34"/>
      <c r="CC20" s="35" t="str">
        <f t="shared" si="30"/>
        <v/>
      </c>
      <c r="CD20" s="36" t="str">
        <f t="shared" si="31"/>
        <v/>
      </c>
      <c r="CE20" s="37"/>
      <c r="CF20" s="33"/>
      <c r="CG20" s="34"/>
      <c r="CH20" s="35" t="str">
        <f t="shared" si="32"/>
        <v/>
      </c>
      <c r="CI20" s="36" t="str">
        <f t="shared" si="33"/>
        <v/>
      </c>
      <c r="CJ20" s="37"/>
      <c r="CK20" s="33"/>
      <c r="CL20" s="34"/>
      <c r="CM20" s="35" t="str">
        <f t="shared" si="34"/>
        <v/>
      </c>
      <c r="CN20" s="36" t="str">
        <f t="shared" si="35"/>
        <v/>
      </c>
      <c r="CO20" s="37"/>
      <c r="CP20" s="33"/>
      <c r="CQ20" s="34"/>
      <c r="CR20" s="35" t="str">
        <f t="shared" si="36"/>
        <v/>
      </c>
      <c r="CS20" s="36" t="str">
        <f t="shared" si="37"/>
        <v/>
      </c>
      <c r="CT20" s="37"/>
      <c r="CU20" s="33"/>
      <c r="CV20" s="34"/>
      <c r="CW20" s="35" t="str">
        <f t="shared" si="38"/>
        <v/>
      </c>
      <c r="CX20" s="36" t="str">
        <f t="shared" si="39"/>
        <v/>
      </c>
      <c r="CY20" s="37"/>
      <c r="CZ20" s="33"/>
      <c r="DA20" s="34"/>
      <c r="DB20" s="35" t="str">
        <f t="shared" si="40"/>
        <v/>
      </c>
      <c r="DC20" s="36" t="str">
        <f t="shared" si="41"/>
        <v/>
      </c>
      <c r="DD20" s="37"/>
      <c r="DE20" s="33"/>
      <c r="DF20" s="34"/>
      <c r="DG20" s="35" t="str">
        <f t="shared" si="42"/>
        <v/>
      </c>
      <c r="DH20" s="36" t="str">
        <f t="shared" si="43"/>
        <v/>
      </c>
      <c r="DI20" s="37"/>
      <c r="DJ20" s="33"/>
      <c r="DK20" s="34"/>
      <c r="DL20" s="35" t="str">
        <f t="shared" si="44"/>
        <v/>
      </c>
      <c r="DM20" s="36" t="str">
        <f t="shared" si="45"/>
        <v/>
      </c>
      <c r="DN20" s="37"/>
      <c r="DO20" s="33"/>
      <c r="DP20" s="34"/>
      <c r="DQ20" s="35" t="str">
        <f t="shared" si="46"/>
        <v/>
      </c>
      <c r="DR20" s="36" t="str">
        <f t="shared" si="47"/>
        <v/>
      </c>
      <c r="DS20" s="37"/>
      <c r="DT20" s="33"/>
      <c r="DU20" s="34"/>
      <c r="DV20" s="35" t="str">
        <f t="shared" si="48"/>
        <v/>
      </c>
      <c r="DW20" s="36" t="str">
        <f t="shared" si="49"/>
        <v/>
      </c>
      <c r="DX20" s="37"/>
      <c r="DY20" s="33"/>
      <c r="DZ20" s="34"/>
      <c r="EA20" s="35" t="str">
        <f t="shared" si="50"/>
        <v/>
      </c>
      <c r="EB20" s="36" t="str">
        <f t="shared" si="51"/>
        <v/>
      </c>
      <c r="EC20" s="37"/>
      <c r="ED20" s="33"/>
      <c r="EE20" s="34"/>
      <c r="EF20" s="35" t="str">
        <f t="shared" si="52"/>
        <v/>
      </c>
      <c r="EG20" s="36" t="str">
        <f t="shared" si="53"/>
        <v/>
      </c>
      <c r="EH20" s="37"/>
      <c r="EI20" s="33"/>
      <c r="EJ20" s="34"/>
      <c r="EK20" s="35" t="str">
        <f t="shared" si="54"/>
        <v/>
      </c>
      <c r="EL20" s="36" t="str">
        <f t="shared" si="55"/>
        <v/>
      </c>
      <c r="EM20" s="37"/>
      <c r="EN20" s="33"/>
      <c r="EO20" s="34"/>
      <c r="EP20" s="35" t="str">
        <f t="shared" si="56"/>
        <v/>
      </c>
      <c r="EQ20" s="36" t="str">
        <f t="shared" si="57"/>
        <v/>
      </c>
      <c r="ER20" s="37"/>
      <c r="ES20" s="33"/>
      <c r="ET20" s="34"/>
      <c r="EU20" s="35" t="str">
        <f t="shared" si="58"/>
        <v/>
      </c>
      <c r="EV20" s="36" t="str">
        <f t="shared" si="59"/>
        <v/>
      </c>
      <c r="EW20" s="37"/>
    </row>
    <row r="21" spans="1:153" ht="19.5" customHeight="1">
      <c r="A21" s="32">
        <f>IF(DAY(DATE(対象年度,7,18))&lt;&gt;18,"",18)</f>
        <v>18</v>
      </c>
      <c r="B21" s="32" t="str">
        <f>IF(DAY(DATE(対象年度,7,18))&lt;&gt;18,"",CHOOSE(WEEKDAY(DATE(対象年度,7,18),2),"月","火","水","木","金","土","日"))</f>
        <v>土</v>
      </c>
      <c r="C21" s="32" t="str">
        <f>IF(DAY(DATE(対象年度,7,18))&lt;&gt;18,"",IF(ISNUMBER(MATCH(DATE(対象年度,7,18),祝日リスト,0)),"祝",""))</f>
        <v/>
      </c>
      <c r="D21" s="33"/>
      <c r="E21" s="34"/>
      <c r="F21" s="35" t="str">
        <f t="shared" si="0"/>
        <v/>
      </c>
      <c r="G21" s="36" t="str">
        <f t="shared" si="1"/>
        <v/>
      </c>
      <c r="H21" s="37"/>
      <c r="I21" s="33"/>
      <c r="J21" s="34"/>
      <c r="K21" s="35" t="str">
        <f t="shared" si="2"/>
        <v/>
      </c>
      <c r="L21" s="36" t="str">
        <f t="shared" si="3"/>
        <v/>
      </c>
      <c r="M21" s="37"/>
      <c r="N21" s="33"/>
      <c r="O21" s="34"/>
      <c r="P21" s="35" t="str">
        <f t="shared" si="4"/>
        <v/>
      </c>
      <c r="Q21" s="36" t="str">
        <f t="shared" si="5"/>
        <v/>
      </c>
      <c r="R21" s="37"/>
      <c r="S21" s="33"/>
      <c r="T21" s="34"/>
      <c r="U21" s="35" t="str">
        <f t="shared" si="6"/>
        <v/>
      </c>
      <c r="V21" s="36" t="str">
        <f t="shared" si="7"/>
        <v/>
      </c>
      <c r="W21" s="37"/>
      <c r="X21" s="33"/>
      <c r="Y21" s="34"/>
      <c r="Z21" s="35" t="str">
        <f t="shared" si="8"/>
        <v/>
      </c>
      <c r="AA21" s="36" t="str">
        <f t="shared" si="9"/>
        <v/>
      </c>
      <c r="AB21" s="37"/>
      <c r="AC21" s="33"/>
      <c r="AD21" s="34"/>
      <c r="AE21" s="35" t="str">
        <f t="shared" si="10"/>
        <v/>
      </c>
      <c r="AF21" s="36" t="str">
        <f t="shared" si="11"/>
        <v/>
      </c>
      <c r="AG21" s="37"/>
      <c r="AH21" s="33"/>
      <c r="AI21" s="34"/>
      <c r="AJ21" s="35" t="str">
        <f t="shared" si="12"/>
        <v/>
      </c>
      <c r="AK21" s="36" t="str">
        <f t="shared" si="13"/>
        <v/>
      </c>
      <c r="AL21" s="37"/>
      <c r="AM21" s="33"/>
      <c r="AN21" s="34"/>
      <c r="AO21" s="35" t="str">
        <f t="shared" si="14"/>
        <v/>
      </c>
      <c r="AP21" s="36" t="str">
        <f t="shared" si="15"/>
        <v/>
      </c>
      <c r="AQ21" s="37"/>
      <c r="AR21" s="33"/>
      <c r="AS21" s="34"/>
      <c r="AT21" s="35" t="str">
        <f t="shared" si="16"/>
        <v/>
      </c>
      <c r="AU21" s="36" t="str">
        <f t="shared" si="17"/>
        <v/>
      </c>
      <c r="AV21" s="37"/>
      <c r="AW21" s="33"/>
      <c r="AX21" s="34"/>
      <c r="AY21" s="35" t="str">
        <f t="shared" si="18"/>
        <v/>
      </c>
      <c r="AZ21" s="36" t="str">
        <f t="shared" si="19"/>
        <v/>
      </c>
      <c r="BA21" s="37"/>
      <c r="BB21" s="33"/>
      <c r="BC21" s="34"/>
      <c r="BD21" s="35" t="str">
        <f t="shared" si="20"/>
        <v/>
      </c>
      <c r="BE21" s="36" t="str">
        <f t="shared" si="21"/>
        <v/>
      </c>
      <c r="BF21" s="37"/>
      <c r="BG21" s="33"/>
      <c r="BH21" s="34"/>
      <c r="BI21" s="35" t="str">
        <f t="shared" si="22"/>
        <v/>
      </c>
      <c r="BJ21" s="36" t="str">
        <f t="shared" si="23"/>
        <v/>
      </c>
      <c r="BK21" s="37"/>
      <c r="BL21" s="33"/>
      <c r="BM21" s="34"/>
      <c r="BN21" s="35" t="str">
        <f t="shared" si="24"/>
        <v/>
      </c>
      <c r="BO21" s="36" t="str">
        <f t="shared" si="25"/>
        <v/>
      </c>
      <c r="BP21" s="37"/>
      <c r="BQ21" s="33"/>
      <c r="BR21" s="34"/>
      <c r="BS21" s="35" t="str">
        <f t="shared" si="26"/>
        <v/>
      </c>
      <c r="BT21" s="36" t="str">
        <f t="shared" si="27"/>
        <v/>
      </c>
      <c r="BU21" s="37"/>
      <c r="BV21" s="33"/>
      <c r="BW21" s="34"/>
      <c r="BX21" s="35" t="str">
        <f t="shared" si="28"/>
        <v/>
      </c>
      <c r="BY21" s="36" t="str">
        <f t="shared" si="29"/>
        <v/>
      </c>
      <c r="BZ21" s="37"/>
      <c r="CA21" s="33"/>
      <c r="CB21" s="34"/>
      <c r="CC21" s="35" t="str">
        <f t="shared" si="30"/>
        <v/>
      </c>
      <c r="CD21" s="36" t="str">
        <f t="shared" si="31"/>
        <v/>
      </c>
      <c r="CE21" s="37"/>
      <c r="CF21" s="33"/>
      <c r="CG21" s="34"/>
      <c r="CH21" s="35" t="str">
        <f t="shared" si="32"/>
        <v/>
      </c>
      <c r="CI21" s="36" t="str">
        <f t="shared" si="33"/>
        <v/>
      </c>
      <c r="CJ21" s="37"/>
      <c r="CK21" s="33"/>
      <c r="CL21" s="34"/>
      <c r="CM21" s="35" t="str">
        <f t="shared" si="34"/>
        <v/>
      </c>
      <c r="CN21" s="36" t="str">
        <f t="shared" si="35"/>
        <v/>
      </c>
      <c r="CO21" s="37"/>
      <c r="CP21" s="33"/>
      <c r="CQ21" s="34"/>
      <c r="CR21" s="35" t="str">
        <f t="shared" si="36"/>
        <v/>
      </c>
      <c r="CS21" s="36" t="str">
        <f t="shared" si="37"/>
        <v/>
      </c>
      <c r="CT21" s="37"/>
      <c r="CU21" s="33"/>
      <c r="CV21" s="34"/>
      <c r="CW21" s="35" t="str">
        <f t="shared" si="38"/>
        <v/>
      </c>
      <c r="CX21" s="36" t="str">
        <f t="shared" si="39"/>
        <v/>
      </c>
      <c r="CY21" s="37"/>
      <c r="CZ21" s="33"/>
      <c r="DA21" s="34"/>
      <c r="DB21" s="35" t="str">
        <f t="shared" si="40"/>
        <v/>
      </c>
      <c r="DC21" s="36" t="str">
        <f t="shared" si="41"/>
        <v/>
      </c>
      <c r="DD21" s="37"/>
      <c r="DE21" s="33"/>
      <c r="DF21" s="34"/>
      <c r="DG21" s="35" t="str">
        <f t="shared" si="42"/>
        <v/>
      </c>
      <c r="DH21" s="36" t="str">
        <f t="shared" si="43"/>
        <v/>
      </c>
      <c r="DI21" s="37"/>
      <c r="DJ21" s="33"/>
      <c r="DK21" s="34"/>
      <c r="DL21" s="35" t="str">
        <f t="shared" si="44"/>
        <v/>
      </c>
      <c r="DM21" s="36" t="str">
        <f t="shared" si="45"/>
        <v/>
      </c>
      <c r="DN21" s="37"/>
      <c r="DO21" s="33"/>
      <c r="DP21" s="34"/>
      <c r="DQ21" s="35" t="str">
        <f t="shared" si="46"/>
        <v/>
      </c>
      <c r="DR21" s="36" t="str">
        <f t="shared" si="47"/>
        <v/>
      </c>
      <c r="DS21" s="37"/>
      <c r="DT21" s="33"/>
      <c r="DU21" s="34"/>
      <c r="DV21" s="35" t="str">
        <f t="shared" si="48"/>
        <v/>
      </c>
      <c r="DW21" s="36" t="str">
        <f t="shared" si="49"/>
        <v/>
      </c>
      <c r="DX21" s="37"/>
      <c r="DY21" s="33"/>
      <c r="DZ21" s="34"/>
      <c r="EA21" s="35" t="str">
        <f t="shared" si="50"/>
        <v/>
      </c>
      <c r="EB21" s="36" t="str">
        <f t="shared" si="51"/>
        <v/>
      </c>
      <c r="EC21" s="37"/>
      <c r="ED21" s="33"/>
      <c r="EE21" s="34"/>
      <c r="EF21" s="35" t="str">
        <f t="shared" si="52"/>
        <v/>
      </c>
      <c r="EG21" s="36" t="str">
        <f t="shared" si="53"/>
        <v/>
      </c>
      <c r="EH21" s="37"/>
      <c r="EI21" s="33"/>
      <c r="EJ21" s="34"/>
      <c r="EK21" s="35" t="str">
        <f t="shared" si="54"/>
        <v/>
      </c>
      <c r="EL21" s="36" t="str">
        <f t="shared" si="55"/>
        <v/>
      </c>
      <c r="EM21" s="37"/>
      <c r="EN21" s="33"/>
      <c r="EO21" s="34"/>
      <c r="EP21" s="35" t="str">
        <f t="shared" si="56"/>
        <v/>
      </c>
      <c r="EQ21" s="36" t="str">
        <f t="shared" si="57"/>
        <v/>
      </c>
      <c r="ER21" s="37"/>
      <c r="ES21" s="33"/>
      <c r="ET21" s="34"/>
      <c r="EU21" s="35" t="str">
        <f t="shared" si="58"/>
        <v/>
      </c>
      <c r="EV21" s="36" t="str">
        <f t="shared" si="59"/>
        <v/>
      </c>
      <c r="EW21" s="37"/>
    </row>
    <row r="22" spans="1:153" ht="19.5" customHeight="1">
      <c r="A22" s="32">
        <f>IF(DAY(DATE(対象年度,7,19))&lt;&gt;19,"",19)</f>
        <v>19</v>
      </c>
      <c r="B22" s="32" t="str">
        <f>IF(DAY(DATE(対象年度,7,19))&lt;&gt;19,"",CHOOSE(WEEKDAY(DATE(対象年度,7,19),2),"月","火","水","木","金","土","日"))</f>
        <v>日</v>
      </c>
      <c r="C22" s="32" t="str">
        <f>IF(DAY(DATE(対象年度,7,19))&lt;&gt;19,"",IF(ISNUMBER(MATCH(DATE(対象年度,7,19),祝日リスト,0)),"祝",""))</f>
        <v/>
      </c>
      <c r="D22" s="33"/>
      <c r="E22" s="34"/>
      <c r="F22" s="35" t="str">
        <f t="shared" si="0"/>
        <v/>
      </c>
      <c r="G22" s="36" t="str">
        <f t="shared" si="1"/>
        <v/>
      </c>
      <c r="H22" s="37"/>
      <c r="I22" s="33"/>
      <c r="J22" s="34"/>
      <c r="K22" s="35" t="str">
        <f t="shared" si="2"/>
        <v/>
      </c>
      <c r="L22" s="36" t="str">
        <f t="shared" si="3"/>
        <v/>
      </c>
      <c r="M22" s="37"/>
      <c r="N22" s="33"/>
      <c r="O22" s="34"/>
      <c r="P22" s="35" t="str">
        <f t="shared" si="4"/>
        <v/>
      </c>
      <c r="Q22" s="36" t="str">
        <f t="shared" si="5"/>
        <v/>
      </c>
      <c r="R22" s="37"/>
      <c r="S22" s="33"/>
      <c r="T22" s="34"/>
      <c r="U22" s="35" t="str">
        <f t="shared" si="6"/>
        <v/>
      </c>
      <c r="V22" s="36" t="str">
        <f t="shared" si="7"/>
        <v/>
      </c>
      <c r="W22" s="37"/>
      <c r="X22" s="33"/>
      <c r="Y22" s="34"/>
      <c r="Z22" s="35" t="str">
        <f t="shared" si="8"/>
        <v/>
      </c>
      <c r="AA22" s="36" t="str">
        <f t="shared" si="9"/>
        <v/>
      </c>
      <c r="AB22" s="37"/>
      <c r="AC22" s="33"/>
      <c r="AD22" s="34"/>
      <c r="AE22" s="35" t="str">
        <f t="shared" si="10"/>
        <v/>
      </c>
      <c r="AF22" s="36" t="str">
        <f t="shared" si="11"/>
        <v/>
      </c>
      <c r="AG22" s="37"/>
      <c r="AH22" s="33"/>
      <c r="AI22" s="34"/>
      <c r="AJ22" s="35" t="str">
        <f t="shared" si="12"/>
        <v/>
      </c>
      <c r="AK22" s="36" t="str">
        <f t="shared" si="13"/>
        <v/>
      </c>
      <c r="AL22" s="37"/>
      <c r="AM22" s="33"/>
      <c r="AN22" s="34"/>
      <c r="AO22" s="35" t="str">
        <f t="shared" si="14"/>
        <v/>
      </c>
      <c r="AP22" s="36" t="str">
        <f t="shared" si="15"/>
        <v/>
      </c>
      <c r="AQ22" s="37"/>
      <c r="AR22" s="33"/>
      <c r="AS22" s="34"/>
      <c r="AT22" s="35" t="str">
        <f t="shared" si="16"/>
        <v/>
      </c>
      <c r="AU22" s="36" t="str">
        <f t="shared" si="17"/>
        <v/>
      </c>
      <c r="AV22" s="37"/>
      <c r="AW22" s="33"/>
      <c r="AX22" s="34"/>
      <c r="AY22" s="35" t="str">
        <f t="shared" si="18"/>
        <v/>
      </c>
      <c r="AZ22" s="36" t="str">
        <f t="shared" si="19"/>
        <v/>
      </c>
      <c r="BA22" s="37"/>
      <c r="BB22" s="33"/>
      <c r="BC22" s="34"/>
      <c r="BD22" s="35" t="str">
        <f t="shared" si="20"/>
        <v/>
      </c>
      <c r="BE22" s="36" t="str">
        <f t="shared" si="21"/>
        <v/>
      </c>
      <c r="BF22" s="37"/>
      <c r="BG22" s="33"/>
      <c r="BH22" s="34"/>
      <c r="BI22" s="35" t="str">
        <f t="shared" si="22"/>
        <v/>
      </c>
      <c r="BJ22" s="36" t="str">
        <f t="shared" si="23"/>
        <v/>
      </c>
      <c r="BK22" s="37"/>
      <c r="BL22" s="33"/>
      <c r="BM22" s="34"/>
      <c r="BN22" s="35" t="str">
        <f t="shared" si="24"/>
        <v/>
      </c>
      <c r="BO22" s="36" t="str">
        <f t="shared" si="25"/>
        <v/>
      </c>
      <c r="BP22" s="37"/>
      <c r="BQ22" s="33"/>
      <c r="BR22" s="34"/>
      <c r="BS22" s="35" t="str">
        <f t="shared" si="26"/>
        <v/>
      </c>
      <c r="BT22" s="36" t="str">
        <f t="shared" si="27"/>
        <v/>
      </c>
      <c r="BU22" s="37"/>
      <c r="BV22" s="33"/>
      <c r="BW22" s="34"/>
      <c r="BX22" s="35" t="str">
        <f t="shared" si="28"/>
        <v/>
      </c>
      <c r="BY22" s="36" t="str">
        <f t="shared" si="29"/>
        <v/>
      </c>
      <c r="BZ22" s="37"/>
      <c r="CA22" s="33"/>
      <c r="CB22" s="34"/>
      <c r="CC22" s="35" t="str">
        <f t="shared" si="30"/>
        <v/>
      </c>
      <c r="CD22" s="36" t="str">
        <f t="shared" si="31"/>
        <v/>
      </c>
      <c r="CE22" s="37"/>
      <c r="CF22" s="33"/>
      <c r="CG22" s="34"/>
      <c r="CH22" s="35" t="str">
        <f t="shared" si="32"/>
        <v/>
      </c>
      <c r="CI22" s="36" t="str">
        <f t="shared" si="33"/>
        <v/>
      </c>
      <c r="CJ22" s="37"/>
      <c r="CK22" s="33"/>
      <c r="CL22" s="34"/>
      <c r="CM22" s="35" t="str">
        <f t="shared" si="34"/>
        <v/>
      </c>
      <c r="CN22" s="36" t="str">
        <f t="shared" si="35"/>
        <v/>
      </c>
      <c r="CO22" s="37"/>
      <c r="CP22" s="33"/>
      <c r="CQ22" s="34"/>
      <c r="CR22" s="35" t="str">
        <f t="shared" si="36"/>
        <v/>
      </c>
      <c r="CS22" s="36" t="str">
        <f t="shared" si="37"/>
        <v/>
      </c>
      <c r="CT22" s="37"/>
      <c r="CU22" s="33"/>
      <c r="CV22" s="34"/>
      <c r="CW22" s="35" t="str">
        <f t="shared" si="38"/>
        <v/>
      </c>
      <c r="CX22" s="36" t="str">
        <f t="shared" si="39"/>
        <v/>
      </c>
      <c r="CY22" s="37"/>
      <c r="CZ22" s="33"/>
      <c r="DA22" s="34"/>
      <c r="DB22" s="35" t="str">
        <f t="shared" si="40"/>
        <v/>
      </c>
      <c r="DC22" s="36" t="str">
        <f t="shared" si="41"/>
        <v/>
      </c>
      <c r="DD22" s="37"/>
      <c r="DE22" s="33"/>
      <c r="DF22" s="34"/>
      <c r="DG22" s="35" t="str">
        <f t="shared" si="42"/>
        <v/>
      </c>
      <c r="DH22" s="36" t="str">
        <f t="shared" si="43"/>
        <v/>
      </c>
      <c r="DI22" s="37"/>
      <c r="DJ22" s="33"/>
      <c r="DK22" s="34"/>
      <c r="DL22" s="35" t="str">
        <f t="shared" si="44"/>
        <v/>
      </c>
      <c r="DM22" s="36" t="str">
        <f t="shared" si="45"/>
        <v/>
      </c>
      <c r="DN22" s="37"/>
      <c r="DO22" s="33"/>
      <c r="DP22" s="34"/>
      <c r="DQ22" s="35" t="str">
        <f t="shared" si="46"/>
        <v/>
      </c>
      <c r="DR22" s="36" t="str">
        <f t="shared" si="47"/>
        <v/>
      </c>
      <c r="DS22" s="37"/>
      <c r="DT22" s="33"/>
      <c r="DU22" s="34"/>
      <c r="DV22" s="35" t="str">
        <f t="shared" si="48"/>
        <v/>
      </c>
      <c r="DW22" s="36" t="str">
        <f t="shared" si="49"/>
        <v/>
      </c>
      <c r="DX22" s="37"/>
      <c r="DY22" s="33"/>
      <c r="DZ22" s="34"/>
      <c r="EA22" s="35" t="str">
        <f t="shared" si="50"/>
        <v/>
      </c>
      <c r="EB22" s="36" t="str">
        <f t="shared" si="51"/>
        <v/>
      </c>
      <c r="EC22" s="37"/>
      <c r="ED22" s="33"/>
      <c r="EE22" s="34"/>
      <c r="EF22" s="35" t="str">
        <f t="shared" si="52"/>
        <v/>
      </c>
      <c r="EG22" s="36" t="str">
        <f t="shared" si="53"/>
        <v/>
      </c>
      <c r="EH22" s="37"/>
      <c r="EI22" s="33"/>
      <c r="EJ22" s="34"/>
      <c r="EK22" s="35" t="str">
        <f t="shared" si="54"/>
        <v/>
      </c>
      <c r="EL22" s="36" t="str">
        <f t="shared" si="55"/>
        <v/>
      </c>
      <c r="EM22" s="37"/>
      <c r="EN22" s="33"/>
      <c r="EO22" s="34"/>
      <c r="EP22" s="35" t="str">
        <f t="shared" si="56"/>
        <v/>
      </c>
      <c r="EQ22" s="36" t="str">
        <f t="shared" si="57"/>
        <v/>
      </c>
      <c r="ER22" s="37"/>
      <c r="ES22" s="33"/>
      <c r="ET22" s="34"/>
      <c r="EU22" s="35" t="str">
        <f t="shared" si="58"/>
        <v/>
      </c>
      <c r="EV22" s="36" t="str">
        <f t="shared" si="59"/>
        <v/>
      </c>
      <c r="EW22" s="37"/>
    </row>
    <row r="23" spans="1:153" ht="19.5" customHeight="1">
      <c r="A23" s="32">
        <f>IF(DAY(DATE(対象年度,7,20))&lt;&gt;20,"",20)</f>
        <v>20</v>
      </c>
      <c r="B23" s="32" t="str">
        <f>IF(DAY(DATE(対象年度,7,20))&lt;&gt;20,"",CHOOSE(WEEKDAY(DATE(対象年度,7,20),2),"月","火","水","木","金","土","日"))</f>
        <v>月</v>
      </c>
      <c r="C23" s="32" t="str">
        <f>IF(DAY(DATE(対象年度,7,20))&lt;&gt;20,"",IF(ISNUMBER(MATCH(DATE(対象年度,7,20),祝日リスト,0)),"祝",""))</f>
        <v>祝</v>
      </c>
      <c r="D23" s="33"/>
      <c r="E23" s="34"/>
      <c r="F23" s="35" t="str">
        <f t="shared" si="0"/>
        <v/>
      </c>
      <c r="G23" s="36" t="str">
        <f t="shared" si="1"/>
        <v/>
      </c>
      <c r="H23" s="37"/>
      <c r="I23" s="33"/>
      <c r="J23" s="34"/>
      <c r="K23" s="35" t="str">
        <f t="shared" si="2"/>
        <v/>
      </c>
      <c r="L23" s="36" t="str">
        <f t="shared" si="3"/>
        <v/>
      </c>
      <c r="M23" s="37"/>
      <c r="N23" s="33"/>
      <c r="O23" s="34"/>
      <c r="P23" s="35" t="str">
        <f t="shared" si="4"/>
        <v/>
      </c>
      <c r="Q23" s="36" t="str">
        <f t="shared" si="5"/>
        <v/>
      </c>
      <c r="R23" s="37"/>
      <c r="S23" s="33"/>
      <c r="T23" s="34"/>
      <c r="U23" s="35" t="str">
        <f t="shared" si="6"/>
        <v/>
      </c>
      <c r="V23" s="36" t="str">
        <f t="shared" si="7"/>
        <v/>
      </c>
      <c r="W23" s="37"/>
      <c r="X23" s="33"/>
      <c r="Y23" s="34"/>
      <c r="Z23" s="35" t="str">
        <f t="shared" si="8"/>
        <v/>
      </c>
      <c r="AA23" s="36" t="str">
        <f t="shared" si="9"/>
        <v/>
      </c>
      <c r="AB23" s="37"/>
      <c r="AC23" s="33"/>
      <c r="AD23" s="34"/>
      <c r="AE23" s="35" t="str">
        <f t="shared" si="10"/>
        <v/>
      </c>
      <c r="AF23" s="36" t="str">
        <f t="shared" si="11"/>
        <v/>
      </c>
      <c r="AG23" s="37"/>
      <c r="AH23" s="33"/>
      <c r="AI23" s="34"/>
      <c r="AJ23" s="35" t="str">
        <f t="shared" si="12"/>
        <v/>
      </c>
      <c r="AK23" s="36" t="str">
        <f t="shared" si="13"/>
        <v/>
      </c>
      <c r="AL23" s="37"/>
      <c r="AM23" s="33"/>
      <c r="AN23" s="34"/>
      <c r="AO23" s="35" t="str">
        <f t="shared" si="14"/>
        <v/>
      </c>
      <c r="AP23" s="36" t="str">
        <f t="shared" si="15"/>
        <v/>
      </c>
      <c r="AQ23" s="37"/>
      <c r="AR23" s="33"/>
      <c r="AS23" s="34"/>
      <c r="AT23" s="35" t="str">
        <f t="shared" si="16"/>
        <v/>
      </c>
      <c r="AU23" s="36" t="str">
        <f t="shared" si="17"/>
        <v/>
      </c>
      <c r="AV23" s="37"/>
      <c r="AW23" s="33"/>
      <c r="AX23" s="34"/>
      <c r="AY23" s="35" t="str">
        <f t="shared" si="18"/>
        <v/>
      </c>
      <c r="AZ23" s="36" t="str">
        <f t="shared" si="19"/>
        <v/>
      </c>
      <c r="BA23" s="37"/>
      <c r="BB23" s="33"/>
      <c r="BC23" s="34"/>
      <c r="BD23" s="35" t="str">
        <f t="shared" si="20"/>
        <v/>
      </c>
      <c r="BE23" s="36" t="str">
        <f t="shared" si="21"/>
        <v/>
      </c>
      <c r="BF23" s="37"/>
      <c r="BG23" s="33"/>
      <c r="BH23" s="34"/>
      <c r="BI23" s="35" t="str">
        <f t="shared" si="22"/>
        <v/>
      </c>
      <c r="BJ23" s="36" t="str">
        <f t="shared" si="23"/>
        <v/>
      </c>
      <c r="BK23" s="37"/>
      <c r="BL23" s="33"/>
      <c r="BM23" s="34"/>
      <c r="BN23" s="35" t="str">
        <f t="shared" si="24"/>
        <v/>
      </c>
      <c r="BO23" s="36" t="str">
        <f t="shared" si="25"/>
        <v/>
      </c>
      <c r="BP23" s="37"/>
      <c r="BQ23" s="33"/>
      <c r="BR23" s="34"/>
      <c r="BS23" s="35" t="str">
        <f t="shared" si="26"/>
        <v/>
      </c>
      <c r="BT23" s="36" t="str">
        <f t="shared" si="27"/>
        <v/>
      </c>
      <c r="BU23" s="37"/>
      <c r="BV23" s="33"/>
      <c r="BW23" s="34"/>
      <c r="BX23" s="35" t="str">
        <f t="shared" si="28"/>
        <v/>
      </c>
      <c r="BY23" s="36" t="str">
        <f t="shared" si="29"/>
        <v/>
      </c>
      <c r="BZ23" s="37"/>
      <c r="CA23" s="33"/>
      <c r="CB23" s="34"/>
      <c r="CC23" s="35" t="str">
        <f t="shared" si="30"/>
        <v/>
      </c>
      <c r="CD23" s="36" t="str">
        <f t="shared" si="31"/>
        <v/>
      </c>
      <c r="CE23" s="37"/>
      <c r="CF23" s="33"/>
      <c r="CG23" s="34"/>
      <c r="CH23" s="35" t="str">
        <f t="shared" si="32"/>
        <v/>
      </c>
      <c r="CI23" s="36" t="str">
        <f t="shared" si="33"/>
        <v/>
      </c>
      <c r="CJ23" s="37"/>
      <c r="CK23" s="33"/>
      <c r="CL23" s="34"/>
      <c r="CM23" s="35" t="str">
        <f t="shared" si="34"/>
        <v/>
      </c>
      <c r="CN23" s="36" t="str">
        <f t="shared" si="35"/>
        <v/>
      </c>
      <c r="CO23" s="37"/>
      <c r="CP23" s="33"/>
      <c r="CQ23" s="34"/>
      <c r="CR23" s="35" t="str">
        <f t="shared" si="36"/>
        <v/>
      </c>
      <c r="CS23" s="36" t="str">
        <f t="shared" si="37"/>
        <v/>
      </c>
      <c r="CT23" s="37"/>
      <c r="CU23" s="33"/>
      <c r="CV23" s="34"/>
      <c r="CW23" s="35" t="str">
        <f t="shared" si="38"/>
        <v/>
      </c>
      <c r="CX23" s="36" t="str">
        <f t="shared" si="39"/>
        <v/>
      </c>
      <c r="CY23" s="37"/>
      <c r="CZ23" s="33"/>
      <c r="DA23" s="34"/>
      <c r="DB23" s="35" t="str">
        <f t="shared" si="40"/>
        <v/>
      </c>
      <c r="DC23" s="36" t="str">
        <f t="shared" si="41"/>
        <v/>
      </c>
      <c r="DD23" s="37"/>
      <c r="DE23" s="33"/>
      <c r="DF23" s="34"/>
      <c r="DG23" s="35" t="str">
        <f t="shared" si="42"/>
        <v/>
      </c>
      <c r="DH23" s="36" t="str">
        <f t="shared" si="43"/>
        <v/>
      </c>
      <c r="DI23" s="37"/>
      <c r="DJ23" s="33"/>
      <c r="DK23" s="34"/>
      <c r="DL23" s="35" t="str">
        <f t="shared" si="44"/>
        <v/>
      </c>
      <c r="DM23" s="36" t="str">
        <f t="shared" si="45"/>
        <v/>
      </c>
      <c r="DN23" s="37"/>
      <c r="DO23" s="33"/>
      <c r="DP23" s="34"/>
      <c r="DQ23" s="35" t="str">
        <f t="shared" si="46"/>
        <v/>
      </c>
      <c r="DR23" s="36" t="str">
        <f t="shared" si="47"/>
        <v/>
      </c>
      <c r="DS23" s="37"/>
      <c r="DT23" s="33"/>
      <c r="DU23" s="34"/>
      <c r="DV23" s="35" t="str">
        <f t="shared" si="48"/>
        <v/>
      </c>
      <c r="DW23" s="36" t="str">
        <f t="shared" si="49"/>
        <v/>
      </c>
      <c r="DX23" s="37"/>
      <c r="DY23" s="33"/>
      <c r="DZ23" s="34"/>
      <c r="EA23" s="35" t="str">
        <f t="shared" si="50"/>
        <v/>
      </c>
      <c r="EB23" s="36" t="str">
        <f t="shared" si="51"/>
        <v/>
      </c>
      <c r="EC23" s="37"/>
      <c r="ED23" s="33"/>
      <c r="EE23" s="34"/>
      <c r="EF23" s="35" t="str">
        <f t="shared" si="52"/>
        <v/>
      </c>
      <c r="EG23" s="36" t="str">
        <f t="shared" si="53"/>
        <v/>
      </c>
      <c r="EH23" s="37"/>
      <c r="EI23" s="33"/>
      <c r="EJ23" s="34"/>
      <c r="EK23" s="35" t="str">
        <f t="shared" si="54"/>
        <v/>
      </c>
      <c r="EL23" s="36" t="str">
        <f t="shared" si="55"/>
        <v/>
      </c>
      <c r="EM23" s="37"/>
      <c r="EN23" s="33"/>
      <c r="EO23" s="34"/>
      <c r="EP23" s="35" t="str">
        <f t="shared" si="56"/>
        <v/>
      </c>
      <c r="EQ23" s="36" t="str">
        <f t="shared" si="57"/>
        <v/>
      </c>
      <c r="ER23" s="37"/>
      <c r="ES23" s="33"/>
      <c r="ET23" s="34"/>
      <c r="EU23" s="35" t="str">
        <f t="shared" si="58"/>
        <v/>
      </c>
      <c r="EV23" s="36" t="str">
        <f t="shared" si="59"/>
        <v/>
      </c>
      <c r="EW23" s="37"/>
    </row>
    <row r="24" spans="1:153" ht="19.5" customHeight="1">
      <c r="A24" s="32">
        <f>IF(DAY(DATE(対象年度,7,21))&lt;&gt;21,"",21)</f>
        <v>21</v>
      </c>
      <c r="B24" s="32" t="str">
        <f>IF(DAY(DATE(対象年度,7,21))&lt;&gt;21,"",CHOOSE(WEEKDAY(DATE(対象年度,7,21),2),"月","火","水","木","金","土","日"))</f>
        <v>火</v>
      </c>
      <c r="C24" s="32" t="str">
        <f>IF(DAY(DATE(対象年度,7,21))&lt;&gt;21,"",IF(ISNUMBER(MATCH(DATE(対象年度,7,21),祝日リスト,0)),"祝",""))</f>
        <v/>
      </c>
      <c r="D24" s="33"/>
      <c r="E24" s="34"/>
      <c r="F24" s="35" t="str">
        <f t="shared" si="0"/>
        <v/>
      </c>
      <c r="G24" s="36" t="str">
        <f t="shared" si="1"/>
        <v/>
      </c>
      <c r="H24" s="37"/>
      <c r="I24" s="33"/>
      <c r="J24" s="34"/>
      <c r="K24" s="35" t="str">
        <f t="shared" si="2"/>
        <v/>
      </c>
      <c r="L24" s="36" t="str">
        <f t="shared" si="3"/>
        <v/>
      </c>
      <c r="M24" s="37"/>
      <c r="N24" s="33"/>
      <c r="O24" s="34"/>
      <c r="P24" s="35" t="str">
        <f t="shared" si="4"/>
        <v/>
      </c>
      <c r="Q24" s="36" t="str">
        <f t="shared" si="5"/>
        <v/>
      </c>
      <c r="R24" s="37"/>
      <c r="S24" s="33"/>
      <c r="T24" s="34"/>
      <c r="U24" s="35" t="str">
        <f t="shared" si="6"/>
        <v/>
      </c>
      <c r="V24" s="36" t="str">
        <f t="shared" si="7"/>
        <v/>
      </c>
      <c r="W24" s="37"/>
      <c r="X24" s="33"/>
      <c r="Y24" s="34"/>
      <c r="Z24" s="35" t="str">
        <f t="shared" si="8"/>
        <v/>
      </c>
      <c r="AA24" s="36" t="str">
        <f t="shared" si="9"/>
        <v/>
      </c>
      <c r="AB24" s="37"/>
      <c r="AC24" s="33"/>
      <c r="AD24" s="34"/>
      <c r="AE24" s="35" t="str">
        <f t="shared" si="10"/>
        <v/>
      </c>
      <c r="AF24" s="36" t="str">
        <f t="shared" si="11"/>
        <v/>
      </c>
      <c r="AG24" s="37"/>
      <c r="AH24" s="33"/>
      <c r="AI24" s="34"/>
      <c r="AJ24" s="35" t="str">
        <f t="shared" si="12"/>
        <v/>
      </c>
      <c r="AK24" s="36" t="str">
        <f t="shared" si="13"/>
        <v/>
      </c>
      <c r="AL24" s="37"/>
      <c r="AM24" s="33"/>
      <c r="AN24" s="34"/>
      <c r="AO24" s="35" t="str">
        <f t="shared" si="14"/>
        <v/>
      </c>
      <c r="AP24" s="36" t="str">
        <f t="shared" si="15"/>
        <v/>
      </c>
      <c r="AQ24" s="37"/>
      <c r="AR24" s="33"/>
      <c r="AS24" s="34"/>
      <c r="AT24" s="35" t="str">
        <f t="shared" si="16"/>
        <v/>
      </c>
      <c r="AU24" s="36" t="str">
        <f t="shared" si="17"/>
        <v/>
      </c>
      <c r="AV24" s="37"/>
      <c r="AW24" s="33"/>
      <c r="AX24" s="34"/>
      <c r="AY24" s="35" t="str">
        <f t="shared" si="18"/>
        <v/>
      </c>
      <c r="AZ24" s="36" t="str">
        <f t="shared" si="19"/>
        <v/>
      </c>
      <c r="BA24" s="37"/>
      <c r="BB24" s="33"/>
      <c r="BC24" s="34"/>
      <c r="BD24" s="35" t="str">
        <f t="shared" si="20"/>
        <v/>
      </c>
      <c r="BE24" s="36" t="str">
        <f t="shared" si="21"/>
        <v/>
      </c>
      <c r="BF24" s="37"/>
      <c r="BG24" s="33"/>
      <c r="BH24" s="34"/>
      <c r="BI24" s="35" t="str">
        <f t="shared" si="22"/>
        <v/>
      </c>
      <c r="BJ24" s="36" t="str">
        <f t="shared" si="23"/>
        <v/>
      </c>
      <c r="BK24" s="37"/>
      <c r="BL24" s="33"/>
      <c r="BM24" s="34"/>
      <c r="BN24" s="35" t="str">
        <f t="shared" si="24"/>
        <v/>
      </c>
      <c r="BO24" s="36" t="str">
        <f t="shared" si="25"/>
        <v/>
      </c>
      <c r="BP24" s="37"/>
      <c r="BQ24" s="33"/>
      <c r="BR24" s="34"/>
      <c r="BS24" s="35" t="str">
        <f t="shared" si="26"/>
        <v/>
      </c>
      <c r="BT24" s="36" t="str">
        <f t="shared" si="27"/>
        <v/>
      </c>
      <c r="BU24" s="37"/>
      <c r="BV24" s="33"/>
      <c r="BW24" s="34"/>
      <c r="BX24" s="35" t="str">
        <f t="shared" si="28"/>
        <v/>
      </c>
      <c r="BY24" s="36" t="str">
        <f t="shared" si="29"/>
        <v/>
      </c>
      <c r="BZ24" s="37"/>
      <c r="CA24" s="33"/>
      <c r="CB24" s="34"/>
      <c r="CC24" s="35" t="str">
        <f t="shared" si="30"/>
        <v/>
      </c>
      <c r="CD24" s="36" t="str">
        <f t="shared" si="31"/>
        <v/>
      </c>
      <c r="CE24" s="37"/>
      <c r="CF24" s="33"/>
      <c r="CG24" s="34"/>
      <c r="CH24" s="35" t="str">
        <f t="shared" si="32"/>
        <v/>
      </c>
      <c r="CI24" s="36" t="str">
        <f t="shared" si="33"/>
        <v/>
      </c>
      <c r="CJ24" s="37"/>
      <c r="CK24" s="33"/>
      <c r="CL24" s="34"/>
      <c r="CM24" s="35" t="str">
        <f t="shared" si="34"/>
        <v/>
      </c>
      <c r="CN24" s="36" t="str">
        <f t="shared" si="35"/>
        <v/>
      </c>
      <c r="CO24" s="37"/>
      <c r="CP24" s="33"/>
      <c r="CQ24" s="34"/>
      <c r="CR24" s="35" t="str">
        <f t="shared" si="36"/>
        <v/>
      </c>
      <c r="CS24" s="36" t="str">
        <f t="shared" si="37"/>
        <v/>
      </c>
      <c r="CT24" s="37"/>
      <c r="CU24" s="33"/>
      <c r="CV24" s="34"/>
      <c r="CW24" s="35" t="str">
        <f t="shared" si="38"/>
        <v/>
      </c>
      <c r="CX24" s="36" t="str">
        <f t="shared" si="39"/>
        <v/>
      </c>
      <c r="CY24" s="37"/>
      <c r="CZ24" s="33"/>
      <c r="DA24" s="34"/>
      <c r="DB24" s="35" t="str">
        <f t="shared" si="40"/>
        <v/>
      </c>
      <c r="DC24" s="36" t="str">
        <f t="shared" si="41"/>
        <v/>
      </c>
      <c r="DD24" s="37"/>
      <c r="DE24" s="33"/>
      <c r="DF24" s="34"/>
      <c r="DG24" s="35" t="str">
        <f t="shared" si="42"/>
        <v/>
      </c>
      <c r="DH24" s="36" t="str">
        <f t="shared" si="43"/>
        <v/>
      </c>
      <c r="DI24" s="37"/>
      <c r="DJ24" s="33"/>
      <c r="DK24" s="34"/>
      <c r="DL24" s="35" t="str">
        <f t="shared" si="44"/>
        <v/>
      </c>
      <c r="DM24" s="36" t="str">
        <f t="shared" si="45"/>
        <v/>
      </c>
      <c r="DN24" s="37"/>
      <c r="DO24" s="33"/>
      <c r="DP24" s="34"/>
      <c r="DQ24" s="35" t="str">
        <f t="shared" si="46"/>
        <v/>
      </c>
      <c r="DR24" s="36" t="str">
        <f t="shared" si="47"/>
        <v/>
      </c>
      <c r="DS24" s="37"/>
      <c r="DT24" s="33"/>
      <c r="DU24" s="34"/>
      <c r="DV24" s="35" t="str">
        <f t="shared" si="48"/>
        <v/>
      </c>
      <c r="DW24" s="36" t="str">
        <f t="shared" si="49"/>
        <v/>
      </c>
      <c r="DX24" s="37"/>
      <c r="DY24" s="33"/>
      <c r="DZ24" s="34"/>
      <c r="EA24" s="35" t="str">
        <f t="shared" si="50"/>
        <v/>
      </c>
      <c r="EB24" s="36" t="str">
        <f t="shared" si="51"/>
        <v/>
      </c>
      <c r="EC24" s="37"/>
      <c r="ED24" s="33"/>
      <c r="EE24" s="34"/>
      <c r="EF24" s="35" t="str">
        <f t="shared" si="52"/>
        <v/>
      </c>
      <c r="EG24" s="36" t="str">
        <f t="shared" si="53"/>
        <v/>
      </c>
      <c r="EH24" s="37"/>
      <c r="EI24" s="33"/>
      <c r="EJ24" s="34"/>
      <c r="EK24" s="35" t="str">
        <f t="shared" si="54"/>
        <v/>
      </c>
      <c r="EL24" s="36" t="str">
        <f t="shared" si="55"/>
        <v/>
      </c>
      <c r="EM24" s="37"/>
      <c r="EN24" s="33"/>
      <c r="EO24" s="34"/>
      <c r="EP24" s="35" t="str">
        <f t="shared" si="56"/>
        <v/>
      </c>
      <c r="EQ24" s="36" t="str">
        <f t="shared" si="57"/>
        <v/>
      </c>
      <c r="ER24" s="37"/>
      <c r="ES24" s="33"/>
      <c r="ET24" s="34"/>
      <c r="EU24" s="35" t="str">
        <f t="shared" si="58"/>
        <v/>
      </c>
      <c r="EV24" s="36" t="str">
        <f t="shared" si="59"/>
        <v/>
      </c>
      <c r="EW24" s="37"/>
    </row>
    <row r="25" spans="1:153" ht="19.5" customHeight="1">
      <c r="A25" s="32">
        <f>IF(DAY(DATE(対象年度,7,22))&lt;&gt;22,"",22)</f>
        <v>22</v>
      </c>
      <c r="B25" s="32" t="str">
        <f>IF(DAY(DATE(対象年度,7,22))&lt;&gt;22,"",CHOOSE(WEEKDAY(DATE(対象年度,7,22),2),"月","火","水","木","金","土","日"))</f>
        <v>水</v>
      </c>
      <c r="C25" s="32" t="str">
        <f>IF(DAY(DATE(対象年度,7,22))&lt;&gt;22,"",IF(ISNUMBER(MATCH(DATE(対象年度,7,22),祝日リスト,0)),"祝",""))</f>
        <v/>
      </c>
      <c r="D25" s="33"/>
      <c r="E25" s="34"/>
      <c r="F25" s="35" t="str">
        <f t="shared" si="0"/>
        <v/>
      </c>
      <c r="G25" s="36" t="str">
        <f t="shared" si="1"/>
        <v/>
      </c>
      <c r="H25" s="37"/>
      <c r="I25" s="33"/>
      <c r="J25" s="34"/>
      <c r="K25" s="35" t="str">
        <f t="shared" si="2"/>
        <v/>
      </c>
      <c r="L25" s="36" t="str">
        <f t="shared" si="3"/>
        <v/>
      </c>
      <c r="M25" s="37"/>
      <c r="N25" s="33"/>
      <c r="O25" s="34"/>
      <c r="P25" s="35" t="str">
        <f t="shared" si="4"/>
        <v/>
      </c>
      <c r="Q25" s="36" t="str">
        <f t="shared" si="5"/>
        <v/>
      </c>
      <c r="R25" s="37"/>
      <c r="S25" s="33"/>
      <c r="T25" s="34"/>
      <c r="U25" s="35" t="str">
        <f t="shared" si="6"/>
        <v/>
      </c>
      <c r="V25" s="36" t="str">
        <f t="shared" si="7"/>
        <v/>
      </c>
      <c r="W25" s="37"/>
      <c r="X25" s="33"/>
      <c r="Y25" s="34"/>
      <c r="Z25" s="35" t="str">
        <f t="shared" si="8"/>
        <v/>
      </c>
      <c r="AA25" s="36" t="str">
        <f t="shared" si="9"/>
        <v/>
      </c>
      <c r="AB25" s="37"/>
      <c r="AC25" s="33"/>
      <c r="AD25" s="34"/>
      <c r="AE25" s="35" t="str">
        <f t="shared" si="10"/>
        <v/>
      </c>
      <c r="AF25" s="36" t="str">
        <f t="shared" si="11"/>
        <v/>
      </c>
      <c r="AG25" s="37"/>
      <c r="AH25" s="33"/>
      <c r="AI25" s="34"/>
      <c r="AJ25" s="35" t="str">
        <f t="shared" si="12"/>
        <v/>
      </c>
      <c r="AK25" s="36" t="str">
        <f t="shared" si="13"/>
        <v/>
      </c>
      <c r="AL25" s="37"/>
      <c r="AM25" s="33"/>
      <c r="AN25" s="34"/>
      <c r="AO25" s="35" t="str">
        <f t="shared" si="14"/>
        <v/>
      </c>
      <c r="AP25" s="36" t="str">
        <f t="shared" si="15"/>
        <v/>
      </c>
      <c r="AQ25" s="37"/>
      <c r="AR25" s="33"/>
      <c r="AS25" s="34"/>
      <c r="AT25" s="35" t="str">
        <f t="shared" si="16"/>
        <v/>
      </c>
      <c r="AU25" s="36" t="str">
        <f t="shared" si="17"/>
        <v/>
      </c>
      <c r="AV25" s="37"/>
      <c r="AW25" s="33"/>
      <c r="AX25" s="34"/>
      <c r="AY25" s="35" t="str">
        <f t="shared" si="18"/>
        <v/>
      </c>
      <c r="AZ25" s="36" t="str">
        <f t="shared" si="19"/>
        <v/>
      </c>
      <c r="BA25" s="37"/>
      <c r="BB25" s="33"/>
      <c r="BC25" s="34"/>
      <c r="BD25" s="35" t="str">
        <f t="shared" si="20"/>
        <v/>
      </c>
      <c r="BE25" s="36" t="str">
        <f t="shared" si="21"/>
        <v/>
      </c>
      <c r="BF25" s="37"/>
      <c r="BG25" s="33"/>
      <c r="BH25" s="34"/>
      <c r="BI25" s="35" t="str">
        <f t="shared" si="22"/>
        <v/>
      </c>
      <c r="BJ25" s="36" t="str">
        <f t="shared" si="23"/>
        <v/>
      </c>
      <c r="BK25" s="37"/>
      <c r="BL25" s="33"/>
      <c r="BM25" s="34"/>
      <c r="BN25" s="35" t="str">
        <f t="shared" si="24"/>
        <v/>
      </c>
      <c r="BO25" s="36" t="str">
        <f t="shared" si="25"/>
        <v/>
      </c>
      <c r="BP25" s="37"/>
      <c r="BQ25" s="33"/>
      <c r="BR25" s="34"/>
      <c r="BS25" s="35" t="str">
        <f t="shared" si="26"/>
        <v/>
      </c>
      <c r="BT25" s="36" t="str">
        <f t="shared" si="27"/>
        <v/>
      </c>
      <c r="BU25" s="37"/>
      <c r="BV25" s="33"/>
      <c r="BW25" s="34"/>
      <c r="BX25" s="35" t="str">
        <f t="shared" si="28"/>
        <v/>
      </c>
      <c r="BY25" s="36" t="str">
        <f t="shared" si="29"/>
        <v/>
      </c>
      <c r="BZ25" s="37"/>
      <c r="CA25" s="33"/>
      <c r="CB25" s="34"/>
      <c r="CC25" s="35" t="str">
        <f t="shared" si="30"/>
        <v/>
      </c>
      <c r="CD25" s="36" t="str">
        <f t="shared" si="31"/>
        <v/>
      </c>
      <c r="CE25" s="37"/>
      <c r="CF25" s="33"/>
      <c r="CG25" s="34"/>
      <c r="CH25" s="35" t="str">
        <f t="shared" si="32"/>
        <v/>
      </c>
      <c r="CI25" s="36" t="str">
        <f t="shared" si="33"/>
        <v/>
      </c>
      <c r="CJ25" s="37"/>
      <c r="CK25" s="33"/>
      <c r="CL25" s="34"/>
      <c r="CM25" s="35" t="str">
        <f t="shared" si="34"/>
        <v/>
      </c>
      <c r="CN25" s="36" t="str">
        <f t="shared" si="35"/>
        <v/>
      </c>
      <c r="CO25" s="37"/>
      <c r="CP25" s="33"/>
      <c r="CQ25" s="34"/>
      <c r="CR25" s="35" t="str">
        <f t="shared" si="36"/>
        <v/>
      </c>
      <c r="CS25" s="36" t="str">
        <f t="shared" si="37"/>
        <v/>
      </c>
      <c r="CT25" s="37"/>
      <c r="CU25" s="33"/>
      <c r="CV25" s="34"/>
      <c r="CW25" s="35" t="str">
        <f t="shared" si="38"/>
        <v/>
      </c>
      <c r="CX25" s="36" t="str">
        <f t="shared" si="39"/>
        <v/>
      </c>
      <c r="CY25" s="37"/>
      <c r="CZ25" s="33"/>
      <c r="DA25" s="34"/>
      <c r="DB25" s="35" t="str">
        <f t="shared" si="40"/>
        <v/>
      </c>
      <c r="DC25" s="36" t="str">
        <f t="shared" si="41"/>
        <v/>
      </c>
      <c r="DD25" s="37"/>
      <c r="DE25" s="33"/>
      <c r="DF25" s="34"/>
      <c r="DG25" s="35" t="str">
        <f t="shared" si="42"/>
        <v/>
      </c>
      <c r="DH25" s="36" t="str">
        <f t="shared" si="43"/>
        <v/>
      </c>
      <c r="DI25" s="37"/>
      <c r="DJ25" s="33"/>
      <c r="DK25" s="34"/>
      <c r="DL25" s="35" t="str">
        <f t="shared" si="44"/>
        <v/>
      </c>
      <c r="DM25" s="36" t="str">
        <f t="shared" si="45"/>
        <v/>
      </c>
      <c r="DN25" s="37"/>
      <c r="DO25" s="33"/>
      <c r="DP25" s="34"/>
      <c r="DQ25" s="35" t="str">
        <f t="shared" si="46"/>
        <v/>
      </c>
      <c r="DR25" s="36" t="str">
        <f t="shared" si="47"/>
        <v/>
      </c>
      <c r="DS25" s="37"/>
      <c r="DT25" s="33"/>
      <c r="DU25" s="34"/>
      <c r="DV25" s="35" t="str">
        <f t="shared" si="48"/>
        <v/>
      </c>
      <c r="DW25" s="36" t="str">
        <f t="shared" si="49"/>
        <v/>
      </c>
      <c r="DX25" s="37"/>
      <c r="DY25" s="33"/>
      <c r="DZ25" s="34"/>
      <c r="EA25" s="35" t="str">
        <f t="shared" si="50"/>
        <v/>
      </c>
      <c r="EB25" s="36" t="str">
        <f t="shared" si="51"/>
        <v/>
      </c>
      <c r="EC25" s="37"/>
      <c r="ED25" s="33"/>
      <c r="EE25" s="34"/>
      <c r="EF25" s="35" t="str">
        <f t="shared" si="52"/>
        <v/>
      </c>
      <c r="EG25" s="36" t="str">
        <f t="shared" si="53"/>
        <v/>
      </c>
      <c r="EH25" s="37"/>
      <c r="EI25" s="33"/>
      <c r="EJ25" s="34"/>
      <c r="EK25" s="35" t="str">
        <f t="shared" si="54"/>
        <v/>
      </c>
      <c r="EL25" s="36" t="str">
        <f t="shared" si="55"/>
        <v/>
      </c>
      <c r="EM25" s="37"/>
      <c r="EN25" s="33"/>
      <c r="EO25" s="34"/>
      <c r="EP25" s="35" t="str">
        <f t="shared" si="56"/>
        <v/>
      </c>
      <c r="EQ25" s="36" t="str">
        <f t="shared" si="57"/>
        <v/>
      </c>
      <c r="ER25" s="37"/>
      <c r="ES25" s="33"/>
      <c r="ET25" s="34"/>
      <c r="EU25" s="35" t="str">
        <f t="shared" si="58"/>
        <v/>
      </c>
      <c r="EV25" s="36" t="str">
        <f t="shared" si="59"/>
        <v/>
      </c>
      <c r="EW25" s="37"/>
    </row>
    <row r="26" spans="1:153" ht="19.5" customHeight="1">
      <c r="A26" s="32">
        <f>IF(DAY(DATE(対象年度,7,23))&lt;&gt;23,"",23)</f>
        <v>23</v>
      </c>
      <c r="B26" s="32" t="str">
        <f>IF(DAY(DATE(対象年度,7,23))&lt;&gt;23,"",CHOOSE(WEEKDAY(DATE(対象年度,7,23),2),"月","火","水","木","金","土","日"))</f>
        <v>木</v>
      </c>
      <c r="C26" s="32" t="str">
        <f>IF(DAY(DATE(対象年度,7,23))&lt;&gt;23,"",IF(ISNUMBER(MATCH(DATE(対象年度,7,23),祝日リスト,0)),"祝",""))</f>
        <v/>
      </c>
      <c r="D26" s="33"/>
      <c r="E26" s="34"/>
      <c r="F26" s="35" t="str">
        <f t="shared" si="0"/>
        <v/>
      </c>
      <c r="G26" s="36" t="str">
        <f t="shared" si="1"/>
        <v/>
      </c>
      <c r="H26" s="37"/>
      <c r="I26" s="33"/>
      <c r="J26" s="34"/>
      <c r="K26" s="35" t="str">
        <f t="shared" si="2"/>
        <v/>
      </c>
      <c r="L26" s="36" t="str">
        <f t="shared" si="3"/>
        <v/>
      </c>
      <c r="M26" s="37"/>
      <c r="N26" s="33"/>
      <c r="O26" s="34"/>
      <c r="P26" s="35" t="str">
        <f t="shared" si="4"/>
        <v/>
      </c>
      <c r="Q26" s="36" t="str">
        <f t="shared" si="5"/>
        <v/>
      </c>
      <c r="R26" s="37"/>
      <c r="S26" s="33"/>
      <c r="T26" s="34"/>
      <c r="U26" s="35" t="str">
        <f t="shared" si="6"/>
        <v/>
      </c>
      <c r="V26" s="36" t="str">
        <f t="shared" si="7"/>
        <v/>
      </c>
      <c r="W26" s="37"/>
      <c r="X26" s="33"/>
      <c r="Y26" s="34"/>
      <c r="Z26" s="35" t="str">
        <f t="shared" si="8"/>
        <v/>
      </c>
      <c r="AA26" s="36" t="str">
        <f t="shared" si="9"/>
        <v/>
      </c>
      <c r="AB26" s="37"/>
      <c r="AC26" s="33"/>
      <c r="AD26" s="34"/>
      <c r="AE26" s="35" t="str">
        <f t="shared" si="10"/>
        <v/>
      </c>
      <c r="AF26" s="36" t="str">
        <f t="shared" si="11"/>
        <v/>
      </c>
      <c r="AG26" s="37"/>
      <c r="AH26" s="33"/>
      <c r="AI26" s="34"/>
      <c r="AJ26" s="35" t="str">
        <f t="shared" si="12"/>
        <v/>
      </c>
      <c r="AK26" s="36" t="str">
        <f t="shared" si="13"/>
        <v/>
      </c>
      <c r="AL26" s="37"/>
      <c r="AM26" s="33"/>
      <c r="AN26" s="34"/>
      <c r="AO26" s="35" t="str">
        <f t="shared" si="14"/>
        <v/>
      </c>
      <c r="AP26" s="36" t="str">
        <f t="shared" si="15"/>
        <v/>
      </c>
      <c r="AQ26" s="37"/>
      <c r="AR26" s="33"/>
      <c r="AS26" s="34"/>
      <c r="AT26" s="35" t="str">
        <f t="shared" si="16"/>
        <v/>
      </c>
      <c r="AU26" s="36" t="str">
        <f t="shared" si="17"/>
        <v/>
      </c>
      <c r="AV26" s="37"/>
      <c r="AW26" s="33"/>
      <c r="AX26" s="34"/>
      <c r="AY26" s="35" t="str">
        <f t="shared" si="18"/>
        <v/>
      </c>
      <c r="AZ26" s="36" t="str">
        <f t="shared" si="19"/>
        <v/>
      </c>
      <c r="BA26" s="37"/>
      <c r="BB26" s="33"/>
      <c r="BC26" s="34"/>
      <c r="BD26" s="35" t="str">
        <f t="shared" si="20"/>
        <v/>
      </c>
      <c r="BE26" s="36" t="str">
        <f t="shared" si="21"/>
        <v/>
      </c>
      <c r="BF26" s="37"/>
      <c r="BG26" s="33"/>
      <c r="BH26" s="34"/>
      <c r="BI26" s="35" t="str">
        <f t="shared" si="22"/>
        <v/>
      </c>
      <c r="BJ26" s="36" t="str">
        <f t="shared" si="23"/>
        <v/>
      </c>
      <c r="BK26" s="37"/>
      <c r="BL26" s="33"/>
      <c r="BM26" s="34"/>
      <c r="BN26" s="35" t="str">
        <f t="shared" si="24"/>
        <v/>
      </c>
      <c r="BO26" s="36" t="str">
        <f t="shared" si="25"/>
        <v/>
      </c>
      <c r="BP26" s="37"/>
      <c r="BQ26" s="33"/>
      <c r="BR26" s="34"/>
      <c r="BS26" s="35" t="str">
        <f t="shared" si="26"/>
        <v/>
      </c>
      <c r="BT26" s="36" t="str">
        <f t="shared" si="27"/>
        <v/>
      </c>
      <c r="BU26" s="37"/>
      <c r="BV26" s="33"/>
      <c r="BW26" s="34"/>
      <c r="BX26" s="35" t="str">
        <f t="shared" si="28"/>
        <v/>
      </c>
      <c r="BY26" s="36" t="str">
        <f t="shared" si="29"/>
        <v/>
      </c>
      <c r="BZ26" s="37"/>
      <c r="CA26" s="33"/>
      <c r="CB26" s="34"/>
      <c r="CC26" s="35" t="str">
        <f t="shared" si="30"/>
        <v/>
      </c>
      <c r="CD26" s="36" t="str">
        <f t="shared" si="31"/>
        <v/>
      </c>
      <c r="CE26" s="37"/>
      <c r="CF26" s="33"/>
      <c r="CG26" s="34"/>
      <c r="CH26" s="35" t="str">
        <f t="shared" si="32"/>
        <v/>
      </c>
      <c r="CI26" s="36" t="str">
        <f t="shared" si="33"/>
        <v/>
      </c>
      <c r="CJ26" s="37"/>
      <c r="CK26" s="33"/>
      <c r="CL26" s="34"/>
      <c r="CM26" s="35" t="str">
        <f t="shared" si="34"/>
        <v/>
      </c>
      <c r="CN26" s="36" t="str">
        <f t="shared" si="35"/>
        <v/>
      </c>
      <c r="CO26" s="37"/>
      <c r="CP26" s="33"/>
      <c r="CQ26" s="34"/>
      <c r="CR26" s="35" t="str">
        <f t="shared" si="36"/>
        <v/>
      </c>
      <c r="CS26" s="36" t="str">
        <f t="shared" si="37"/>
        <v/>
      </c>
      <c r="CT26" s="37"/>
      <c r="CU26" s="33"/>
      <c r="CV26" s="34"/>
      <c r="CW26" s="35" t="str">
        <f t="shared" si="38"/>
        <v/>
      </c>
      <c r="CX26" s="36" t="str">
        <f t="shared" si="39"/>
        <v/>
      </c>
      <c r="CY26" s="37"/>
      <c r="CZ26" s="33"/>
      <c r="DA26" s="34"/>
      <c r="DB26" s="35" t="str">
        <f t="shared" si="40"/>
        <v/>
      </c>
      <c r="DC26" s="36" t="str">
        <f t="shared" si="41"/>
        <v/>
      </c>
      <c r="DD26" s="37"/>
      <c r="DE26" s="33"/>
      <c r="DF26" s="34"/>
      <c r="DG26" s="35" t="str">
        <f t="shared" si="42"/>
        <v/>
      </c>
      <c r="DH26" s="36" t="str">
        <f t="shared" si="43"/>
        <v/>
      </c>
      <c r="DI26" s="37"/>
      <c r="DJ26" s="33"/>
      <c r="DK26" s="34"/>
      <c r="DL26" s="35" t="str">
        <f t="shared" si="44"/>
        <v/>
      </c>
      <c r="DM26" s="36" t="str">
        <f t="shared" si="45"/>
        <v/>
      </c>
      <c r="DN26" s="37"/>
      <c r="DO26" s="33"/>
      <c r="DP26" s="34"/>
      <c r="DQ26" s="35" t="str">
        <f t="shared" si="46"/>
        <v/>
      </c>
      <c r="DR26" s="36" t="str">
        <f t="shared" si="47"/>
        <v/>
      </c>
      <c r="DS26" s="37"/>
      <c r="DT26" s="33"/>
      <c r="DU26" s="34"/>
      <c r="DV26" s="35" t="str">
        <f t="shared" si="48"/>
        <v/>
      </c>
      <c r="DW26" s="36" t="str">
        <f t="shared" si="49"/>
        <v/>
      </c>
      <c r="DX26" s="37"/>
      <c r="DY26" s="33"/>
      <c r="DZ26" s="34"/>
      <c r="EA26" s="35" t="str">
        <f t="shared" si="50"/>
        <v/>
      </c>
      <c r="EB26" s="36" t="str">
        <f t="shared" si="51"/>
        <v/>
      </c>
      <c r="EC26" s="37"/>
      <c r="ED26" s="33"/>
      <c r="EE26" s="34"/>
      <c r="EF26" s="35" t="str">
        <f t="shared" si="52"/>
        <v/>
      </c>
      <c r="EG26" s="36" t="str">
        <f t="shared" si="53"/>
        <v/>
      </c>
      <c r="EH26" s="37"/>
      <c r="EI26" s="33"/>
      <c r="EJ26" s="34"/>
      <c r="EK26" s="35" t="str">
        <f t="shared" si="54"/>
        <v/>
      </c>
      <c r="EL26" s="36" t="str">
        <f t="shared" si="55"/>
        <v/>
      </c>
      <c r="EM26" s="37"/>
      <c r="EN26" s="33"/>
      <c r="EO26" s="34"/>
      <c r="EP26" s="35" t="str">
        <f t="shared" si="56"/>
        <v/>
      </c>
      <c r="EQ26" s="36" t="str">
        <f t="shared" si="57"/>
        <v/>
      </c>
      <c r="ER26" s="37"/>
      <c r="ES26" s="33"/>
      <c r="ET26" s="34"/>
      <c r="EU26" s="35" t="str">
        <f t="shared" si="58"/>
        <v/>
      </c>
      <c r="EV26" s="36" t="str">
        <f t="shared" si="59"/>
        <v/>
      </c>
      <c r="EW26" s="37"/>
    </row>
    <row r="27" spans="1:153" ht="19.5" customHeight="1">
      <c r="A27" s="32">
        <f>IF(DAY(DATE(対象年度,7,24))&lt;&gt;24,"",24)</f>
        <v>24</v>
      </c>
      <c r="B27" s="32" t="str">
        <f>IF(DAY(DATE(対象年度,7,24))&lt;&gt;24,"",CHOOSE(WEEKDAY(DATE(対象年度,7,24),2),"月","火","水","木","金","土","日"))</f>
        <v>金</v>
      </c>
      <c r="C27" s="32" t="str">
        <f>IF(DAY(DATE(対象年度,7,24))&lt;&gt;24,"",IF(ISNUMBER(MATCH(DATE(対象年度,7,24),祝日リスト,0)),"祝",""))</f>
        <v/>
      </c>
      <c r="D27" s="33"/>
      <c r="E27" s="34"/>
      <c r="F27" s="35" t="str">
        <f t="shared" si="0"/>
        <v/>
      </c>
      <c r="G27" s="36" t="str">
        <f t="shared" si="1"/>
        <v/>
      </c>
      <c r="H27" s="37"/>
      <c r="I27" s="33"/>
      <c r="J27" s="34"/>
      <c r="K27" s="35" t="str">
        <f t="shared" si="2"/>
        <v/>
      </c>
      <c r="L27" s="36" t="str">
        <f t="shared" si="3"/>
        <v/>
      </c>
      <c r="M27" s="37"/>
      <c r="N27" s="33"/>
      <c r="O27" s="34"/>
      <c r="P27" s="35" t="str">
        <f t="shared" si="4"/>
        <v/>
      </c>
      <c r="Q27" s="36" t="str">
        <f t="shared" si="5"/>
        <v/>
      </c>
      <c r="R27" s="37"/>
      <c r="S27" s="33"/>
      <c r="T27" s="34"/>
      <c r="U27" s="35" t="str">
        <f t="shared" si="6"/>
        <v/>
      </c>
      <c r="V27" s="36" t="str">
        <f t="shared" si="7"/>
        <v/>
      </c>
      <c r="W27" s="37"/>
      <c r="X27" s="33"/>
      <c r="Y27" s="34"/>
      <c r="Z27" s="35" t="str">
        <f t="shared" si="8"/>
        <v/>
      </c>
      <c r="AA27" s="36" t="str">
        <f t="shared" si="9"/>
        <v/>
      </c>
      <c r="AB27" s="37"/>
      <c r="AC27" s="33"/>
      <c r="AD27" s="34"/>
      <c r="AE27" s="35" t="str">
        <f t="shared" si="10"/>
        <v/>
      </c>
      <c r="AF27" s="36" t="str">
        <f t="shared" si="11"/>
        <v/>
      </c>
      <c r="AG27" s="37"/>
      <c r="AH27" s="33"/>
      <c r="AI27" s="34"/>
      <c r="AJ27" s="35" t="str">
        <f t="shared" si="12"/>
        <v/>
      </c>
      <c r="AK27" s="36" t="str">
        <f t="shared" si="13"/>
        <v/>
      </c>
      <c r="AL27" s="37"/>
      <c r="AM27" s="33"/>
      <c r="AN27" s="34"/>
      <c r="AO27" s="35" t="str">
        <f t="shared" si="14"/>
        <v/>
      </c>
      <c r="AP27" s="36" t="str">
        <f t="shared" si="15"/>
        <v/>
      </c>
      <c r="AQ27" s="37"/>
      <c r="AR27" s="33"/>
      <c r="AS27" s="34"/>
      <c r="AT27" s="35" t="str">
        <f t="shared" si="16"/>
        <v/>
      </c>
      <c r="AU27" s="36" t="str">
        <f t="shared" si="17"/>
        <v/>
      </c>
      <c r="AV27" s="37"/>
      <c r="AW27" s="33"/>
      <c r="AX27" s="34"/>
      <c r="AY27" s="35" t="str">
        <f t="shared" si="18"/>
        <v/>
      </c>
      <c r="AZ27" s="36" t="str">
        <f t="shared" si="19"/>
        <v/>
      </c>
      <c r="BA27" s="37"/>
      <c r="BB27" s="33"/>
      <c r="BC27" s="34"/>
      <c r="BD27" s="35" t="str">
        <f t="shared" si="20"/>
        <v/>
      </c>
      <c r="BE27" s="36" t="str">
        <f t="shared" si="21"/>
        <v/>
      </c>
      <c r="BF27" s="37"/>
      <c r="BG27" s="33"/>
      <c r="BH27" s="34"/>
      <c r="BI27" s="35" t="str">
        <f t="shared" si="22"/>
        <v/>
      </c>
      <c r="BJ27" s="36" t="str">
        <f t="shared" si="23"/>
        <v/>
      </c>
      <c r="BK27" s="37"/>
      <c r="BL27" s="33"/>
      <c r="BM27" s="34"/>
      <c r="BN27" s="35" t="str">
        <f t="shared" si="24"/>
        <v/>
      </c>
      <c r="BO27" s="36" t="str">
        <f t="shared" si="25"/>
        <v/>
      </c>
      <c r="BP27" s="37"/>
      <c r="BQ27" s="33"/>
      <c r="BR27" s="34"/>
      <c r="BS27" s="35" t="str">
        <f t="shared" si="26"/>
        <v/>
      </c>
      <c r="BT27" s="36" t="str">
        <f t="shared" si="27"/>
        <v/>
      </c>
      <c r="BU27" s="37"/>
      <c r="BV27" s="33"/>
      <c r="BW27" s="34"/>
      <c r="BX27" s="35" t="str">
        <f t="shared" si="28"/>
        <v/>
      </c>
      <c r="BY27" s="36" t="str">
        <f t="shared" si="29"/>
        <v/>
      </c>
      <c r="BZ27" s="37"/>
      <c r="CA27" s="33"/>
      <c r="CB27" s="34"/>
      <c r="CC27" s="35" t="str">
        <f t="shared" si="30"/>
        <v/>
      </c>
      <c r="CD27" s="36" t="str">
        <f t="shared" si="31"/>
        <v/>
      </c>
      <c r="CE27" s="37"/>
      <c r="CF27" s="33"/>
      <c r="CG27" s="34"/>
      <c r="CH27" s="35" t="str">
        <f t="shared" si="32"/>
        <v/>
      </c>
      <c r="CI27" s="36" t="str">
        <f t="shared" si="33"/>
        <v/>
      </c>
      <c r="CJ27" s="37"/>
      <c r="CK27" s="33"/>
      <c r="CL27" s="34"/>
      <c r="CM27" s="35" t="str">
        <f t="shared" si="34"/>
        <v/>
      </c>
      <c r="CN27" s="36" t="str">
        <f t="shared" si="35"/>
        <v/>
      </c>
      <c r="CO27" s="37"/>
      <c r="CP27" s="33"/>
      <c r="CQ27" s="34"/>
      <c r="CR27" s="35" t="str">
        <f t="shared" si="36"/>
        <v/>
      </c>
      <c r="CS27" s="36" t="str">
        <f t="shared" si="37"/>
        <v/>
      </c>
      <c r="CT27" s="37"/>
      <c r="CU27" s="33"/>
      <c r="CV27" s="34"/>
      <c r="CW27" s="35" t="str">
        <f t="shared" si="38"/>
        <v/>
      </c>
      <c r="CX27" s="36" t="str">
        <f t="shared" si="39"/>
        <v/>
      </c>
      <c r="CY27" s="37"/>
      <c r="CZ27" s="33"/>
      <c r="DA27" s="34"/>
      <c r="DB27" s="35" t="str">
        <f t="shared" si="40"/>
        <v/>
      </c>
      <c r="DC27" s="36" t="str">
        <f t="shared" si="41"/>
        <v/>
      </c>
      <c r="DD27" s="37"/>
      <c r="DE27" s="33"/>
      <c r="DF27" s="34"/>
      <c r="DG27" s="35" t="str">
        <f t="shared" si="42"/>
        <v/>
      </c>
      <c r="DH27" s="36" t="str">
        <f t="shared" si="43"/>
        <v/>
      </c>
      <c r="DI27" s="37"/>
      <c r="DJ27" s="33"/>
      <c r="DK27" s="34"/>
      <c r="DL27" s="35" t="str">
        <f t="shared" si="44"/>
        <v/>
      </c>
      <c r="DM27" s="36" t="str">
        <f t="shared" si="45"/>
        <v/>
      </c>
      <c r="DN27" s="37"/>
      <c r="DO27" s="33"/>
      <c r="DP27" s="34"/>
      <c r="DQ27" s="35" t="str">
        <f t="shared" si="46"/>
        <v/>
      </c>
      <c r="DR27" s="36" t="str">
        <f t="shared" si="47"/>
        <v/>
      </c>
      <c r="DS27" s="37"/>
      <c r="DT27" s="33"/>
      <c r="DU27" s="34"/>
      <c r="DV27" s="35" t="str">
        <f t="shared" si="48"/>
        <v/>
      </c>
      <c r="DW27" s="36" t="str">
        <f t="shared" si="49"/>
        <v/>
      </c>
      <c r="DX27" s="37"/>
      <c r="DY27" s="33"/>
      <c r="DZ27" s="34"/>
      <c r="EA27" s="35" t="str">
        <f t="shared" si="50"/>
        <v/>
      </c>
      <c r="EB27" s="36" t="str">
        <f t="shared" si="51"/>
        <v/>
      </c>
      <c r="EC27" s="37"/>
      <c r="ED27" s="33"/>
      <c r="EE27" s="34"/>
      <c r="EF27" s="35" t="str">
        <f t="shared" si="52"/>
        <v/>
      </c>
      <c r="EG27" s="36" t="str">
        <f t="shared" si="53"/>
        <v/>
      </c>
      <c r="EH27" s="37"/>
      <c r="EI27" s="33"/>
      <c r="EJ27" s="34"/>
      <c r="EK27" s="35" t="str">
        <f t="shared" si="54"/>
        <v/>
      </c>
      <c r="EL27" s="36" t="str">
        <f t="shared" si="55"/>
        <v/>
      </c>
      <c r="EM27" s="37"/>
      <c r="EN27" s="33"/>
      <c r="EO27" s="34"/>
      <c r="EP27" s="35" t="str">
        <f t="shared" si="56"/>
        <v/>
      </c>
      <c r="EQ27" s="36" t="str">
        <f t="shared" si="57"/>
        <v/>
      </c>
      <c r="ER27" s="37"/>
      <c r="ES27" s="33"/>
      <c r="ET27" s="34"/>
      <c r="EU27" s="35" t="str">
        <f t="shared" si="58"/>
        <v/>
      </c>
      <c r="EV27" s="36" t="str">
        <f t="shared" si="59"/>
        <v/>
      </c>
      <c r="EW27" s="37"/>
    </row>
    <row r="28" spans="1:153" ht="19.5" customHeight="1">
      <c r="A28" s="32">
        <f>IF(DAY(DATE(対象年度,7,25))&lt;&gt;25,"",25)</f>
        <v>25</v>
      </c>
      <c r="B28" s="32" t="str">
        <f>IF(DAY(DATE(対象年度,7,25))&lt;&gt;25,"",CHOOSE(WEEKDAY(DATE(対象年度,7,25),2),"月","火","水","木","金","土","日"))</f>
        <v>土</v>
      </c>
      <c r="C28" s="32" t="str">
        <f>IF(DAY(DATE(対象年度,7,25))&lt;&gt;25,"",IF(ISNUMBER(MATCH(DATE(対象年度,7,25),祝日リスト,0)),"祝",""))</f>
        <v/>
      </c>
      <c r="D28" s="33"/>
      <c r="E28" s="34"/>
      <c r="F28" s="35" t="str">
        <f t="shared" si="0"/>
        <v/>
      </c>
      <c r="G28" s="36" t="str">
        <f t="shared" si="1"/>
        <v/>
      </c>
      <c r="H28" s="37"/>
      <c r="I28" s="33"/>
      <c r="J28" s="34"/>
      <c r="K28" s="35" t="str">
        <f t="shared" si="2"/>
        <v/>
      </c>
      <c r="L28" s="36" t="str">
        <f t="shared" si="3"/>
        <v/>
      </c>
      <c r="M28" s="37"/>
      <c r="N28" s="33"/>
      <c r="O28" s="34"/>
      <c r="P28" s="35" t="str">
        <f t="shared" si="4"/>
        <v/>
      </c>
      <c r="Q28" s="36" t="str">
        <f t="shared" si="5"/>
        <v/>
      </c>
      <c r="R28" s="37"/>
      <c r="S28" s="33"/>
      <c r="T28" s="34"/>
      <c r="U28" s="35" t="str">
        <f t="shared" si="6"/>
        <v/>
      </c>
      <c r="V28" s="36" t="str">
        <f t="shared" si="7"/>
        <v/>
      </c>
      <c r="W28" s="37"/>
      <c r="X28" s="33"/>
      <c r="Y28" s="34"/>
      <c r="Z28" s="35" t="str">
        <f t="shared" si="8"/>
        <v/>
      </c>
      <c r="AA28" s="36" t="str">
        <f t="shared" si="9"/>
        <v/>
      </c>
      <c r="AB28" s="37"/>
      <c r="AC28" s="33"/>
      <c r="AD28" s="34"/>
      <c r="AE28" s="35" t="str">
        <f t="shared" si="10"/>
        <v/>
      </c>
      <c r="AF28" s="36" t="str">
        <f t="shared" si="11"/>
        <v/>
      </c>
      <c r="AG28" s="37"/>
      <c r="AH28" s="33"/>
      <c r="AI28" s="34"/>
      <c r="AJ28" s="35" t="str">
        <f t="shared" si="12"/>
        <v/>
      </c>
      <c r="AK28" s="36" t="str">
        <f t="shared" si="13"/>
        <v/>
      </c>
      <c r="AL28" s="37"/>
      <c r="AM28" s="33"/>
      <c r="AN28" s="34"/>
      <c r="AO28" s="35" t="str">
        <f t="shared" si="14"/>
        <v/>
      </c>
      <c r="AP28" s="36" t="str">
        <f t="shared" si="15"/>
        <v/>
      </c>
      <c r="AQ28" s="37"/>
      <c r="AR28" s="33"/>
      <c r="AS28" s="34"/>
      <c r="AT28" s="35" t="str">
        <f t="shared" si="16"/>
        <v/>
      </c>
      <c r="AU28" s="36" t="str">
        <f t="shared" si="17"/>
        <v/>
      </c>
      <c r="AV28" s="37"/>
      <c r="AW28" s="33"/>
      <c r="AX28" s="34"/>
      <c r="AY28" s="35" t="str">
        <f t="shared" si="18"/>
        <v/>
      </c>
      <c r="AZ28" s="36" t="str">
        <f t="shared" si="19"/>
        <v/>
      </c>
      <c r="BA28" s="37"/>
      <c r="BB28" s="33"/>
      <c r="BC28" s="34"/>
      <c r="BD28" s="35" t="str">
        <f t="shared" si="20"/>
        <v/>
      </c>
      <c r="BE28" s="36" t="str">
        <f t="shared" si="21"/>
        <v/>
      </c>
      <c r="BF28" s="37"/>
      <c r="BG28" s="33"/>
      <c r="BH28" s="34"/>
      <c r="BI28" s="35" t="str">
        <f t="shared" si="22"/>
        <v/>
      </c>
      <c r="BJ28" s="36" t="str">
        <f t="shared" si="23"/>
        <v/>
      </c>
      <c r="BK28" s="37"/>
      <c r="BL28" s="33"/>
      <c r="BM28" s="34"/>
      <c r="BN28" s="35" t="str">
        <f t="shared" si="24"/>
        <v/>
      </c>
      <c r="BO28" s="36" t="str">
        <f t="shared" si="25"/>
        <v/>
      </c>
      <c r="BP28" s="37"/>
      <c r="BQ28" s="33"/>
      <c r="BR28" s="34"/>
      <c r="BS28" s="35" t="str">
        <f t="shared" si="26"/>
        <v/>
      </c>
      <c r="BT28" s="36" t="str">
        <f t="shared" si="27"/>
        <v/>
      </c>
      <c r="BU28" s="37"/>
      <c r="BV28" s="33"/>
      <c r="BW28" s="34"/>
      <c r="BX28" s="35" t="str">
        <f t="shared" si="28"/>
        <v/>
      </c>
      <c r="BY28" s="36" t="str">
        <f t="shared" si="29"/>
        <v/>
      </c>
      <c r="BZ28" s="37"/>
      <c r="CA28" s="33"/>
      <c r="CB28" s="34"/>
      <c r="CC28" s="35" t="str">
        <f t="shared" si="30"/>
        <v/>
      </c>
      <c r="CD28" s="36" t="str">
        <f t="shared" si="31"/>
        <v/>
      </c>
      <c r="CE28" s="37"/>
      <c r="CF28" s="33"/>
      <c r="CG28" s="34"/>
      <c r="CH28" s="35" t="str">
        <f t="shared" si="32"/>
        <v/>
      </c>
      <c r="CI28" s="36" t="str">
        <f t="shared" si="33"/>
        <v/>
      </c>
      <c r="CJ28" s="37"/>
      <c r="CK28" s="33"/>
      <c r="CL28" s="34"/>
      <c r="CM28" s="35" t="str">
        <f t="shared" si="34"/>
        <v/>
      </c>
      <c r="CN28" s="36" t="str">
        <f t="shared" si="35"/>
        <v/>
      </c>
      <c r="CO28" s="37"/>
      <c r="CP28" s="33"/>
      <c r="CQ28" s="34"/>
      <c r="CR28" s="35" t="str">
        <f t="shared" si="36"/>
        <v/>
      </c>
      <c r="CS28" s="36" t="str">
        <f t="shared" si="37"/>
        <v/>
      </c>
      <c r="CT28" s="37"/>
      <c r="CU28" s="33"/>
      <c r="CV28" s="34"/>
      <c r="CW28" s="35" t="str">
        <f t="shared" si="38"/>
        <v/>
      </c>
      <c r="CX28" s="36" t="str">
        <f t="shared" si="39"/>
        <v/>
      </c>
      <c r="CY28" s="37"/>
      <c r="CZ28" s="33"/>
      <c r="DA28" s="34"/>
      <c r="DB28" s="35" t="str">
        <f t="shared" si="40"/>
        <v/>
      </c>
      <c r="DC28" s="36" t="str">
        <f t="shared" si="41"/>
        <v/>
      </c>
      <c r="DD28" s="37"/>
      <c r="DE28" s="33"/>
      <c r="DF28" s="34"/>
      <c r="DG28" s="35" t="str">
        <f t="shared" si="42"/>
        <v/>
      </c>
      <c r="DH28" s="36" t="str">
        <f t="shared" si="43"/>
        <v/>
      </c>
      <c r="DI28" s="37"/>
      <c r="DJ28" s="33"/>
      <c r="DK28" s="34"/>
      <c r="DL28" s="35" t="str">
        <f t="shared" si="44"/>
        <v/>
      </c>
      <c r="DM28" s="36" t="str">
        <f t="shared" si="45"/>
        <v/>
      </c>
      <c r="DN28" s="37"/>
      <c r="DO28" s="33"/>
      <c r="DP28" s="34"/>
      <c r="DQ28" s="35" t="str">
        <f t="shared" si="46"/>
        <v/>
      </c>
      <c r="DR28" s="36" t="str">
        <f t="shared" si="47"/>
        <v/>
      </c>
      <c r="DS28" s="37"/>
      <c r="DT28" s="33"/>
      <c r="DU28" s="34"/>
      <c r="DV28" s="35" t="str">
        <f t="shared" si="48"/>
        <v/>
      </c>
      <c r="DW28" s="36" t="str">
        <f t="shared" si="49"/>
        <v/>
      </c>
      <c r="DX28" s="37"/>
      <c r="DY28" s="33"/>
      <c r="DZ28" s="34"/>
      <c r="EA28" s="35" t="str">
        <f t="shared" si="50"/>
        <v/>
      </c>
      <c r="EB28" s="36" t="str">
        <f t="shared" si="51"/>
        <v/>
      </c>
      <c r="EC28" s="37"/>
      <c r="ED28" s="33"/>
      <c r="EE28" s="34"/>
      <c r="EF28" s="35" t="str">
        <f t="shared" si="52"/>
        <v/>
      </c>
      <c r="EG28" s="36" t="str">
        <f t="shared" si="53"/>
        <v/>
      </c>
      <c r="EH28" s="37"/>
      <c r="EI28" s="33"/>
      <c r="EJ28" s="34"/>
      <c r="EK28" s="35" t="str">
        <f t="shared" si="54"/>
        <v/>
      </c>
      <c r="EL28" s="36" t="str">
        <f t="shared" si="55"/>
        <v/>
      </c>
      <c r="EM28" s="37"/>
      <c r="EN28" s="33"/>
      <c r="EO28" s="34"/>
      <c r="EP28" s="35" t="str">
        <f t="shared" si="56"/>
        <v/>
      </c>
      <c r="EQ28" s="36" t="str">
        <f t="shared" si="57"/>
        <v/>
      </c>
      <c r="ER28" s="37"/>
      <c r="ES28" s="33"/>
      <c r="ET28" s="34"/>
      <c r="EU28" s="35" t="str">
        <f t="shared" si="58"/>
        <v/>
      </c>
      <c r="EV28" s="36" t="str">
        <f t="shared" si="59"/>
        <v/>
      </c>
      <c r="EW28" s="37"/>
    </row>
    <row r="29" spans="1:153" ht="19.5" customHeight="1">
      <c r="A29" s="32">
        <f>IF(DAY(DATE(対象年度,7,26))&lt;&gt;26,"",26)</f>
        <v>26</v>
      </c>
      <c r="B29" s="32" t="str">
        <f>IF(DAY(DATE(対象年度,7,26))&lt;&gt;26,"",CHOOSE(WEEKDAY(DATE(対象年度,7,26),2),"月","火","水","木","金","土","日"))</f>
        <v>日</v>
      </c>
      <c r="C29" s="32" t="str">
        <f>IF(DAY(DATE(対象年度,7,26))&lt;&gt;26,"",IF(ISNUMBER(MATCH(DATE(対象年度,7,26),祝日リスト,0)),"祝",""))</f>
        <v/>
      </c>
      <c r="D29" s="33"/>
      <c r="E29" s="34"/>
      <c r="F29" s="35" t="str">
        <f t="shared" si="0"/>
        <v/>
      </c>
      <c r="G29" s="36" t="str">
        <f t="shared" si="1"/>
        <v/>
      </c>
      <c r="H29" s="37"/>
      <c r="I29" s="33"/>
      <c r="J29" s="34"/>
      <c r="K29" s="35" t="str">
        <f t="shared" si="2"/>
        <v/>
      </c>
      <c r="L29" s="36" t="str">
        <f t="shared" si="3"/>
        <v/>
      </c>
      <c r="M29" s="37"/>
      <c r="N29" s="33"/>
      <c r="O29" s="34"/>
      <c r="P29" s="35" t="str">
        <f t="shared" si="4"/>
        <v/>
      </c>
      <c r="Q29" s="36" t="str">
        <f t="shared" si="5"/>
        <v/>
      </c>
      <c r="R29" s="37"/>
      <c r="S29" s="33"/>
      <c r="T29" s="34"/>
      <c r="U29" s="35" t="str">
        <f t="shared" si="6"/>
        <v/>
      </c>
      <c r="V29" s="36" t="str">
        <f t="shared" si="7"/>
        <v/>
      </c>
      <c r="W29" s="37"/>
      <c r="X29" s="33"/>
      <c r="Y29" s="34"/>
      <c r="Z29" s="35" t="str">
        <f t="shared" si="8"/>
        <v/>
      </c>
      <c r="AA29" s="36" t="str">
        <f t="shared" si="9"/>
        <v/>
      </c>
      <c r="AB29" s="37"/>
      <c r="AC29" s="33"/>
      <c r="AD29" s="34"/>
      <c r="AE29" s="35" t="str">
        <f t="shared" si="10"/>
        <v/>
      </c>
      <c r="AF29" s="36" t="str">
        <f t="shared" si="11"/>
        <v/>
      </c>
      <c r="AG29" s="37"/>
      <c r="AH29" s="33"/>
      <c r="AI29" s="34"/>
      <c r="AJ29" s="35" t="str">
        <f t="shared" si="12"/>
        <v/>
      </c>
      <c r="AK29" s="36" t="str">
        <f t="shared" si="13"/>
        <v/>
      </c>
      <c r="AL29" s="37"/>
      <c r="AM29" s="33"/>
      <c r="AN29" s="34"/>
      <c r="AO29" s="35" t="str">
        <f t="shared" si="14"/>
        <v/>
      </c>
      <c r="AP29" s="36" t="str">
        <f t="shared" si="15"/>
        <v/>
      </c>
      <c r="AQ29" s="37"/>
      <c r="AR29" s="33"/>
      <c r="AS29" s="34"/>
      <c r="AT29" s="35" t="str">
        <f t="shared" si="16"/>
        <v/>
      </c>
      <c r="AU29" s="36" t="str">
        <f t="shared" si="17"/>
        <v/>
      </c>
      <c r="AV29" s="37"/>
      <c r="AW29" s="33"/>
      <c r="AX29" s="34"/>
      <c r="AY29" s="35" t="str">
        <f t="shared" si="18"/>
        <v/>
      </c>
      <c r="AZ29" s="36" t="str">
        <f t="shared" si="19"/>
        <v/>
      </c>
      <c r="BA29" s="37"/>
      <c r="BB29" s="33"/>
      <c r="BC29" s="34"/>
      <c r="BD29" s="35" t="str">
        <f t="shared" si="20"/>
        <v/>
      </c>
      <c r="BE29" s="36" t="str">
        <f t="shared" si="21"/>
        <v/>
      </c>
      <c r="BF29" s="37"/>
      <c r="BG29" s="33"/>
      <c r="BH29" s="34"/>
      <c r="BI29" s="35" t="str">
        <f t="shared" si="22"/>
        <v/>
      </c>
      <c r="BJ29" s="36" t="str">
        <f t="shared" si="23"/>
        <v/>
      </c>
      <c r="BK29" s="37"/>
      <c r="BL29" s="33"/>
      <c r="BM29" s="34"/>
      <c r="BN29" s="35" t="str">
        <f t="shared" si="24"/>
        <v/>
      </c>
      <c r="BO29" s="36" t="str">
        <f t="shared" si="25"/>
        <v/>
      </c>
      <c r="BP29" s="37"/>
      <c r="BQ29" s="33"/>
      <c r="BR29" s="34"/>
      <c r="BS29" s="35" t="str">
        <f t="shared" si="26"/>
        <v/>
      </c>
      <c r="BT29" s="36" t="str">
        <f t="shared" si="27"/>
        <v/>
      </c>
      <c r="BU29" s="37"/>
      <c r="BV29" s="33"/>
      <c r="BW29" s="34"/>
      <c r="BX29" s="35" t="str">
        <f t="shared" si="28"/>
        <v/>
      </c>
      <c r="BY29" s="36" t="str">
        <f t="shared" si="29"/>
        <v/>
      </c>
      <c r="BZ29" s="37"/>
      <c r="CA29" s="33"/>
      <c r="CB29" s="34"/>
      <c r="CC29" s="35" t="str">
        <f t="shared" si="30"/>
        <v/>
      </c>
      <c r="CD29" s="36" t="str">
        <f t="shared" si="31"/>
        <v/>
      </c>
      <c r="CE29" s="37"/>
      <c r="CF29" s="33"/>
      <c r="CG29" s="34"/>
      <c r="CH29" s="35" t="str">
        <f t="shared" si="32"/>
        <v/>
      </c>
      <c r="CI29" s="36" t="str">
        <f t="shared" si="33"/>
        <v/>
      </c>
      <c r="CJ29" s="37"/>
      <c r="CK29" s="33"/>
      <c r="CL29" s="34"/>
      <c r="CM29" s="35" t="str">
        <f t="shared" si="34"/>
        <v/>
      </c>
      <c r="CN29" s="36" t="str">
        <f t="shared" si="35"/>
        <v/>
      </c>
      <c r="CO29" s="37"/>
      <c r="CP29" s="33"/>
      <c r="CQ29" s="34"/>
      <c r="CR29" s="35" t="str">
        <f t="shared" si="36"/>
        <v/>
      </c>
      <c r="CS29" s="36" t="str">
        <f t="shared" si="37"/>
        <v/>
      </c>
      <c r="CT29" s="37"/>
      <c r="CU29" s="33"/>
      <c r="CV29" s="34"/>
      <c r="CW29" s="35" t="str">
        <f t="shared" si="38"/>
        <v/>
      </c>
      <c r="CX29" s="36" t="str">
        <f t="shared" si="39"/>
        <v/>
      </c>
      <c r="CY29" s="37"/>
      <c r="CZ29" s="33"/>
      <c r="DA29" s="34"/>
      <c r="DB29" s="35" t="str">
        <f t="shared" si="40"/>
        <v/>
      </c>
      <c r="DC29" s="36" t="str">
        <f t="shared" si="41"/>
        <v/>
      </c>
      <c r="DD29" s="37"/>
      <c r="DE29" s="33"/>
      <c r="DF29" s="34"/>
      <c r="DG29" s="35" t="str">
        <f t="shared" si="42"/>
        <v/>
      </c>
      <c r="DH29" s="36" t="str">
        <f t="shared" si="43"/>
        <v/>
      </c>
      <c r="DI29" s="37"/>
      <c r="DJ29" s="33"/>
      <c r="DK29" s="34"/>
      <c r="DL29" s="35" t="str">
        <f t="shared" si="44"/>
        <v/>
      </c>
      <c r="DM29" s="36" t="str">
        <f t="shared" si="45"/>
        <v/>
      </c>
      <c r="DN29" s="37"/>
      <c r="DO29" s="33"/>
      <c r="DP29" s="34"/>
      <c r="DQ29" s="35" t="str">
        <f t="shared" si="46"/>
        <v/>
      </c>
      <c r="DR29" s="36" t="str">
        <f t="shared" si="47"/>
        <v/>
      </c>
      <c r="DS29" s="37"/>
      <c r="DT29" s="33"/>
      <c r="DU29" s="34"/>
      <c r="DV29" s="35" t="str">
        <f t="shared" si="48"/>
        <v/>
      </c>
      <c r="DW29" s="36" t="str">
        <f t="shared" si="49"/>
        <v/>
      </c>
      <c r="DX29" s="37"/>
      <c r="DY29" s="33"/>
      <c r="DZ29" s="34"/>
      <c r="EA29" s="35" t="str">
        <f t="shared" si="50"/>
        <v/>
      </c>
      <c r="EB29" s="36" t="str">
        <f t="shared" si="51"/>
        <v/>
      </c>
      <c r="EC29" s="37"/>
      <c r="ED29" s="33"/>
      <c r="EE29" s="34"/>
      <c r="EF29" s="35" t="str">
        <f t="shared" si="52"/>
        <v/>
      </c>
      <c r="EG29" s="36" t="str">
        <f t="shared" si="53"/>
        <v/>
      </c>
      <c r="EH29" s="37"/>
      <c r="EI29" s="33"/>
      <c r="EJ29" s="34"/>
      <c r="EK29" s="35" t="str">
        <f t="shared" si="54"/>
        <v/>
      </c>
      <c r="EL29" s="36" t="str">
        <f t="shared" si="55"/>
        <v/>
      </c>
      <c r="EM29" s="37"/>
      <c r="EN29" s="33"/>
      <c r="EO29" s="34"/>
      <c r="EP29" s="35" t="str">
        <f t="shared" si="56"/>
        <v/>
      </c>
      <c r="EQ29" s="36" t="str">
        <f t="shared" si="57"/>
        <v/>
      </c>
      <c r="ER29" s="37"/>
      <c r="ES29" s="33"/>
      <c r="ET29" s="34"/>
      <c r="EU29" s="35" t="str">
        <f t="shared" si="58"/>
        <v/>
      </c>
      <c r="EV29" s="36" t="str">
        <f t="shared" si="59"/>
        <v/>
      </c>
      <c r="EW29" s="37"/>
    </row>
    <row r="30" spans="1:153" ht="19.5" customHeight="1">
      <c r="A30" s="32">
        <f>IF(DAY(DATE(対象年度,7,27))&lt;&gt;27,"",27)</f>
        <v>27</v>
      </c>
      <c r="B30" s="32" t="str">
        <f>IF(DAY(DATE(対象年度,7,27))&lt;&gt;27,"",CHOOSE(WEEKDAY(DATE(対象年度,7,27),2),"月","火","水","木","金","土","日"))</f>
        <v>月</v>
      </c>
      <c r="C30" s="32" t="str">
        <f>IF(DAY(DATE(対象年度,7,27))&lt;&gt;27,"",IF(ISNUMBER(MATCH(DATE(対象年度,7,27),祝日リスト,0)),"祝",""))</f>
        <v/>
      </c>
      <c r="D30" s="33"/>
      <c r="E30" s="34"/>
      <c r="F30" s="35" t="str">
        <f t="shared" si="0"/>
        <v/>
      </c>
      <c r="G30" s="36" t="str">
        <f t="shared" si="1"/>
        <v/>
      </c>
      <c r="H30" s="37"/>
      <c r="I30" s="33"/>
      <c r="J30" s="34"/>
      <c r="K30" s="35" t="str">
        <f t="shared" si="2"/>
        <v/>
      </c>
      <c r="L30" s="36" t="str">
        <f t="shared" si="3"/>
        <v/>
      </c>
      <c r="M30" s="37"/>
      <c r="N30" s="33"/>
      <c r="O30" s="34"/>
      <c r="P30" s="35" t="str">
        <f t="shared" si="4"/>
        <v/>
      </c>
      <c r="Q30" s="36" t="str">
        <f t="shared" si="5"/>
        <v/>
      </c>
      <c r="R30" s="37"/>
      <c r="S30" s="33"/>
      <c r="T30" s="34"/>
      <c r="U30" s="35" t="str">
        <f t="shared" si="6"/>
        <v/>
      </c>
      <c r="V30" s="36" t="str">
        <f t="shared" si="7"/>
        <v/>
      </c>
      <c r="W30" s="37"/>
      <c r="X30" s="33"/>
      <c r="Y30" s="34"/>
      <c r="Z30" s="35" t="str">
        <f t="shared" si="8"/>
        <v/>
      </c>
      <c r="AA30" s="36" t="str">
        <f t="shared" si="9"/>
        <v/>
      </c>
      <c r="AB30" s="37"/>
      <c r="AC30" s="33"/>
      <c r="AD30" s="34"/>
      <c r="AE30" s="35" t="str">
        <f t="shared" si="10"/>
        <v/>
      </c>
      <c r="AF30" s="36" t="str">
        <f t="shared" si="11"/>
        <v/>
      </c>
      <c r="AG30" s="37"/>
      <c r="AH30" s="33"/>
      <c r="AI30" s="34"/>
      <c r="AJ30" s="35" t="str">
        <f t="shared" si="12"/>
        <v/>
      </c>
      <c r="AK30" s="36" t="str">
        <f t="shared" si="13"/>
        <v/>
      </c>
      <c r="AL30" s="37"/>
      <c r="AM30" s="33"/>
      <c r="AN30" s="34"/>
      <c r="AO30" s="35" t="str">
        <f t="shared" si="14"/>
        <v/>
      </c>
      <c r="AP30" s="36" t="str">
        <f t="shared" si="15"/>
        <v/>
      </c>
      <c r="AQ30" s="37"/>
      <c r="AR30" s="33"/>
      <c r="AS30" s="34"/>
      <c r="AT30" s="35" t="str">
        <f t="shared" si="16"/>
        <v/>
      </c>
      <c r="AU30" s="36" t="str">
        <f t="shared" si="17"/>
        <v/>
      </c>
      <c r="AV30" s="37"/>
      <c r="AW30" s="33"/>
      <c r="AX30" s="34"/>
      <c r="AY30" s="35" t="str">
        <f t="shared" si="18"/>
        <v/>
      </c>
      <c r="AZ30" s="36" t="str">
        <f t="shared" si="19"/>
        <v/>
      </c>
      <c r="BA30" s="37"/>
      <c r="BB30" s="33"/>
      <c r="BC30" s="34"/>
      <c r="BD30" s="35" t="str">
        <f t="shared" si="20"/>
        <v/>
      </c>
      <c r="BE30" s="36" t="str">
        <f t="shared" si="21"/>
        <v/>
      </c>
      <c r="BF30" s="37"/>
      <c r="BG30" s="33"/>
      <c r="BH30" s="34"/>
      <c r="BI30" s="35" t="str">
        <f t="shared" si="22"/>
        <v/>
      </c>
      <c r="BJ30" s="36" t="str">
        <f t="shared" si="23"/>
        <v/>
      </c>
      <c r="BK30" s="37"/>
      <c r="BL30" s="33"/>
      <c r="BM30" s="34"/>
      <c r="BN30" s="35" t="str">
        <f t="shared" si="24"/>
        <v/>
      </c>
      <c r="BO30" s="36" t="str">
        <f t="shared" si="25"/>
        <v/>
      </c>
      <c r="BP30" s="37"/>
      <c r="BQ30" s="33"/>
      <c r="BR30" s="34"/>
      <c r="BS30" s="35" t="str">
        <f t="shared" si="26"/>
        <v/>
      </c>
      <c r="BT30" s="36" t="str">
        <f t="shared" si="27"/>
        <v/>
      </c>
      <c r="BU30" s="37"/>
      <c r="BV30" s="33"/>
      <c r="BW30" s="34"/>
      <c r="BX30" s="35" t="str">
        <f t="shared" si="28"/>
        <v/>
      </c>
      <c r="BY30" s="36" t="str">
        <f t="shared" si="29"/>
        <v/>
      </c>
      <c r="BZ30" s="37"/>
      <c r="CA30" s="33"/>
      <c r="CB30" s="34"/>
      <c r="CC30" s="35" t="str">
        <f t="shared" si="30"/>
        <v/>
      </c>
      <c r="CD30" s="36" t="str">
        <f t="shared" si="31"/>
        <v/>
      </c>
      <c r="CE30" s="37"/>
      <c r="CF30" s="33"/>
      <c r="CG30" s="34"/>
      <c r="CH30" s="35" t="str">
        <f t="shared" si="32"/>
        <v/>
      </c>
      <c r="CI30" s="36" t="str">
        <f t="shared" si="33"/>
        <v/>
      </c>
      <c r="CJ30" s="37"/>
      <c r="CK30" s="33"/>
      <c r="CL30" s="34"/>
      <c r="CM30" s="35" t="str">
        <f t="shared" si="34"/>
        <v/>
      </c>
      <c r="CN30" s="36" t="str">
        <f t="shared" si="35"/>
        <v/>
      </c>
      <c r="CO30" s="37"/>
      <c r="CP30" s="33"/>
      <c r="CQ30" s="34"/>
      <c r="CR30" s="35" t="str">
        <f t="shared" si="36"/>
        <v/>
      </c>
      <c r="CS30" s="36" t="str">
        <f t="shared" si="37"/>
        <v/>
      </c>
      <c r="CT30" s="37"/>
      <c r="CU30" s="33"/>
      <c r="CV30" s="34"/>
      <c r="CW30" s="35" t="str">
        <f t="shared" si="38"/>
        <v/>
      </c>
      <c r="CX30" s="36" t="str">
        <f t="shared" si="39"/>
        <v/>
      </c>
      <c r="CY30" s="37"/>
      <c r="CZ30" s="33"/>
      <c r="DA30" s="34"/>
      <c r="DB30" s="35" t="str">
        <f t="shared" si="40"/>
        <v/>
      </c>
      <c r="DC30" s="36" t="str">
        <f t="shared" si="41"/>
        <v/>
      </c>
      <c r="DD30" s="37"/>
      <c r="DE30" s="33"/>
      <c r="DF30" s="34"/>
      <c r="DG30" s="35" t="str">
        <f t="shared" si="42"/>
        <v/>
      </c>
      <c r="DH30" s="36" t="str">
        <f t="shared" si="43"/>
        <v/>
      </c>
      <c r="DI30" s="37"/>
      <c r="DJ30" s="33"/>
      <c r="DK30" s="34"/>
      <c r="DL30" s="35" t="str">
        <f t="shared" si="44"/>
        <v/>
      </c>
      <c r="DM30" s="36" t="str">
        <f t="shared" si="45"/>
        <v/>
      </c>
      <c r="DN30" s="37"/>
      <c r="DO30" s="33"/>
      <c r="DP30" s="34"/>
      <c r="DQ30" s="35" t="str">
        <f t="shared" si="46"/>
        <v/>
      </c>
      <c r="DR30" s="36" t="str">
        <f t="shared" si="47"/>
        <v/>
      </c>
      <c r="DS30" s="37"/>
      <c r="DT30" s="33"/>
      <c r="DU30" s="34"/>
      <c r="DV30" s="35" t="str">
        <f t="shared" si="48"/>
        <v/>
      </c>
      <c r="DW30" s="36" t="str">
        <f t="shared" si="49"/>
        <v/>
      </c>
      <c r="DX30" s="37"/>
      <c r="DY30" s="33"/>
      <c r="DZ30" s="34"/>
      <c r="EA30" s="35" t="str">
        <f t="shared" si="50"/>
        <v/>
      </c>
      <c r="EB30" s="36" t="str">
        <f t="shared" si="51"/>
        <v/>
      </c>
      <c r="EC30" s="37"/>
      <c r="ED30" s="33"/>
      <c r="EE30" s="34"/>
      <c r="EF30" s="35" t="str">
        <f t="shared" si="52"/>
        <v/>
      </c>
      <c r="EG30" s="36" t="str">
        <f t="shared" si="53"/>
        <v/>
      </c>
      <c r="EH30" s="37"/>
      <c r="EI30" s="33"/>
      <c r="EJ30" s="34"/>
      <c r="EK30" s="35" t="str">
        <f t="shared" si="54"/>
        <v/>
      </c>
      <c r="EL30" s="36" t="str">
        <f t="shared" si="55"/>
        <v/>
      </c>
      <c r="EM30" s="37"/>
      <c r="EN30" s="33"/>
      <c r="EO30" s="34"/>
      <c r="EP30" s="35" t="str">
        <f t="shared" si="56"/>
        <v/>
      </c>
      <c r="EQ30" s="36" t="str">
        <f t="shared" si="57"/>
        <v/>
      </c>
      <c r="ER30" s="37"/>
      <c r="ES30" s="33"/>
      <c r="ET30" s="34"/>
      <c r="EU30" s="35" t="str">
        <f t="shared" si="58"/>
        <v/>
      </c>
      <c r="EV30" s="36" t="str">
        <f t="shared" si="59"/>
        <v/>
      </c>
      <c r="EW30" s="37"/>
    </row>
    <row r="31" spans="1:153" ht="19.5" customHeight="1">
      <c r="A31" s="32">
        <f>IF(DAY(DATE(対象年度,7,28))&lt;&gt;28,"",28)</f>
        <v>28</v>
      </c>
      <c r="B31" s="32" t="str">
        <f>IF(DAY(DATE(対象年度,7,28))&lt;&gt;28,"",CHOOSE(WEEKDAY(DATE(対象年度,7,28),2),"月","火","水","木","金","土","日"))</f>
        <v>火</v>
      </c>
      <c r="C31" s="32" t="str">
        <f>IF(DAY(DATE(対象年度,7,28))&lt;&gt;28,"",IF(ISNUMBER(MATCH(DATE(対象年度,7,28),祝日リスト,0)),"祝",""))</f>
        <v/>
      </c>
      <c r="D31" s="33"/>
      <c r="E31" s="34"/>
      <c r="F31" s="35" t="str">
        <f t="shared" si="0"/>
        <v/>
      </c>
      <c r="G31" s="36" t="str">
        <f t="shared" si="1"/>
        <v/>
      </c>
      <c r="H31" s="37"/>
      <c r="I31" s="33"/>
      <c r="J31" s="34"/>
      <c r="K31" s="35" t="str">
        <f t="shared" si="2"/>
        <v/>
      </c>
      <c r="L31" s="36" t="str">
        <f t="shared" si="3"/>
        <v/>
      </c>
      <c r="M31" s="37"/>
      <c r="N31" s="33"/>
      <c r="O31" s="34"/>
      <c r="P31" s="35" t="str">
        <f t="shared" si="4"/>
        <v/>
      </c>
      <c r="Q31" s="36" t="str">
        <f t="shared" si="5"/>
        <v/>
      </c>
      <c r="R31" s="37"/>
      <c r="S31" s="33"/>
      <c r="T31" s="34"/>
      <c r="U31" s="35" t="str">
        <f t="shared" si="6"/>
        <v/>
      </c>
      <c r="V31" s="36" t="str">
        <f t="shared" si="7"/>
        <v/>
      </c>
      <c r="W31" s="37"/>
      <c r="X31" s="33"/>
      <c r="Y31" s="34"/>
      <c r="Z31" s="35" t="str">
        <f t="shared" si="8"/>
        <v/>
      </c>
      <c r="AA31" s="36" t="str">
        <f t="shared" si="9"/>
        <v/>
      </c>
      <c r="AB31" s="37"/>
      <c r="AC31" s="33"/>
      <c r="AD31" s="34"/>
      <c r="AE31" s="35" t="str">
        <f t="shared" si="10"/>
        <v/>
      </c>
      <c r="AF31" s="36" t="str">
        <f t="shared" si="11"/>
        <v/>
      </c>
      <c r="AG31" s="37"/>
      <c r="AH31" s="33"/>
      <c r="AI31" s="34"/>
      <c r="AJ31" s="35" t="str">
        <f t="shared" si="12"/>
        <v/>
      </c>
      <c r="AK31" s="36" t="str">
        <f t="shared" si="13"/>
        <v/>
      </c>
      <c r="AL31" s="37"/>
      <c r="AM31" s="33"/>
      <c r="AN31" s="34"/>
      <c r="AO31" s="35" t="str">
        <f t="shared" si="14"/>
        <v/>
      </c>
      <c r="AP31" s="36" t="str">
        <f t="shared" si="15"/>
        <v/>
      </c>
      <c r="AQ31" s="37"/>
      <c r="AR31" s="33"/>
      <c r="AS31" s="34"/>
      <c r="AT31" s="35" t="str">
        <f t="shared" si="16"/>
        <v/>
      </c>
      <c r="AU31" s="36" t="str">
        <f t="shared" si="17"/>
        <v/>
      </c>
      <c r="AV31" s="37"/>
      <c r="AW31" s="33"/>
      <c r="AX31" s="34"/>
      <c r="AY31" s="35" t="str">
        <f t="shared" si="18"/>
        <v/>
      </c>
      <c r="AZ31" s="36" t="str">
        <f t="shared" si="19"/>
        <v/>
      </c>
      <c r="BA31" s="37"/>
      <c r="BB31" s="33"/>
      <c r="BC31" s="34"/>
      <c r="BD31" s="35" t="str">
        <f t="shared" si="20"/>
        <v/>
      </c>
      <c r="BE31" s="36" t="str">
        <f t="shared" si="21"/>
        <v/>
      </c>
      <c r="BF31" s="37"/>
      <c r="BG31" s="33"/>
      <c r="BH31" s="34"/>
      <c r="BI31" s="35" t="str">
        <f t="shared" si="22"/>
        <v/>
      </c>
      <c r="BJ31" s="36" t="str">
        <f t="shared" si="23"/>
        <v/>
      </c>
      <c r="BK31" s="37"/>
      <c r="BL31" s="33"/>
      <c r="BM31" s="34"/>
      <c r="BN31" s="35" t="str">
        <f t="shared" si="24"/>
        <v/>
      </c>
      <c r="BO31" s="36" t="str">
        <f t="shared" si="25"/>
        <v/>
      </c>
      <c r="BP31" s="37"/>
      <c r="BQ31" s="33"/>
      <c r="BR31" s="34"/>
      <c r="BS31" s="35" t="str">
        <f t="shared" si="26"/>
        <v/>
      </c>
      <c r="BT31" s="36" t="str">
        <f t="shared" si="27"/>
        <v/>
      </c>
      <c r="BU31" s="37"/>
      <c r="BV31" s="33"/>
      <c r="BW31" s="34"/>
      <c r="BX31" s="35" t="str">
        <f t="shared" si="28"/>
        <v/>
      </c>
      <c r="BY31" s="36" t="str">
        <f t="shared" si="29"/>
        <v/>
      </c>
      <c r="BZ31" s="37"/>
      <c r="CA31" s="33"/>
      <c r="CB31" s="34"/>
      <c r="CC31" s="35" t="str">
        <f t="shared" si="30"/>
        <v/>
      </c>
      <c r="CD31" s="36" t="str">
        <f t="shared" si="31"/>
        <v/>
      </c>
      <c r="CE31" s="37"/>
      <c r="CF31" s="33"/>
      <c r="CG31" s="34"/>
      <c r="CH31" s="35" t="str">
        <f t="shared" si="32"/>
        <v/>
      </c>
      <c r="CI31" s="36" t="str">
        <f t="shared" si="33"/>
        <v/>
      </c>
      <c r="CJ31" s="37"/>
      <c r="CK31" s="33"/>
      <c r="CL31" s="34"/>
      <c r="CM31" s="35" t="str">
        <f t="shared" si="34"/>
        <v/>
      </c>
      <c r="CN31" s="36" t="str">
        <f t="shared" si="35"/>
        <v/>
      </c>
      <c r="CO31" s="37"/>
      <c r="CP31" s="33"/>
      <c r="CQ31" s="34"/>
      <c r="CR31" s="35" t="str">
        <f t="shared" si="36"/>
        <v/>
      </c>
      <c r="CS31" s="36" t="str">
        <f t="shared" si="37"/>
        <v/>
      </c>
      <c r="CT31" s="37"/>
      <c r="CU31" s="33"/>
      <c r="CV31" s="34"/>
      <c r="CW31" s="35" t="str">
        <f t="shared" si="38"/>
        <v/>
      </c>
      <c r="CX31" s="36" t="str">
        <f t="shared" si="39"/>
        <v/>
      </c>
      <c r="CY31" s="37"/>
      <c r="CZ31" s="33"/>
      <c r="DA31" s="34"/>
      <c r="DB31" s="35" t="str">
        <f t="shared" si="40"/>
        <v/>
      </c>
      <c r="DC31" s="36" t="str">
        <f t="shared" si="41"/>
        <v/>
      </c>
      <c r="DD31" s="37"/>
      <c r="DE31" s="33"/>
      <c r="DF31" s="34"/>
      <c r="DG31" s="35" t="str">
        <f t="shared" si="42"/>
        <v/>
      </c>
      <c r="DH31" s="36" t="str">
        <f t="shared" si="43"/>
        <v/>
      </c>
      <c r="DI31" s="37"/>
      <c r="DJ31" s="33"/>
      <c r="DK31" s="34"/>
      <c r="DL31" s="35" t="str">
        <f t="shared" si="44"/>
        <v/>
      </c>
      <c r="DM31" s="36" t="str">
        <f t="shared" si="45"/>
        <v/>
      </c>
      <c r="DN31" s="37"/>
      <c r="DO31" s="33"/>
      <c r="DP31" s="34"/>
      <c r="DQ31" s="35" t="str">
        <f t="shared" si="46"/>
        <v/>
      </c>
      <c r="DR31" s="36" t="str">
        <f t="shared" si="47"/>
        <v/>
      </c>
      <c r="DS31" s="37"/>
      <c r="DT31" s="33"/>
      <c r="DU31" s="34"/>
      <c r="DV31" s="35" t="str">
        <f t="shared" si="48"/>
        <v/>
      </c>
      <c r="DW31" s="36" t="str">
        <f t="shared" si="49"/>
        <v/>
      </c>
      <c r="DX31" s="37"/>
      <c r="DY31" s="33"/>
      <c r="DZ31" s="34"/>
      <c r="EA31" s="35" t="str">
        <f t="shared" si="50"/>
        <v/>
      </c>
      <c r="EB31" s="36" t="str">
        <f t="shared" si="51"/>
        <v/>
      </c>
      <c r="EC31" s="37"/>
      <c r="ED31" s="33"/>
      <c r="EE31" s="34"/>
      <c r="EF31" s="35" t="str">
        <f t="shared" si="52"/>
        <v/>
      </c>
      <c r="EG31" s="36" t="str">
        <f t="shared" si="53"/>
        <v/>
      </c>
      <c r="EH31" s="37"/>
      <c r="EI31" s="33"/>
      <c r="EJ31" s="34"/>
      <c r="EK31" s="35" t="str">
        <f t="shared" si="54"/>
        <v/>
      </c>
      <c r="EL31" s="36" t="str">
        <f t="shared" si="55"/>
        <v/>
      </c>
      <c r="EM31" s="37"/>
      <c r="EN31" s="33"/>
      <c r="EO31" s="34"/>
      <c r="EP31" s="35" t="str">
        <f t="shared" si="56"/>
        <v/>
      </c>
      <c r="EQ31" s="36" t="str">
        <f t="shared" si="57"/>
        <v/>
      </c>
      <c r="ER31" s="37"/>
      <c r="ES31" s="33"/>
      <c r="ET31" s="34"/>
      <c r="EU31" s="35" t="str">
        <f t="shared" si="58"/>
        <v/>
      </c>
      <c r="EV31" s="36" t="str">
        <f t="shared" si="59"/>
        <v/>
      </c>
      <c r="EW31" s="37"/>
    </row>
    <row r="32" spans="1:153" ht="19.5" customHeight="1">
      <c r="A32" s="32">
        <f>IF(DAY(DATE(対象年度,7,29))&lt;&gt;29,"",29)</f>
        <v>29</v>
      </c>
      <c r="B32" s="32" t="str">
        <f>IF(DAY(DATE(対象年度,7,29))&lt;&gt;29,"",CHOOSE(WEEKDAY(DATE(対象年度,7,29),2),"月","火","水","木","金","土","日"))</f>
        <v>水</v>
      </c>
      <c r="C32" s="32" t="str">
        <f>IF(DAY(DATE(対象年度,7,29))&lt;&gt;29,"",IF(ISNUMBER(MATCH(DATE(対象年度,7,29),祝日リスト,0)),"祝",""))</f>
        <v/>
      </c>
      <c r="D32" s="33"/>
      <c r="E32" s="34"/>
      <c r="F32" s="35" t="str">
        <f t="shared" si="0"/>
        <v/>
      </c>
      <c r="G32" s="36" t="str">
        <f t="shared" si="1"/>
        <v/>
      </c>
      <c r="H32" s="37"/>
      <c r="I32" s="33"/>
      <c r="J32" s="34"/>
      <c r="K32" s="35" t="str">
        <f t="shared" si="2"/>
        <v/>
      </c>
      <c r="L32" s="36" t="str">
        <f t="shared" si="3"/>
        <v/>
      </c>
      <c r="M32" s="37"/>
      <c r="N32" s="33"/>
      <c r="O32" s="34"/>
      <c r="P32" s="35" t="str">
        <f t="shared" si="4"/>
        <v/>
      </c>
      <c r="Q32" s="36" t="str">
        <f t="shared" si="5"/>
        <v/>
      </c>
      <c r="R32" s="37"/>
      <c r="S32" s="33"/>
      <c r="T32" s="34"/>
      <c r="U32" s="35" t="str">
        <f t="shared" si="6"/>
        <v/>
      </c>
      <c r="V32" s="36" t="str">
        <f t="shared" si="7"/>
        <v/>
      </c>
      <c r="W32" s="37"/>
      <c r="X32" s="33"/>
      <c r="Y32" s="34"/>
      <c r="Z32" s="35" t="str">
        <f t="shared" si="8"/>
        <v/>
      </c>
      <c r="AA32" s="36" t="str">
        <f t="shared" si="9"/>
        <v/>
      </c>
      <c r="AB32" s="37"/>
      <c r="AC32" s="33"/>
      <c r="AD32" s="34"/>
      <c r="AE32" s="35" t="str">
        <f t="shared" si="10"/>
        <v/>
      </c>
      <c r="AF32" s="36" t="str">
        <f t="shared" si="11"/>
        <v/>
      </c>
      <c r="AG32" s="37"/>
      <c r="AH32" s="33"/>
      <c r="AI32" s="34"/>
      <c r="AJ32" s="35" t="str">
        <f t="shared" si="12"/>
        <v/>
      </c>
      <c r="AK32" s="36" t="str">
        <f t="shared" si="13"/>
        <v/>
      </c>
      <c r="AL32" s="37"/>
      <c r="AM32" s="33"/>
      <c r="AN32" s="34"/>
      <c r="AO32" s="35" t="str">
        <f t="shared" si="14"/>
        <v/>
      </c>
      <c r="AP32" s="36" t="str">
        <f t="shared" si="15"/>
        <v/>
      </c>
      <c r="AQ32" s="37"/>
      <c r="AR32" s="33"/>
      <c r="AS32" s="34"/>
      <c r="AT32" s="35" t="str">
        <f t="shared" si="16"/>
        <v/>
      </c>
      <c r="AU32" s="36" t="str">
        <f t="shared" si="17"/>
        <v/>
      </c>
      <c r="AV32" s="37"/>
      <c r="AW32" s="33"/>
      <c r="AX32" s="34"/>
      <c r="AY32" s="35" t="str">
        <f t="shared" si="18"/>
        <v/>
      </c>
      <c r="AZ32" s="36" t="str">
        <f t="shared" si="19"/>
        <v/>
      </c>
      <c r="BA32" s="37"/>
      <c r="BB32" s="33"/>
      <c r="BC32" s="34"/>
      <c r="BD32" s="35" t="str">
        <f t="shared" si="20"/>
        <v/>
      </c>
      <c r="BE32" s="36" t="str">
        <f t="shared" si="21"/>
        <v/>
      </c>
      <c r="BF32" s="37"/>
      <c r="BG32" s="33"/>
      <c r="BH32" s="34"/>
      <c r="BI32" s="35" t="str">
        <f t="shared" si="22"/>
        <v/>
      </c>
      <c r="BJ32" s="36" t="str">
        <f t="shared" si="23"/>
        <v/>
      </c>
      <c r="BK32" s="37"/>
      <c r="BL32" s="33"/>
      <c r="BM32" s="34"/>
      <c r="BN32" s="35" t="str">
        <f t="shared" si="24"/>
        <v/>
      </c>
      <c r="BO32" s="36" t="str">
        <f t="shared" si="25"/>
        <v/>
      </c>
      <c r="BP32" s="37"/>
      <c r="BQ32" s="33"/>
      <c r="BR32" s="34"/>
      <c r="BS32" s="35" t="str">
        <f t="shared" si="26"/>
        <v/>
      </c>
      <c r="BT32" s="36" t="str">
        <f t="shared" si="27"/>
        <v/>
      </c>
      <c r="BU32" s="37"/>
      <c r="BV32" s="33"/>
      <c r="BW32" s="34"/>
      <c r="BX32" s="35" t="str">
        <f t="shared" si="28"/>
        <v/>
      </c>
      <c r="BY32" s="36" t="str">
        <f t="shared" si="29"/>
        <v/>
      </c>
      <c r="BZ32" s="37"/>
      <c r="CA32" s="33"/>
      <c r="CB32" s="34"/>
      <c r="CC32" s="35" t="str">
        <f t="shared" si="30"/>
        <v/>
      </c>
      <c r="CD32" s="36" t="str">
        <f t="shared" si="31"/>
        <v/>
      </c>
      <c r="CE32" s="37"/>
      <c r="CF32" s="33"/>
      <c r="CG32" s="34"/>
      <c r="CH32" s="35" t="str">
        <f t="shared" si="32"/>
        <v/>
      </c>
      <c r="CI32" s="36" t="str">
        <f t="shared" si="33"/>
        <v/>
      </c>
      <c r="CJ32" s="37"/>
      <c r="CK32" s="33"/>
      <c r="CL32" s="34"/>
      <c r="CM32" s="35" t="str">
        <f t="shared" si="34"/>
        <v/>
      </c>
      <c r="CN32" s="36" t="str">
        <f t="shared" si="35"/>
        <v/>
      </c>
      <c r="CO32" s="37"/>
      <c r="CP32" s="33"/>
      <c r="CQ32" s="34"/>
      <c r="CR32" s="35" t="str">
        <f t="shared" si="36"/>
        <v/>
      </c>
      <c r="CS32" s="36" t="str">
        <f t="shared" si="37"/>
        <v/>
      </c>
      <c r="CT32" s="37"/>
      <c r="CU32" s="33"/>
      <c r="CV32" s="34"/>
      <c r="CW32" s="35" t="str">
        <f t="shared" si="38"/>
        <v/>
      </c>
      <c r="CX32" s="36" t="str">
        <f t="shared" si="39"/>
        <v/>
      </c>
      <c r="CY32" s="37"/>
      <c r="CZ32" s="33"/>
      <c r="DA32" s="34"/>
      <c r="DB32" s="35" t="str">
        <f t="shared" si="40"/>
        <v/>
      </c>
      <c r="DC32" s="36" t="str">
        <f t="shared" si="41"/>
        <v/>
      </c>
      <c r="DD32" s="37"/>
      <c r="DE32" s="33"/>
      <c r="DF32" s="34"/>
      <c r="DG32" s="35" t="str">
        <f t="shared" si="42"/>
        <v/>
      </c>
      <c r="DH32" s="36" t="str">
        <f t="shared" si="43"/>
        <v/>
      </c>
      <c r="DI32" s="37"/>
      <c r="DJ32" s="33"/>
      <c r="DK32" s="34"/>
      <c r="DL32" s="35" t="str">
        <f t="shared" si="44"/>
        <v/>
      </c>
      <c r="DM32" s="36" t="str">
        <f t="shared" si="45"/>
        <v/>
      </c>
      <c r="DN32" s="37"/>
      <c r="DO32" s="33"/>
      <c r="DP32" s="34"/>
      <c r="DQ32" s="35" t="str">
        <f t="shared" si="46"/>
        <v/>
      </c>
      <c r="DR32" s="36" t="str">
        <f t="shared" si="47"/>
        <v/>
      </c>
      <c r="DS32" s="37"/>
      <c r="DT32" s="33"/>
      <c r="DU32" s="34"/>
      <c r="DV32" s="35" t="str">
        <f t="shared" si="48"/>
        <v/>
      </c>
      <c r="DW32" s="36" t="str">
        <f t="shared" si="49"/>
        <v/>
      </c>
      <c r="DX32" s="37"/>
      <c r="DY32" s="33"/>
      <c r="DZ32" s="34"/>
      <c r="EA32" s="35" t="str">
        <f t="shared" si="50"/>
        <v/>
      </c>
      <c r="EB32" s="36" t="str">
        <f t="shared" si="51"/>
        <v/>
      </c>
      <c r="EC32" s="37"/>
      <c r="ED32" s="33"/>
      <c r="EE32" s="34"/>
      <c r="EF32" s="35" t="str">
        <f t="shared" si="52"/>
        <v/>
      </c>
      <c r="EG32" s="36" t="str">
        <f t="shared" si="53"/>
        <v/>
      </c>
      <c r="EH32" s="37"/>
      <c r="EI32" s="33"/>
      <c r="EJ32" s="34"/>
      <c r="EK32" s="35" t="str">
        <f t="shared" si="54"/>
        <v/>
      </c>
      <c r="EL32" s="36" t="str">
        <f t="shared" si="55"/>
        <v/>
      </c>
      <c r="EM32" s="37"/>
      <c r="EN32" s="33"/>
      <c r="EO32" s="34"/>
      <c r="EP32" s="35" t="str">
        <f t="shared" si="56"/>
        <v/>
      </c>
      <c r="EQ32" s="36" t="str">
        <f t="shared" si="57"/>
        <v/>
      </c>
      <c r="ER32" s="37"/>
      <c r="ES32" s="33"/>
      <c r="ET32" s="34"/>
      <c r="EU32" s="35" t="str">
        <f t="shared" si="58"/>
        <v/>
      </c>
      <c r="EV32" s="36" t="str">
        <f t="shared" si="59"/>
        <v/>
      </c>
      <c r="EW32" s="37"/>
    </row>
    <row r="33" spans="1:153" ht="19.5" customHeight="1">
      <c r="A33" s="32">
        <f>IF(DAY(DATE(対象年度,7,30))&lt;&gt;30,"",30)</f>
        <v>30</v>
      </c>
      <c r="B33" s="32" t="str">
        <f>IF(DAY(DATE(対象年度,7,30))&lt;&gt;30,"",CHOOSE(WEEKDAY(DATE(対象年度,7,30),2),"月","火","水","木","金","土","日"))</f>
        <v>木</v>
      </c>
      <c r="C33" s="32" t="str">
        <f>IF(DAY(DATE(対象年度,7,30))&lt;&gt;30,"",IF(ISNUMBER(MATCH(DATE(対象年度,7,30),祝日リスト,0)),"祝",""))</f>
        <v/>
      </c>
      <c r="D33" s="33"/>
      <c r="E33" s="34"/>
      <c r="F33" s="35" t="str">
        <f t="shared" si="0"/>
        <v/>
      </c>
      <c r="G33" s="36" t="str">
        <f t="shared" si="1"/>
        <v/>
      </c>
      <c r="H33" s="37"/>
      <c r="I33" s="33"/>
      <c r="J33" s="34"/>
      <c r="K33" s="35" t="str">
        <f t="shared" si="2"/>
        <v/>
      </c>
      <c r="L33" s="36" t="str">
        <f t="shared" si="3"/>
        <v/>
      </c>
      <c r="M33" s="37"/>
      <c r="N33" s="33"/>
      <c r="O33" s="34"/>
      <c r="P33" s="35" t="str">
        <f t="shared" si="4"/>
        <v/>
      </c>
      <c r="Q33" s="36" t="str">
        <f t="shared" si="5"/>
        <v/>
      </c>
      <c r="R33" s="37"/>
      <c r="S33" s="33"/>
      <c r="T33" s="34"/>
      <c r="U33" s="35" t="str">
        <f t="shared" si="6"/>
        <v/>
      </c>
      <c r="V33" s="36" t="str">
        <f t="shared" si="7"/>
        <v/>
      </c>
      <c r="W33" s="37"/>
      <c r="X33" s="33"/>
      <c r="Y33" s="34"/>
      <c r="Z33" s="35" t="str">
        <f t="shared" si="8"/>
        <v/>
      </c>
      <c r="AA33" s="36" t="str">
        <f t="shared" si="9"/>
        <v/>
      </c>
      <c r="AB33" s="37"/>
      <c r="AC33" s="33"/>
      <c r="AD33" s="34"/>
      <c r="AE33" s="35" t="str">
        <f t="shared" si="10"/>
        <v/>
      </c>
      <c r="AF33" s="36" t="str">
        <f t="shared" si="11"/>
        <v/>
      </c>
      <c r="AG33" s="37"/>
      <c r="AH33" s="33"/>
      <c r="AI33" s="34"/>
      <c r="AJ33" s="35" t="str">
        <f t="shared" si="12"/>
        <v/>
      </c>
      <c r="AK33" s="36" t="str">
        <f t="shared" si="13"/>
        <v/>
      </c>
      <c r="AL33" s="37"/>
      <c r="AM33" s="33"/>
      <c r="AN33" s="34"/>
      <c r="AO33" s="35" t="str">
        <f t="shared" si="14"/>
        <v/>
      </c>
      <c r="AP33" s="36" t="str">
        <f t="shared" si="15"/>
        <v/>
      </c>
      <c r="AQ33" s="37"/>
      <c r="AR33" s="33"/>
      <c r="AS33" s="34"/>
      <c r="AT33" s="35" t="str">
        <f t="shared" si="16"/>
        <v/>
      </c>
      <c r="AU33" s="36" t="str">
        <f t="shared" si="17"/>
        <v/>
      </c>
      <c r="AV33" s="37"/>
      <c r="AW33" s="33"/>
      <c r="AX33" s="34"/>
      <c r="AY33" s="35" t="str">
        <f t="shared" si="18"/>
        <v/>
      </c>
      <c r="AZ33" s="36" t="str">
        <f t="shared" si="19"/>
        <v/>
      </c>
      <c r="BA33" s="37"/>
      <c r="BB33" s="33"/>
      <c r="BC33" s="34"/>
      <c r="BD33" s="35" t="str">
        <f t="shared" si="20"/>
        <v/>
      </c>
      <c r="BE33" s="36" t="str">
        <f t="shared" si="21"/>
        <v/>
      </c>
      <c r="BF33" s="37"/>
      <c r="BG33" s="33"/>
      <c r="BH33" s="34"/>
      <c r="BI33" s="35" t="str">
        <f t="shared" si="22"/>
        <v/>
      </c>
      <c r="BJ33" s="36" t="str">
        <f t="shared" si="23"/>
        <v/>
      </c>
      <c r="BK33" s="37"/>
      <c r="BL33" s="33"/>
      <c r="BM33" s="34"/>
      <c r="BN33" s="35" t="str">
        <f t="shared" si="24"/>
        <v/>
      </c>
      <c r="BO33" s="36" t="str">
        <f t="shared" si="25"/>
        <v/>
      </c>
      <c r="BP33" s="37"/>
      <c r="BQ33" s="33"/>
      <c r="BR33" s="34"/>
      <c r="BS33" s="35" t="str">
        <f t="shared" si="26"/>
        <v/>
      </c>
      <c r="BT33" s="36" t="str">
        <f t="shared" si="27"/>
        <v/>
      </c>
      <c r="BU33" s="37"/>
      <c r="BV33" s="33"/>
      <c r="BW33" s="34"/>
      <c r="BX33" s="35" t="str">
        <f t="shared" si="28"/>
        <v/>
      </c>
      <c r="BY33" s="36" t="str">
        <f t="shared" si="29"/>
        <v/>
      </c>
      <c r="BZ33" s="37"/>
      <c r="CA33" s="33"/>
      <c r="CB33" s="34"/>
      <c r="CC33" s="35" t="str">
        <f t="shared" si="30"/>
        <v/>
      </c>
      <c r="CD33" s="36" t="str">
        <f t="shared" si="31"/>
        <v/>
      </c>
      <c r="CE33" s="37"/>
      <c r="CF33" s="33"/>
      <c r="CG33" s="34"/>
      <c r="CH33" s="35" t="str">
        <f t="shared" si="32"/>
        <v/>
      </c>
      <c r="CI33" s="36" t="str">
        <f t="shared" si="33"/>
        <v/>
      </c>
      <c r="CJ33" s="37"/>
      <c r="CK33" s="33"/>
      <c r="CL33" s="34"/>
      <c r="CM33" s="35" t="str">
        <f t="shared" si="34"/>
        <v/>
      </c>
      <c r="CN33" s="36" t="str">
        <f t="shared" si="35"/>
        <v/>
      </c>
      <c r="CO33" s="37"/>
      <c r="CP33" s="33"/>
      <c r="CQ33" s="34"/>
      <c r="CR33" s="35" t="str">
        <f t="shared" si="36"/>
        <v/>
      </c>
      <c r="CS33" s="36" t="str">
        <f t="shared" si="37"/>
        <v/>
      </c>
      <c r="CT33" s="37"/>
      <c r="CU33" s="33"/>
      <c r="CV33" s="34"/>
      <c r="CW33" s="35" t="str">
        <f t="shared" si="38"/>
        <v/>
      </c>
      <c r="CX33" s="36" t="str">
        <f t="shared" si="39"/>
        <v/>
      </c>
      <c r="CY33" s="37"/>
      <c r="CZ33" s="33"/>
      <c r="DA33" s="34"/>
      <c r="DB33" s="35" t="str">
        <f t="shared" si="40"/>
        <v/>
      </c>
      <c r="DC33" s="36" t="str">
        <f t="shared" si="41"/>
        <v/>
      </c>
      <c r="DD33" s="37"/>
      <c r="DE33" s="33"/>
      <c r="DF33" s="34"/>
      <c r="DG33" s="35" t="str">
        <f t="shared" si="42"/>
        <v/>
      </c>
      <c r="DH33" s="36" t="str">
        <f t="shared" si="43"/>
        <v/>
      </c>
      <c r="DI33" s="37"/>
      <c r="DJ33" s="33"/>
      <c r="DK33" s="34"/>
      <c r="DL33" s="35" t="str">
        <f t="shared" si="44"/>
        <v/>
      </c>
      <c r="DM33" s="36" t="str">
        <f t="shared" si="45"/>
        <v/>
      </c>
      <c r="DN33" s="37"/>
      <c r="DO33" s="33"/>
      <c r="DP33" s="34"/>
      <c r="DQ33" s="35" t="str">
        <f t="shared" si="46"/>
        <v/>
      </c>
      <c r="DR33" s="36" t="str">
        <f t="shared" si="47"/>
        <v/>
      </c>
      <c r="DS33" s="37"/>
      <c r="DT33" s="33"/>
      <c r="DU33" s="34"/>
      <c r="DV33" s="35" t="str">
        <f t="shared" si="48"/>
        <v/>
      </c>
      <c r="DW33" s="36" t="str">
        <f t="shared" si="49"/>
        <v/>
      </c>
      <c r="DX33" s="37"/>
      <c r="DY33" s="33"/>
      <c r="DZ33" s="34"/>
      <c r="EA33" s="35" t="str">
        <f t="shared" si="50"/>
        <v/>
      </c>
      <c r="EB33" s="36" t="str">
        <f t="shared" si="51"/>
        <v/>
      </c>
      <c r="EC33" s="37"/>
      <c r="ED33" s="33"/>
      <c r="EE33" s="34"/>
      <c r="EF33" s="35" t="str">
        <f t="shared" si="52"/>
        <v/>
      </c>
      <c r="EG33" s="36" t="str">
        <f t="shared" si="53"/>
        <v/>
      </c>
      <c r="EH33" s="37"/>
      <c r="EI33" s="33"/>
      <c r="EJ33" s="34"/>
      <c r="EK33" s="35" t="str">
        <f t="shared" si="54"/>
        <v/>
      </c>
      <c r="EL33" s="36" t="str">
        <f t="shared" si="55"/>
        <v/>
      </c>
      <c r="EM33" s="37"/>
      <c r="EN33" s="33"/>
      <c r="EO33" s="34"/>
      <c r="EP33" s="35" t="str">
        <f t="shared" si="56"/>
        <v/>
      </c>
      <c r="EQ33" s="36" t="str">
        <f t="shared" si="57"/>
        <v/>
      </c>
      <c r="ER33" s="37"/>
      <c r="ES33" s="33"/>
      <c r="ET33" s="34"/>
      <c r="EU33" s="35" t="str">
        <f t="shared" si="58"/>
        <v/>
      </c>
      <c r="EV33" s="36" t="str">
        <f t="shared" si="59"/>
        <v/>
      </c>
      <c r="EW33" s="37"/>
    </row>
    <row r="34" spans="1:153" ht="19.5" customHeight="1">
      <c r="A34" s="39">
        <f>IF(DAY(DATE(対象年度,7,31))&lt;&gt;31,"",31)</f>
        <v>31</v>
      </c>
      <c r="B34" s="39" t="str">
        <f>IF(DAY(DATE(対象年度,7,31))&lt;&gt;31,"",CHOOSE(WEEKDAY(DATE(対象年度,7,31),2),"月","火","水","木","金","土","日"))</f>
        <v>金</v>
      </c>
      <c r="C34" s="39" t="str">
        <f>IF(DAY(DATE(対象年度,7,31))&lt;&gt;31,"",IF(ISNUMBER(MATCH(DATE(対象年度,7,31),祝日リスト,0)),"祝",""))</f>
        <v/>
      </c>
      <c r="D34" s="40"/>
      <c r="E34" s="41"/>
      <c r="F34" s="42" t="str">
        <f t="shared" si="0"/>
        <v/>
      </c>
      <c r="G34" s="43" t="str">
        <f t="shared" si="1"/>
        <v/>
      </c>
      <c r="H34" s="44"/>
      <c r="I34" s="40"/>
      <c r="J34" s="41"/>
      <c r="K34" s="42" t="str">
        <f t="shared" si="2"/>
        <v/>
      </c>
      <c r="L34" s="43" t="str">
        <f t="shared" si="3"/>
        <v/>
      </c>
      <c r="M34" s="44"/>
      <c r="N34" s="40"/>
      <c r="O34" s="41"/>
      <c r="P34" s="42" t="str">
        <f t="shared" si="4"/>
        <v/>
      </c>
      <c r="Q34" s="43" t="str">
        <f t="shared" si="5"/>
        <v/>
      </c>
      <c r="R34" s="44"/>
      <c r="S34" s="40"/>
      <c r="T34" s="41"/>
      <c r="U34" s="42" t="str">
        <f t="shared" si="6"/>
        <v/>
      </c>
      <c r="V34" s="43" t="str">
        <f t="shared" si="7"/>
        <v/>
      </c>
      <c r="W34" s="44"/>
      <c r="X34" s="40"/>
      <c r="Y34" s="41"/>
      <c r="Z34" s="42" t="str">
        <f t="shared" si="8"/>
        <v/>
      </c>
      <c r="AA34" s="43" t="str">
        <f t="shared" si="9"/>
        <v/>
      </c>
      <c r="AB34" s="44"/>
      <c r="AC34" s="40"/>
      <c r="AD34" s="41"/>
      <c r="AE34" s="42" t="str">
        <f t="shared" si="10"/>
        <v/>
      </c>
      <c r="AF34" s="43" t="str">
        <f t="shared" si="11"/>
        <v/>
      </c>
      <c r="AG34" s="44"/>
      <c r="AH34" s="40"/>
      <c r="AI34" s="41"/>
      <c r="AJ34" s="42" t="str">
        <f t="shared" si="12"/>
        <v/>
      </c>
      <c r="AK34" s="43" t="str">
        <f t="shared" si="13"/>
        <v/>
      </c>
      <c r="AL34" s="44"/>
      <c r="AM34" s="40"/>
      <c r="AN34" s="41"/>
      <c r="AO34" s="42" t="str">
        <f t="shared" si="14"/>
        <v/>
      </c>
      <c r="AP34" s="43" t="str">
        <f t="shared" si="15"/>
        <v/>
      </c>
      <c r="AQ34" s="44"/>
      <c r="AR34" s="40"/>
      <c r="AS34" s="41"/>
      <c r="AT34" s="42" t="str">
        <f t="shared" si="16"/>
        <v/>
      </c>
      <c r="AU34" s="43" t="str">
        <f t="shared" si="17"/>
        <v/>
      </c>
      <c r="AV34" s="44"/>
      <c r="AW34" s="40"/>
      <c r="AX34" s="41"/>
      <c r="AY34" s="42" t="str">
        <f t="shared" si="18"/>
        <v/>
      </c>
      <c r="AZ34" s="43" t="str">
        <f t="shared" si="19"/>
        <v/>
      </c>
      <c r="BA34" s="44"/>
      <c r="BB34" s="40"/>
      <c r="BC34" s="41"/>
      <c r="BD34" s="42" t="str">
        <f t="shared" si="20"/>
        <v/>
      </c>
      <c r="BE34" s="43" t="str">
        <f t="shared" si="21"/>
        <v/>
      </c>
      <c r="BF34" s="44"/>
      <c r="BG34" s="40"/>
      <c r="BH34" s="41"/>
      <c r="BI34" s="42" t="str">
        <f t="shared" si="22"/>
        <v/>
      </c>
      <c r="BJ34" s="43" t="str">
        <f t="shared" si="23"/>
        <v/>
      </c>
      <c r="BK34" s="44"/>
      <c r="BL34" s="40"/>
      <c r="BM34" s="41"/>
      <c r="BN34" s="42" t="str">
        <f t="shared" si="24"/>
        <v/>
      </c>
      <c r="BO34" s="43" t="str">
        <f t="shared" si="25"/>
        <v/>
      </c>
      <c r="BP34" s="44"/>
      <c r="BQ34" s="40"/>
      <c r="BR34" s="41"/>
      <c r="BS34" s="42" t="str">
        <f t="shared" si="26"/>
        <v/>
      </c>
      <c r="BT34" s="43" t="str">
        <f t="shared" si="27"/>
        <v/>
      </c>
      <c r="BU34" s="44"/>
      <c r="BV34" s="40"/>
      <c r="BW34" s="41"/>
      <c r="BX34" s="42" t="str">
        <f t="shared" si="28"/>
        <v/>
      </c>
      <c r="BY34" s="43" t="str">
        <f t="shared" si="29"/>
        <v/>
      </c>
      <c r="BZ34" s="44"/>
      <c r="CA34" s="40"/>
      <c r="CB34" s="41"/>
      <c r="CC34" s="42" t="str">
        <f t="shared" si="30"/>
        <v/>
      </c>
      <c r="CD34" s="43" t="str">
        <f t="shared" si="31"/>
        <v/>
      </c>
      <c r="CE34" s="44"/>
      <c r="CF34" s="40"/>
      <c r="CG34" s="41"/>
      <c r="CH34" s="42" t="str">
        <f t="shared" si="32"/>
        <v/>
      </c>
      <c r="CI34" s="43" t="str">
        <f t="shared" si="33"/>
        <v/>
      </c>
      <c r="CJ34" s="44"/>
      <c r="CK34" s="40"/>
      <c r="CL34" s="41"/>
      <c r="CM34" s="42" t="str">
        <f t="shared" si="34"/>
        <v/>
      </c>
      <c r="CN34" s="43" t="str">
        <f t="shared" si="35"/>
        <v/>
      </c>
      <c r="CO34" s="44"/>
      <c r="CP34" s="40"/>
      <c r="CQ34" s="41"/>
      <c r="CR34" s="42" t="str">
        <f t="shared" si="36"/>
        <v/>
      </c>
      <c r="CS34" s="43" t="str">
        <f t="shared" si="37"/>
        <v/>
      </c>
      <c r="CT34" s="44"/>
      <c r="CU34" s="40"/>
      <c r="CV34" s="41"/>
      <c r="CW34" s="42" t="str">
        <f t="shared" si="38"/>
        <v/>
      </c>
      <c r="CX34" s="43" t="str">
        <f t="shared" si="39"/>
        <v/>
      </c>
      <c r="CY34" s="44"/>
      <c r="CZ34" s="40"/>
      <c r="DA34" s="41"/>
      <c r="DB34" s="42" t="str">
        <f t="shared" si="40"/>
        <v/>
      </c>
      <c r="DC34" s="43" t="str">
        <f t="shared" si="41"/>
        <v/>
      </c>
      <c r="DD34" s="44"/>
      <c r="DE34" s="40"/>
      <c r="DF34" s="41"/>
      <c r="DG34" s="42" t="str">
        <f t="shared" si="42"/>
        <v/>
      </c>
      <c r="DH34" s="43" t="str">
        <f t="shared" si="43"/>
        <v/>
      </c>
      <c r="DI34" s="44"/>
      <c r="DJ34" s="40"/>
      <c r="DK34" s="41"/>
      <c r="DL34" s="42" t="str">
        <f t="shared" si="44"/>
        <v/>
      </c>
      <c r="DM34" s="43" t="str">
        <f t="shared" si="45"/>
        <v/>
      </c>
      <c r="DN34" s="44"/>
      <c r="DO34" s="40"/>
      <c r="DP34" s="41"/>
      <c r="DQ34" s="42" t="str">
        <f t="shared" si="46"/>
        <v/>
      </c>
      <c r="DR34" s="43" t="str">
        <f t="shared" si="47"/>
        <v/>
      </c>
      <c r="DS34" s="44"/>
      <c r="DT34" s="40"/>
      <c r="DU34" s="41"/>
      <c r="DV34" s="42" t="str">
        <f t="shared" si="48"/>
        <v/>
      </c>
      <c r="DW34" s="43" t="str">
        <f t="shared" si="49"/>
        <v/>
      </c>
      <c r="DX34" s="44"/>
      <c r="DY34" s="40"/>
      <c r="DZ34" s="41"/>
      <c r="EA34" s="42" t="str">
        <f t="shared" si="50"/>
        <v/>
      </c>
      <c r="EB34" s="43" t="str">
        <f t="shared" si="51"/>
        <v/>
      </c>
      <c r="EC34" s="44"/>
      <c r="ED34" s="40"/>
      <c r="EE34" s="41"/>
      <c r="EF34" s="42" t="str">
        <f t="shared" si="52"/>
        <v/>
      </c>
      <c r="EG34" s="43" t="str">
        <f t="shared" si="53"/>
        <v/>
      </c>
      <c r="EH34" s="44"/>
      <c r="EI34" s="40"/>
      <c r="EJ34" s="41"/>
      <c r="EK34" s="42" t="str">
        <f t="shared" si="54"/>
        <v/>
      </c>
      <c r="EL34" s="43" t="str">
        <f t="shared" si="55"/>
        <v/>
      </c>
      <c r="EM34" s="44"/>
      <c r="EN34" s="40"/>
      <c r="EO34" s="41"/>
      <c r="EP34" s="42" t="str">
        <f t="shared" si="56"/>
        <v/>
      </c>
      <c r="EQ34" s="43" t="str">
        <f t="shared" si="57"/>
        <v/>
      </c>
      <c r="ER34" s="44"/>
      <c r="ES34" s="40"/>
      <c r="ET34" s="41"/>
      <c r="EU34" s="42" t="str">
        <f t="shared" si="58"/>
        <v/>
      </c>
      <c r="EV34" s="43" t="str">
        <f t="shared" si="59"/>
        <v/>
      </c>
      <c r="EW34" s="44"/>
    </row>
    <row r="35" spans="1:153" ht="21.75" customHeight="1">
      <c r="A35" s="98" t="s">
        <v>120</v>
      </c>
      <c r="B35" s="98"/>
      <c r="C35" s="98"/>
      <c r="D35" s="99">
        <f>COUNTIF(F4:F34,"○")</f>
        <v>0</v>
      </c>
      <c r="E35" s="99"/>
      <c r="F35" s="99"/>
      <c r="G35" s="99"/>
      <c r="H35" s="99"/>
      <c r="I35" s="99">
        <f>COUNTIF(K4:K34,"○")</f>
        <v>0</v>
      </c>
      <c r="J35" s="99"/>
      <c r="K35" s="99"/>
      <c r="L35" s="99"/>
      <c r="M35" s="99"/>
      <c r="N35" s="99">
        <f>COUNTIF(P4:P34,"○")</f>
        <v>0</v>
      </c>
      <c r="O35" s="99"/>
      <c r="P35" s="99"/>
      <c r="Q35" s="99"/>
      <c r="R35" s="99"/>
      <c r="S35" s="99">
        <f>COUNTIF(U4:U34,"○")</f>
        <v>0</v>
      </c>
      <c r="T35" s="99"/>
      <c r="U35" s="99"/>
      <c r="V35" s="99"/>
      <c r="W35" s="99"/>
      <c r="X35" s="99">
        <f>COUNTIF(Z4:Z34,"○")</f>
        <v>0</v>
      </c>
      <c r="Y35" s="99"/>
      <c r="Z35" s="99"/>
      <c r="AA35" s="99"/>
      <c r="AB35" s="99"/>
      <c r="AC35" s="99">
        <f>COUNTIF(AE4:AE34,"○")</f>
        <v>0</v>
      </c>
      <c r="AD35" s="99"/>
      <c r="AE35" s="99"/>
      <c r="AF35" s="99"/>
      <c r="AG35" s="99"/>
      <c r="AH35" s="99">
        <f>COUNTIF(AJ4:AJ34,"○")</f>
        <v>0</v>
      </c>
      <c r="AI35" s="99"/>
      <c r="AJ35" s="99"/>
      <c r="AK35" s="99"/>
      <c r="AL35" s="99"/>
      <c r="AM35" s="99">
        <f>COUNTIF(AO4:AO34,"○")</f>
        <v>0</v>
      </c>
      <c r="AN35" s="99"/>
      <c r="AO35" s="99"/>
      <c r="AP35" s="99"/>
      <c r="AQ35" s="99"/>
      <c r="AR35" s="99">
        <f>COUNTIF(AT4:AT34,"○")</f>
        <v>0</v>
      </c>
      <c r="AS35" s="99"/>
      <c r="AT35" s="99"/>
      <c r="AU35" s="99"/>
      <c r="AV35" s="99"/>
      <c r="AW35" s="99">
        <f>COUNTIF(AY4:AY34,"○")</f>
        <v>0</v>
      </c>
      <c r="AX35" s="99"/>
      <c r="AY35" s="99"/>
      <c r="AZ35" s="99"/>
      <c r="BA35" s="99"/>
      <c r="BB35" s="99">
        <f>COUNTIF(BD4:BD34,"○")</f>
        <v>0</v>
      </c>
      <c r="BC35" s="99"/>
      <c r="BD35" s="99"/>
      <c r="BE35" s="99"/>
      <c r="BF35" s="99"/>
      <c r="BG35" s="99">
        <f>COUNTIF(BI4:BI34,"○")</f>
        <v>0</v>
      </c>
      <c r="BH35" s="99"/>
      <c r="BI35" s="99"/>
      <c r="BJ35" s="99"/>
      <c r="BK35" s="99"/>
      <c r="BL35" s="99">
        <f>COUNTIF(BN4:BN34,"○")</f>
        <v>0</v>
      </c>
      <c r="BM35" s="99"/>
      <c r="BN35" s="99"/>
      <c r="BO35" s="99"/>
      <c r="BP35" s="99"/>
      <c r="BQ35" s="99">
        <f>COUNTIF(BS4:BS34,"○")</f>
        <v>0</v>
      </c>
      <c r="BR35" s="99"/>
      <c r="BS35" s="99"/>
      <c r="BT35" s="99"/>
      <c r="BU35" s="99"/>
      <c r="BV35" s="99">
        <f>COUNTIF(BX4:BX34,"○")</f>
        <v>0</v>
      </c>
      <c r="BW35" s="99"/>
      <c r="BX35" s="99"/>
      <c r="BY35" s="99"/>
      <c r="BZ35" s="99"/>
      <c r="CA35" s="99">
        <f>COUNTIF(CC4:CC34,"○")</f>
        <v>0</v>
      </c>
      <c r="CB35" s="99"/>
      <c r="CC35" s="99"/>
      <c r="CD35" s="99"/>
      <c r="CE35" s="99"/>
      <c r="CF35" s="99">
        <f>COUNTIF(CH4:CH34,"○")</f>
        <v>0</v>
      </c>
      <c r="CG35" s="99"/>
      <c r="CH35" s="99"/>
      <c r="CI35" s="99"/>
      <c r="CJ35" s="99"/>
      <c r="CK35" s="99">
        <f>COUNTIF(CM4:CM34,"○")</f>
        <v>0</v>
      </c>
      <c r="CL35" s="99"/>
      <c r="CM35" s="99"/>
      <c r="CN35" s="99"/>
      <c r="CO35" s="99"/>
      <c r="CP35" s="99">
        <f>COUNTIF(CR4:CR34,"○")</f>
        <v>0</v>
      </c>
      <c r="CQ35" s="99"/>
      <c r="CR35" s="99"/>
      <c r="CS35" s="99"/>
      <c r="CT35" s="99"/>
      <c r="CU35" s="99">
        <f>COUNTIF(CW4:CW34,"○")</f>
        <v>0</v>
      </c>
      <c r="CV35" s="99"/>
      <c r="CW35" s="99"/>
      <c r="CX35" s="99"/>
      <c r="CY35" s="99"/>
      <c r="CZ35" s="99">
        <f>COUNTIF(DB4:DB34,"○")</f>
        <v>0</v>
      </c>
      <c r="DA35" s="99"/>
      <c r="DB35" s="99"/>
      <c r="DC35" s="99"/>
      <c r="DD35" s="99"/>
      <c r="DE35" s="99">
        <f>COUNTIF(DG4:DG34,"○")</f>
        <v>0</v>
      </c>
      <c r="DF35" s="99"/>
      <c r="DG35" s="99"/>
      <c r="DH35" s="99"/>
      <c r="DI35" s="99"/>
      <c r="DJ35" s="99">
        <f>COUNTIF(DL4:DL34,"○")</f>
        <v>0</v>
      </c>
      <c r="DK35" s="99"/>
      <c r="DL35" s="99"/>
      <c r="DM35" s="99"/>
      <c r="DN35" s="99"/>
      <c r="DO35" s="99">
        <f>COUNTIF(DQ4:DQ34,"○")</f>
        <v>0</v>
      </c>
      <c r="DP35" s="99"/>
      <c r="DQ35" s="99"/>
      <c r="DR35" s="99"/>
      <c r="DS35" s="99"/>
      <c r="DT35" s="99">
        <f>COUNTIF(DV4:DV34,"○")</f>
        <v>0</v>
      </c>
      <c r="DU35" s="99"/>
      <c r="DV35" s="99"/>
      <c r="DW35" s="99"/>
      <c r="DX35" s="99"/>
      <c r="DY35" s="99">
        <f>COUNTIF(EA4:EA34,"○")</f>
        <v>0</v>
      </c>
      <c r="DZ35" s="99"/>
      <c r="EA35" s="99"/>
      <c r="EB35" s="99"/>
      <c r="EC35" s="99"/>
      <c r="ED35" s="99">
        <f>COUNTIF(EF4:EF34,"○")</f>
        <v>0</v>
      </c>
      <c r="EE35" s="99"/>
      <c r="EF35" s="99"/>
      <c r="EG35" s="99"/>
      <c r="EH35" s="99"/>
      <c r="EI35" s="99">
        <f>COUNTIF(EK4:EK34,"○")</f>
        <v>0</v>
      </c>
      <c r="EJ35" s="99"/>
      <c r="EK35" s="99"/>
      <c r="EL35" s="99"/>
      <c r="EM35" s="99"/>
      <c r="EN35" s="99">
        <f>COUNTIF(EP4:EP34,"○")</f>
        <v>0</v>
      </c>
      <c r="EO35" s="99"/>
      <c r="EP35" s="99"/>
      <c r="EQ35" s="99"/>
      <c r="ER35" s="99"/>
      <c r="ES35" s="99">
        <f>COUNTIF(EU4:EU34,"○")</f>
        <v>0</v>
      </c>
      <c r="ET35" s="99"/>
      <c r="EU35" s="99"/>
      <c r="EV35" s="99"/>
      <c r="EW35" s="99"/>
    </row>
    <row r="36" spans="1:153" ht="21.75" customHeight="1">
      <c r="A36" s="100" t="s">
        <v>121</v>
      </c>
      <c r="B36" s="100"/>
      <c r="C36" s="100"/>
      <c r="D36" s="101">
        <f>COUNTIF(G4:G34,"○")</f>
        <v>0</v>
      </c>
      <c r="E36" s="101"/>
      <c r="F36" s="101"/>
      <c r="G36" s="101"/>
      <c r="H36" s="101"/>
      <c r="I36" s="101">
        <f>COUNTIF(L4:L34,"○")</f>
        <v>0</v>
      </c>
      <c r="J36" s="101"/>
      <c r="K36" s="101"/>
      <c r="L36" s="101"/>
      <c r="M36" s="101"/>
      <c r="N36" s="101">
        <f>COUNTIF(Q4:Q34,"○")</f>
        <v>0</v>
      </c>
      <c r="O36" s="101"/>
      <c r="P36" s="101"/>
      <c r="Q36" s="101"/>
      <c r="R36" s="101"/>
      <c r="S36" s="101">
        <f>COUNTIF(V4:V34,"○")</f>
        <v>0</v>
      </c>
      <c r="T36" s="101"/>
      <c r="U36" s="101"/>
      <c r="V36" s="101"/>
      <c r="W36" s="101"/>
      <c r="X36" s="101">
        <f>COUNTIF(AA4:AA34,"○")</f>
        <v>0</v>
      </c>
      <c r="Y36" s="101"/>
      <c r="Z36" s="101"/>
      <c r="AA36" s="101"/>
      <c r="AB36" s="101"/>
      <c r="AC36" s="101">
        <f>COUNTIF(AF4:AF34,"○")</f>
        <v>0</v>
      </c>
      <c r="AD36" s="101"/>
      <c r="AE36" s="101"/>
      <c r="AF36" s="101"/>
      <c r="AG36" s="101"/>
      <c r="AH36" s="101">
        <f>COUNTIF(AK4:AK34,"○")</f>
        <v>0</v>
      </c>
      <c r="AI36" s="101"/>
      <c r="AJ36" s="101"/>
      <c r="AK36" s="101"/>
      <c r="AL36" s="101"/>
      <c r="AM36" s="101">
        <f>COUNTIF(AP4:AP34,"○")</f>
        <v>0</v>
      </c>
      <c r="AN36" s="101"/>
      <c r="AO36" s="101"/>
      <c r="AP36" s="101"/>
      <c r="AQ36" s="101"/>
      <c r="AR36" s="101">
        <f>COUNTIF(AU4:AU34,"○")</f>
        <v>0</v>
      </c>
      <c r="AS36" s="101"/>
      <c r="AT36" s="101"/>
      <c r="AU36" s="101"/>
      <c r="AV36" s="101"/>
      <c r="AW36" s="101">
        <f>COUNTIF(AZ4:AZ34,"○")</f>
        <v>0</v>
      </c>
      <c r="AX36" s="101"/>
      <c r="AY36" s="101"/>
      <c r="AZ36" s="101"/>
      <c r="BA36" s="101"/>
      <c r="BB36" s="101">
        <f>COUNTIF(BE4:BE34,"○")</f>
        <v>0</v>
      </c>
      <c r="BC36" s="101"/>
      <c r="BD36" s="101"/>
      <c r="BE36" s="101"/>
      <c r="BF36" s="101"/>
      <c r="BG36" s="101">
        <f>COUNTIF(BJ4:BJ34,"○")</f>
        <v>0</v>
      </c>
      <c r="BH36" s="101"/>
      <c r="BI36" s="101"/>
      <c r="BJ36" s="101"/>
      <c r="BK36" s="101"/>
      <c r="BL36" s="101">
        <f>COUNTIF(BO4:BO34,"○")</f>
        <v>0</v>
      </c>
      <c r="BM36" s="101"/>
      <c r="BN36" s="101"/>
      <c r="BO36" s="101"/>
      <c r="BP36" s="101"/>
      <c r="BQ36" s="101">
        <f>COUNTIF(BT4:BT34,"○")</f>
        <v>0</v>
      </c>
      <c r="BR36" s="101"/>
      <c r="BS36" s="101"/>
      <c r="BT36" s="101"/>
      <c r="BU36" s="101"/>
      <c r="BV36" s="101">
        <f>COUNTIF(BY4:BY34,"○")</f>
        <v>0</v>
      </c>
      <c r="BW36" s="101"/>
      <c r="BX36" s="101"/>
      <c r="BY36" s="101"/>
      <c r="BZ36" s="101"/>
      <c r="CA36" s="101">
        <f>COUNTIF(CD4:CD34,"○")</f>
        <v>0</v>
      </c>
      <c r="CB36" s="101"/>
      <c r="CC36" s="101"/>
      <c r="CD36" s="101"/>
      <c r="CE36" s="101"/>
      <c r="CF36" s="101">
        <f>COUNTIF(CI4:CI34,"○")</f>
        <v>0</v>
      </c>
      <c r="CG36" s="101"/>
      <c r="CH36" s="101"/>
      <c r="CI36" s="101"/>
      <c r="CJ36" s="101"/>
      <c r="CK36" s="101">
        <f>COUNTIF(CN4:CN34,"○")</f>
        <v>0</v>
      </c>
      <c r="CL36" s="101"/>
      <c r="CM36" s="101"/>
      <c r="CN36" s="101"/>
      <c r="CO36" s="101"/>
      <c r="CP36" s="101">
        <f>COUNTIF(CS4:CS34,"○")</f>
        <v>0</v>
      </c>
      <c r="CQ36" s="101"/>
      <c r="CR36" s="101"/>
      <c r="CS36" s="101"/>
      <c r="CT36" s="101"/>
      <c r="CU36" s="101">
        <f>COUNTIF(CX4:CX34,"○")</f>
        <v>0</v>
      </c>
      <c r="CV36" s="101"/>
      <c r="CW36" s="101"/>
      <c r="CX36" s="101"/>
      <c r="CY36" s="101"/>
      <c r="CZ36" s="101">
        <f>COUNTIF(DC4:DC34,"○")</f>
        <v>0</v>
      </c>
      <c r="DA36" s="101"/>
      <c r="DB36" s="101"/>
      <c r="DC36" s="101"/>
      <c r="DD36" s="101"/>
      <c r="DE36" s="101">
        <f>COUNTIF(DH4:DH34,"○")</f>
        <v>0</v>
      </c>
      <c r="DF36" s="101"/>
      <c r="DG36" s="101"/>
      <c r="DH36" s="101"/>
      <c r="DI36" s="101"/>
      <c r="DJ36" s="101">
        <f>COUNTIF(DM4:DM34,"○")</f>
        <v>0</v>
      </c>
      <c r="DK36" s="101"/>
      <c r="DL36" s="101"/>
      <c r="DM36" s="101"/>
      <c r="DN36" s="101"/>
      <c r="DO36" s="101">
        <f>COUNTIF(DR4:DR34,"○")</f>
        <v>0</v>
      </c>
      <c r="DP36" s="101"/>
      <c r="DQ36" s="101"/>
      <c r="DR36" s="101"/>
      <c r="DS36" s="101"/>
      <c r="DT36" s="101">
        <f>COUNTIF(DW4:DW34,"○")</f>
        <v>0</v>
      </c>
      <c r="DU36" s="101"/>
      <c r="DV36" s="101"/>
      <c r="DW36" s="101"/>
      <c r="DX36" s="101"/>
      <c r="DY36" s="101">
        <f>COUNTIF(EB4:EB34,"○")</f>
        <v>0</v>
      </c>
      <c r="DZ36" s="101"/>
      <c r="EA36" s="101"/>
      <c r="EB36" s="101"/>
      <c r="EC36" s="101"/>
      <c r="ED36" s="101">
        <f>COUNTIF(EG4:EG34,"○")</f>
        <v>0</v>
      </c>
      <c r="EE36" s="101"/>
      <c r="EF36" s="101"/>
      <c r="EG36" s="101"/>
      <c r="EH36" s="101"/>
      <c r="EI36" s="101">
        <f>COUNTIF(EL4:EL34,"○")</f>
        <v>0</v>
      </c>
      <c r="EJ36" s="101"/>
      <c r="EK36" s="101"/>
      <c r="EL36" s="101"/>
      <c r="EM36" s="101"/>
      <c r="EN36" s="101">
        <f>COUNTIF(EQ4:EQ34,"○")</f>
        <v>0</v>
      </c>
      <c r="EO36" s="101"/>
      <c r="EP36" s="101"/>
      <c r="EQ36" s="101"/>
      <c r="ER36" s="101"/>
      <c r="ES36" s="101">
        <f>COUNTIF(EV4:EV34,"○")</f>
        <v>0</v>
      </c>
      <c r="ET36" s="101"/>
      <c r="EU36" s="101"/>
      <c r="EV36" s="101"/>
      <c r="EW36" s="101"/>
    </row>
    <row r="37" spans="1:153" ht="21.75" customHeight="1">
      <c r="A37" s="102" t="s">
        <v>122</v>
      </c>
      <c r="B37" s="102"/>
      <c r="C37" s="102"/>
      <c r="D37" s="103">
        <f>D35+D36</f>
        <v>0</v>
      </c>
      <c r="E37" s="103"/>
      <c r="F37" s="103"/>
      <c r="G37" s="103"/>
      <c r="H37" s="103"/>
      <c r="I37" s="103">
        <f>I35+I36</f>
        <v>0</v>
      </c>
      <c r="J37" s="103"/>
      <c r="K37" s="103"/>
      <c r="L37" s="103"/>
      <c r="M37" s="103"/>
      <c r="N37" s="103">
        <f>N35+N36</f>
        <v>0</v>
      </c>
      <c r="O37" s="103"/>
      <c r="P37" s="103"/>
      <c r="Q37" s="103"/>
      <c r="R37" s="103"/>
      <c r="S37" s="103">
        <f>S35+S36</f>
        <v>0</v>
      </c>
      <c r="T37" s="103"/>
      <c r="U37" s="103"/>
      <c r="V37" s="103"/>
      <c r="W37" s="103"/>
      <c r="X37" s="103">
        <f>X35+X36</f>
        <v>0</v>
      </c>
      <c r="Y37" s="103"/>
      <c r="Z37" s="103"/>
      <c r="AA37" s="103"/>
      <c r="AB37" s="103"/>
      <c r="AC37" s="103">
        <f>AC35+AC36</f>
        <v>0</v>
      </c>
      <c r="AD37" s="103"/>
      <c r="AE37" s="103"/>
      <c r="AF37" s="103"/>
      <c r="AG37" s="103"/>
      <c r="AH37" s="103">
        <f>AH35+AH36</f>
        <v>0</v>
      </c>
      <c r="AI37" s="103"/>
      <c r="AJ37" s="103"/>
      <c r="AK37" s="103"/>
      <c r="AL37" s="103"/>
      <c r="AM37" s="103">
        <f>AM35+AM36</f>
        <v>0</v>
      </c>
      <c r="AN37" s="103"/>
      <c r="AO37" s="103"/>
      <c r="AP37" s="103"/>
      <c r="AQ37" s="103"/>
      <c r="AR37" s="103">
        <f>AR35+AR36</f>
        <v>0</v>
      </c>
      <c r="AS37" s="103"/>
      <c r="AT37" s="103"/>
      <c r="AU37" s="103"/>
      <c r="AV37" s="103"/>
      <c r="AW37" s="103">
        <f>AW35+AW36</f>
        <v>0</v>
      </c>
      <c r="AX37" s="103"/>
      <c r="AY37" s="103"/>
      <c r="AZ37" s="103"/>
      <c r="BA37" s="103"/>
      <c r="BB37" s="103">
        <f>BB35+BB36</f>
        <v>0</v>
      </c>
      <c r="BC37" s="103"/>
      <c r="BD37" s="103"/>
      <c r="BE37" s="103"/>
      <c r="BF37" s="103"/>
      <c r="BG37" s="103">
        <f>BG35+BG36</f>
        <v>0</v>
      </c>
      <c r="BH37" s="103"/>
      <c r="BI37" s="103"/>
      <c r="BJ37" s="103"/>
      <c r="BK37" s="103"/>
      <c r="BL37" s="103">
        <f>BL35+BL36</f>
        <v>0</v>
      </c>
      <c r="BM37" s="103"/>
      <c r="BN37" s="103"/>
      <c r="BO37" s="103"/>
      <c r="BP37" s="103"/>
      <c r="BQ37" s="103">
        <f>BQ35+BQ36</f>
        <v>0</v>
      </c>
      <c r="BR37" s="103"/>
      <c r="BS37" s="103"/>
      <c r="BT37" s="103"/>
      <c r="BU37" s="103"/>
      <c r="BV37" s="103">
        <f>BV35+BV36</f>
        <v>0</v>
      </c>
      <c r="BW37" s="103"/>
      <c r="BX37" s="103"/>
      <c r="BY37" s="103"/>
      <c r="BZ37" s="103"/>
      <c r="CA37" s="103">
        <f>CA35+CA36</f>
        <v>0</v>
      </c>
      <c r="CB37" s="103"/>
      <c r="CC37" s="103"/>
      <c r="CD37" s="103"/>
      <c r="CE37" s="103"/>
      <c r="CF37" s="103">
        <f>CF35+CF36</f>
        <v>0</v>
      </c>
      <c r="CG37" s="103"/>
      <c r="CH37" s="103"/>
      <c r="CI37" s="103"/>
      <c r="CJ37" s="103"/>
      <c r="CK37" s="103">
        <f>CK35+CK36</f>
        <v>0</v>
      </c>
      <c r="CL37" s="103"/>
      <c r="CM37" s="103"/>
      <c r="CN37" s="103"/>
      <c r="CO37" s="103"/>
      <c r="CP37" s="103">
        <f>CP35+CP36</f>
        <v>0</v>
      </c>
      <c r="CQ37" s="103"/>
      <c r="CR37" s="103"/>
      <c r="CS37" s="103"/>
      <c r="CT37" s="103"/>
      <c r="CU37" s="103">
        <f>CU35+CU36</f>
        <v>0</v>
      </c>
      <c r="CV37" s="103"/>
      <c r="CW37" s="103"/>
      <c r="CX37" s="103"/>
      <c r="CY37" s="103"/>
      <c r="CZ37" s="103">
        <f>CZ35+CZ36</f>
        <v>0</v>
      </c>
      <c r="DA37" s="103"/>
      <c r="DB37" s="103"/>
      <c r="DC37" s="103"/>
      <c r="DD37" s="103"/>
      <c r="DE37" s="103">
        <f>DE35+DE36</f>
        <v>0</v>
      </c>
      <c r="DF37" s="103"/>
      <c r="DG37" s="103"/>
      <c r="DH37" s="103"/>
      <c r="DI37" s="103"/>
      <c r="DJ37" s="103">
        <f>DJ35+DJ36</f>
        <v>0</v>
      </c>
      <c r="DK37" s="103"/>
      <c r="DL37" s="103"/>
      <c r="DM37" s="103"/>
      <c r="DN37" s="103"/>
      <c r="DO37" s="103">
        <f>DO35+DO36</f>
        <v>0</v>
      </c>
      <c r="DP37" s="103"/>
      <c r="DQ37" s="103"/>
      <c r="DR37" s="103"/>
      <c r="DS37" s="103"/>
      <c r="DT37" s="103">
        <f>DT35+DT36</f>
        <v>0</v>
      </c>
      <c r="DU37" s="103"/>
      <c r="DV37" s="103"/>
      <c r="DW37" s="103"/>
      <c r="DX37" s="103"/>
      <c r="DY37" s="103">
        <f>DY35+DY36</f>
        <v>0</v>
      </c>
      <c r="DZ37" s="103"/>
      <c r="EA37" s="103"/>
      <c r="EB37" s="103"/>
      <c r="EC37" s="103"/>
      <c r="ED37" s="103">
        <f>ED35+ED36</f>
        <v>0</v>
      </c>
      <c r="EE37" s="103"/>
      <c r="EF37" s="103"/>
      <c r="EG37" s="103"/>
      <c r="EH37" s="103"/>
      <c r="EI37" s="103">
        <f>EI35+EI36</f>
        <v>0</v>
      </c>
      <c r="EJ37" s="103"/>
      <c r="EK37" s="103"/>
      <c r="EL37" s="103"/>
      <c r="EM37" s="103"/>
      <c r="EN37" s="103">
        <f>EN35+EN36</f>
        <v>0</v>
      </c>
      <c r="EO37" s="103"/>
      <c r="EP37" s="103"/>
      <c r="EQ37" s="103"/>
      <c r="ER37" s="103"/>
      <c r="ES37" s="103">
        <f>ES35+ES36</f>
        <v>0</v>
      </c>
      <c r="ET37" s="103"/>
      <c r="EU37" s="103"/>
      <c r="EV37" s="103"/>
      <c r="EW37" s="103"/>
    </row>
    <row r="38" spans="1:153" ht="21.75" customHeight="1">
      <c r="A38" s="104" t="s">
        <v>123</v>
      </c>
      <c r="B38" s="104"/>
      <c r="C38" s="104"/>
      <c r="D38" s="105">
        <f>SUM(H4:H34)</f>
        <v>0</v>
      </c>
      <c r="E38" s="105"/>
      <c r="F38" s="105"/>
      <c r="G38" s="105"/>
      <c r="H38" s="105"/>
      <c r="I38" s="105">
        <f>SUM(M4:M34)</f>
        <v>0</v>
      </c>
      <c r="J38" s="105"/>
      <c r="K38" s="105"/>
      <c r="L38" s="105"/>
      <c r="M38" s="105"/>
      <c r="N38" s="105">
        <f>SUM(R4:R34)</f>
        <v>0</v>
      </c>
      <c r="O38" s="105"/>
      <c r="P38" s="105"/>
      <c r="Q38" s="105"/>
      <c r="R38" s="105"/>
      <c r="S38" s="105">
        <f>SUM(W4:W34)</f>
        <v>0</v>
      </c>
      <c r="T38" s="105"/>
      <c r="U38" s="105"/>
      <c r="V38" s="105"/>
      <c r="W38" s="105"/>
      <c r="X38" s="105">
        <f>SUM(AB4:AB34)</f>
        <v>0</v>
      </c>
      <c r="Y38" s="105"/>
      <c r="Z38" s="105"/>
      <c r="AA38" s="105"/>
      <c r="AB38" s="105"/>
      <c r="AC38" s="105">
        <f>SUM(AG4:AG34)</f>
        <v>0</v>
      </c>
      <c r="AD38" s="105"/>
      <c r="AE38" s="105"/>
      <c r="AF38" s="105"/>
      <c r="AG38" s="105"/>
      <c r="AH38" s="105">
        <f>SUM(AL4:AL34)</f>
        <v>0</v>
      </c>
      <c r="AI38" s="105"/>
      <c r="AJ38" s="105"/>
      <c r="AK38" s="105"/>
      <c r="AL38" s="105"/>
      <c r="AM38" s="105">
        <f>SUM(AQ4:AQ34)</f>
        <v>0</v>
      </c>
      <c r="AN38" s="105"/>
      <c r="AO38" s="105"/>
      <c r="AP38" s="105"/>
      <c r="AQ38" s="105"/>
      <c r="AR38" s="105">
        <f>SUM(AV4:AV34)</f>
        <v>0</v>
      </c>
      <c r="AS38" s="105"/>
      <c r="AT38" s="105"/>
      <c r="AU38" s="105"/>
      <c r="AV38" s="105"/>
      <c r="AW38" s="105">
        <f>SUM(BA4:BA34)</f>
        <v>0</v>
      </c>
      <c r="AX38" s="105"/>
      <c r="AY38" s="105"/>
      <c r="AZ38" s="105"/>
      <c r="BA38" s="105"/>
      <c r="BB38" s="105">
        <f>SUM(BF4:BF34)</f>
        <v>0</v>
      </c>
      <c r="BC38" s="105"/>
      <c r="BD38" s="105"/>
      <c r="BE38" s="105"/>
      <c r="BF38" s="105"/>
      <c r="BG38" s="105">
        <f>SUM(BK4:BK34)</f>
        <v>0</v>
      </c>
      <c r="BH38" s="105"/>
      <c r="BI38" s="105"/>
      <c r="BJ38" s="105"/>
      <c r="BK38" s="105"/>
      <c r="BL38" s="105">
        <f>SUM(BP4:BP34)</f>
        <v>0</v>
      </c>
      <c r="BM38" s="105"/>
      <c r="BN38" s="105"/>
      <c r="BO38" s="105"/>
      <c r="BP38" s="105"/>
      <c r="BQ38" s="105">
        <f>SUM(BU4:BU34)</f>
        <v>0</v>
      </c>
      <c r="BR38" s="105"/>
      <c r="BS38" s="105"/>
      <c r="BT38" s="105"/>
      <c r="BU38" s="105"/>
      <c r="BV38" s="105">
        <f>SUM(BZ4:BZ34)</f>
        <v>0</v>
      </c>
      <c r="BW38" s="105"/>
      <c r="BX38" s="105"/>
      <c r="BY38" s="105"/>
      <c r="BZ38" s="105"/>
      <c r="CA38" s="105">
        <f>SUM(CE4:CE34)</f>
        <v>0</v>
      </c>
      <c r="CB38" s="105"/>
      <c r="CC38" s="105"/>
      <c r="CD38" s="105"/>
      <c r="CE38" s="105"/>
      <c r="CF38" s="105">
        <f>SUM(CJ4:CJ34)</f>
        <v>0</v>
      </c>
      <c r="CG38" s="105"/>
      <c r="CH38" s="105"/>
      <c r="CI38" s="105"/>
      <c r="CJ38" s="105"/>
      <c r="CK38" s="105">
        <f>SUM(CO4:CO34)</f>
        <v>0</v>
      </c>
      <c r="CL38" s="105"/>
      <c r="CM38" s="105"/>
      <c r="CN38" s="105"/>
      <c r="CO38" s="105"/>
      <c r="CP38" s="105">
        <f>SUM(CT4:CT34)</f>
        <v>0</v>
      </c>
      <c r="CQ38" s="105"/>
      <c r="CR38" s="105"/>
      <c r="CS38" s="105"/>
      <c r="CT38" s="105"/>
      <c r="CU38" s="105">
        <f>SUM(CY4:CY34)</f>
        <v>0</v>
      </c>
      <c r="CV38" s="105"/>
      <c r="CW38" s="105"/>
      <c r="CX38" s="105"/>
      <c r="CY38" s="105"/>
      <c r="CZ38" s="105">
        <f>SUM(DD4:DD34)</f>
        <v>0</v>
      </c>
      <c r="DA38" s="105"/>
      <c r="DB38" s="105"/>
      <c r="DC38" s="105"/>
      <c r="DD38" s="105"/>
      <c r="DE38" s="105">
        <f>SUM(DI4:DI34)</f>
        <v>0</v>
      </c>
      <c r="DF38" s="105"/>
      <c r="DG38" s="105"/>
      <c r="DH38" s="105"/>
      <c r="DI38" s="105"/>
      <c r="DJ38" s="105">
        <f>SUM(DN4:DN34)</f>
        <v>0</v>
      </c>
      <c r="DK38" s="105"/>
      <c r="DL38" s="105"/>
      <c r="DM38" s="105"/>
      <c r="DN38" s="105"/>
      <c r="DO38" s="105">
        <f>SUM(DS4:DS34)</f>
        <v>0</v>
      </c>
      <c r="DP38" s="105"/>
      <c r="DQ38" s="105"/>
      <c r="DR38" s="105"/>
      <c r="DS38" s="105"/>
      <c r="DT38" s="105">
        <f>SUM(DX4:DX34)</f>
        <v>0</v>
      </c>
      <c r="DU38" s="105"/>
      <c r="DV38" s="105"/>
      <c r="DW38" s="105"/>
      <c r="DX38" s="105"/>
      <c r="DY38" s="105">
        <f>SUM(EC4:EC34)</f>
        <v>0</v>
      </c>
      <c r="DZ38" s="105"/>
      <c r="EA38" s="105"/>
      <c r="EB38" s="105"/>
      <c r="EC38" s="105"/>
      <c r="ED38" s="105">
        <f>SUM(EH4:EH34)</f>
        <v>0</v>
      </c>
      <c r="EE38" s="105"/>
      <c r="EF38" s="105"/>
      <c r="EG38" s="105"/>
      <c r="EH38" s="105"/>
      <c r="EI38" s="105">
        <f>SUM(EM4:EM34)</f>
        <v>0</v>
      </c>
      <c r="EJ38" s="105"/>
      <c r="EK38" s="105"/>
      <c r="EL38" s="105"/>
      <c r="EM38" s="105"/>
      <c r="EN38" s="105">
        <f>SUM(ER4:ER34)</f>
        <v>0</v>
      </c>
      <c r="EO38" s="105"/>
      <c r="EP38" s="105"/>
      <c r="EQ38" s="105"/>
      <c r="ER38" s="105"/>
      <c r="ES38" s="105">
        <f>SUM(EW4:EW34)</f>
        <v>0</v>
      </c>
      <c r="ET38" s="105"/>
      <c r="EU38" s="105"/>
      <c r="EV38" s="105"/>
      <c r="EW38" s="105"/>
    </row>
    <row r="39" spans="1:153" ht="21.75" customHeight="1">
      <c r="A39" s="106" t="s">
        <v>105</v>
      </c>
      <c r="B39" s="106"/>
      <c r="C39" s="106"/>
      <c r="D39" s="107">
        <f>COUNTIF(D4:D34,"有給")</f>
        <v>0</v>
      </c>
      <c r="E39" s="107"/>
      <c r="F39" s="107"/>
      <c r="G39" s="107"/>
      <c r="H39" s="107"/>
      <c r="I39" s="107">
        <f>COUNTIF(I4:I34,"有給")</f>
        <v>0</v>
      </c>
      <c r="J39" s="107"/>
      <c r="K39" s="107"/>
      <c r="L39" s="107"/>
      <c r="M39" s="107"/>
      <c r="N39" s="107">
        <f>COUNTIF(N4:N34,"有給")</f>
        <v>0</v>
      </c>
      <c r="O39" s="107"/>
      <c r="P39" s="107"/>
      <c r="Q39" s="107"/>
      <c r="R39" s="107"/>
      <c r="S39" s="107">
        <f>COUNTIF(S4:S34,"有給")</f>
        <v>0</v>
      </c>
      <c r="T39" s="107"/>
      <c r="U39" s="107"/>
      <c r="V39" s="107"/>
      <c r="W39" s="107"/>
      <c r="X39" s="107">
        <f>COUNTIF(X4:X34,"有給")</f>
        <v>0</v>
      </c>
      <c r="Y39" s="107"/>
      <c r="Z39" s="107"/>
      <c r="AA39" s="107"/>
      <c r="AB39" s="107"/>
      <c r="AC39" s="107">
        <f>COUNTIF(AC4:AC34,"有給")</f>
        <v>0</v>
      </c>
      <c r="AD39" s="107"/>
      <c r="AE39" s="107"/>
      <c r="AF39" s="107"/>
      <c r="AG39" s="107"/>
      <c r="AH39" s="107">
        <f>COUNTIF(AH4:AH34,"有給")</f>
        <v>0</v>
      </c>
      <c r="AI39" s="107"/>
      <c r="AJ39" s="107"/>
      <c r="AK39" s="107"/>
      <c r="AL39" s="107"/>
      <c r="AM39" s="107">
        <f>COUNTIF(AM4:AM34,"有給")</f>
        <v>0</v>
      </c>
      <c r="AN39" s="107"/>
      <c r="AO39" s="107"/>
      <c r="AP39" s="107"/>
      <c r="AQ39" s="107"/>
      <c r="AR39" s="107">
        <f>COUNTIF(AR4:AR34,"有給")</f>
        <v>0</v>
      </c>
      <c r="AS39" s="107"/>
      <c r="AT39" s="107"/>
      <c r="AU39" s="107"/>
      <c r="AV39" s="107"/>
      <c r="AW39" s="107">
        <f>COUNTIF(AW4:AW34,"有給")</f>
        <v>0</v>
      </c>
      <c r="AX39" s="107"/>
      <c r="AY39" s="107"/>
      <c r="AZ39" s="107"/>
      <c r="BA39" s="107"/>
      <c r="BB39" s="107">
        <f>COUNTIF(BB4:BB34,"有給")</f>
        <v>0</v>
      </c>
      <c r="BC39" s="107"/>
      <c r="BD39" s="107"/>
      <c r="BE39" s="107"/>
      <c r="BF39" s="107"/>
      <c r="BG39" s="107">
        <f>COUNTIF(BG4:BG34,"有給")</f>
        <v>0</v>
      </c>
      <c r="BH39" s="107"/>
      <c r="BI39" s="107"/>
      <c r="BJ39" s="107"/>
      <c r="BK39" s="107"/>
      <c r="BL39" s="107">
        <f>COUNTIF(BL4:BL34,"有給")</f>
        <v>0</v>
      </c>
      <c r="BM39" s="107"/>
      <c r="BN39" s="107"/>
      <c r="BO39" s="107"/>
      <c r="BP39" s="107"/>
      <c r="BQ39" s="107">
        <f>COUNTIF(BQ4:BQ34,"有給")</f>
        <v>0</v>
      </c>
      <c r="BR39" s="107"/>
      <c r="BS39" s="107"/>
      <c r="BT39" s="107"/>
      <c r="BU39" s="107"/>
      <c r="BV39" s="107">
        <f>COUNTIF(BV4:BV34,"有給")</f>
        <v>0</v>
      </c>
      <c r="BW39" s="107"/>
      <c r="BX39" s="107"/>
      <c r="BY39" s="107"/>
      <c r="BZ39" s="107"/>
      <c r="CA39" s="107">
        <f>COUNTIF(CA4:CA34,"有給")</f>
        <v>0</v>
      </c>
      <c r="CB39" s="107"/>
      <c r="CC39" s="107"/>
      <c r="CD39" s="107"/>
      <c r="CE39" s="107"/>
      <c r="CF39" s="107">
        <f>COUNTIF(CF4:CF34,"有給")</f>
        <v>0</v>
      </c>
      <c r="CG39" s="107"/>
      <c r="CH39" s="107"/>
      <c r="CI39" s="107"/>
      <c r="CJ39" s="107"/>
      <c r="CK39" s="107">
        <f>COUNTIF(CK4:CK34,"有給")</f>
        <v>0</v>
      </c>
      <c r="CL39" s="107"/>
      <c r="CM39" s="107"/>
      <c r="CN39" s="107"/>
      <c r="CO39" s="107"/>
      <c r="CP39" s="107">
        <f>COUNTIF(CP4:CP34,"有給")</f>
        <v>0</v>
      </c>
      <c r="CQ39" s="107"/>
      <c r="CR39" s="107"/>
      <c r="CS39" s="107"/>
      <c r="CT39" s="107"/>
      <c r="CU39" s="107">
        <f>COUNTIF(CU4:CU34,"有給")</f>
        <v>0</v>
      </c>
      <c r="CV39" s="107"/>
      <c r="CW39" s="107"/>
      <c r="CX39" s="107"/>
      <c r="CY39" s="107"/>
      <c r="CZ39" s="107">
        <f>COUNTIF(CZ4:CZ34,"有給")</f>
        <v>0</v>
      </c>
      <c r="DA39" s="107"/>
      <c r="DB39" s="107"/>
      <c r="DC39" s="107"/>
      <c r="DD39" s="107"/>
      <c r="DE39" s="107">
        <f>COUNTIF(DE4:DE34,"有給")</f>
        <v>0</v>
      </c>
      <c r="DF39" s="107"/>
      <c r="DG39" s="107"/>
      <c r="DH39" s="107"/>
      <c r="DI39" s="107"/>
      <c r="DJ39" s="107">
        <f>COUNTIF(DJ4:DJ34,"有給")</f>
        <v>0</v>
      </c>
      <c r="DK39" s="107"/>
      <c r="DL39" s="107"/>
      <c r="DM39" s="107"/>
      <c r="DN39" s="107"/>
      <c r="DO39" s="107">
        <f>COUNTIF(DO4:DO34,"有給")</f>
        <v>0</v>
      </c>
      <c r="DP39" s="107"/>
      <c r="DQ39" s="107"/>
      <c r="DR39" s="107"/>
      <c r="DS39" s="107"/>
      <c r="DT39" s="107">
        <f>COUNTIF(DT4:DT34,"有給")</f>
        <v>0</v>
      </c>
      <c r="DU39" s="107"/>
      <c r="DV39" s="107"/>
      <c r="DW39" s="107"/>
      <c r="DX39" s="107"/>
      <c r="DY39" s="107">
        <f>COUNTIF(DY4:DY34,"有給")</f>
        <v>0</v>
      </c>
      <c r="DZ39" s="107"/>
      <c r="EA39" s="107"/>
      <c r="EB39" s="107"/>
      <c r="EC39" s="107"/>
      <c r="ED39" s="107">
        <f>COUNTIF(ED4:ED34,"有給")</f>
        <v>0</v>
      </c>
      <c r="EE39" s="107"/>
      <c r="EF39" s="107"/>
      <c r="EG39" s="107"/>
      <c r="EH39" s="107"/>
      <c r="EI39" s="107">
        <f>COUNTIF(EI4:EI34,"有給")</f>
        <v>0</v>
      </c>
      <c r="EJ39" s="107"/>
      <c r="EK39" s="107"/>
      <c r="EL39" s="107"/>
      <c r="EM39" s="107"/>
      <c r="EN39" s="107">
        <f>COUNTIF(EN4:EN34,"有給")</f>
        <v>0</v>
      </c>
      <c r="EO39" s="107"/>
      <c r="EP39" s="107"/>
      <c r="EQ39" s="107"/>
      <c r="ER39" s="107"/>
      <c r="ES39" s="107">
        <f>COUNTIF(ES4:ES34,"有給")</f>
        <v>0</v>
      </c>
      <c r="ET39" s="107"/>
      <c r="EU39" s="107"/>
      <c r="EV39" s="107"/>
      <c r="EW39" s="107"/>
    </row>
    <row r="40" spans="1:153" ht="21.75" customHeight="1">
      <c r="A40" s="108" t="s">
        <v>106</v>
      </c>
      <c r="B40" s="108"/>
      <c r="C40" s="108"/>
      <c r="D40" s="109">
        <f>COUNTIF(D4:D34,"休業")</f>
        <v>0</v>
      </c>
      <c r="E40" s="109"/>
      <c r="F40" s="109"/>
      <c r="G40" s="109"/>
      <c r="H40" s="109"/>
      <c r="I40" s="109">
        <f>COUNTIF(I4:I34,"休業")</f>
        <v>0</v>
      </c>
      <c r="J40" s="109"/>
      <c r="K40" s="109"/>
      <c r="L40" s="109"/>
      <c r="M40" s="109"/>
      <c r="N40" s="109">
        <f>COUNTIF(N4:N34,"休業")</f>
        <v>0</v>
      </c>
      <c r="O40" s="109"/>
      <c r="P40" s="109"/>
      <c r="Q40" s="109"/>
      <c r="R40" s="109"/>
      <c r="S40" s="109">
        <f>COUNTIF(S4:S34,"休業")</f>
        <v>0</v>
      </c>
      <c r="T40" s="109"/>
      <c r="U40" s="109"/>
      <c r="V40" s="109"/>
      <c r="W40" s="109"/>
      <c r="X40" s="109">
        <f>COUNTIF(X4:X34,"休業")</f>
        <v>0</v>
      </c>
      <c r="Y40" s="109"/>
      <c r="Z40" s="109"/>
      <c r="AA40" s="109"/>
      <c r="AB40" s="109"/>
      <c r="AC40" s="109">
        <f>COUNTIF(AC4:AC34,"休業")</f>
        <v>0</v>
      </c>
      <c r="AD40" s="109"/>
      <c r="AE40" s="109"/>
      <c r="AF40" s="109"/>
      <c r="AG40" s="109"/>
      <c r="AH40" s="109">
        <f>COUNTIF(AH4:AH34,"休業")</f>
        <v>0</v>
      </c>
      <c r="AI40" s="109"/>
      <c r="AJ40" s="109"/>
      <c r="AK40" s="109"/>
      <c r="AL40" s="109"/>
      <c r="AM40" s="109">
        <f>COUNTIF(AM4:AM34,"休業")</f>
        <v>0</v>
      </c>
      <c r="AN40" s="109"/>
      <c r="AO40" s="109"/>
      <c r="AP40" s="109"/>
      <c r="AQ40" s="109"/>
      <c r="AR40" s="109">
        <f>COUNTIF(AR4:AR34,"休業")</f>
        <v>0</v>
      </c>
      <c r="AS40" s="109"/>
      <c r="AT40" s="109"/>
      <c r="AU40" s="109"/>
      <c r="AV40" s="109"/>
      <c r="AW40" s="109">
        <f>COUNTIF(AW4:AW34,"休業")</f>
        <v>0</v>
      </c>
      <c r="AX40" s="109"/>
      <c r="AY40" s="109"/>
      <c r="AZ40" s="109"/>
      <c r="BA40" s="109"/>
      <c r="BB40" s="109">
        <f>COUNTIF(BB4:BB34,"休業")</f>
        <v>0</v>
      </c>
      <c r="BC40" s="109"/>
      <c r="BD40" s="109"/>
      <c r="BE40" s="109"/>
      <c r="BF40" s="109"/>
      <c r="BG40" s="109">
        <f>COUNTIF(BG4:BG34,"休業")</f>
        <v>0</v>
      </c>
      <c r="BH40" s="109"/>
      <c r="BI40" s="109"/>
      <c r="BJ40" s="109"/>
      <c r="BK40" s="109"/>
      <c r="BL40" s="109">
        <f>COUNTIF(BL4:BL34,"休業")</f>
        <v>0</v>
      </c>
      <c r="BM40" s="109"/>
      <c r="BN40" s="109"/>
      <c r="BO40" s="109"/>
      <c r="BP40" s="109"/>
      <c r="BQ40" s="109">
        <f>COUNTIF(BQ4:BQ34,"休業")</f>
        <v>0</v>
      </c>
      <c r="BR40" s="109"/>
      <c r="BS40" s="109"/>
      <c r="BT40" s="109"/>
      <c r="BU40" s="109"/>
      <c r="BV40" s="109">
        <f>COUNTIF(BV4:BV34,"休業")</f>
        <v>0</v>
      </c>
      <c r="BW40" s="109"/>
      <c r="BX40" s="109"/>
      <c r="BY40" s="109"/>
      <c r="BZ40" s="109"/>
      <c r="CA40" s="109">
        <f>COUNTIF(CA4:CA34,"休業")</f>
        <v>0</v>
      </c>
      <c r="CB40" s="109"/>
      <c r="CC40" s="109"/>
      <c r="CD40" s="109"/>
      <c r="CE40" s="109"/>
      <c r="CF40" s="109">
        <f>COUNTIF(CF4:CF34,"休業")</f>
        <v>0</v>
      </c>
      <c r="CG40" s="109"/>
      <c r="CH40" s="109"/>
      <c r="CI40" s="109"/>
      <c r="CJ40" s="109"/>
      <c r="CK40" s="109">
        <f>COUNTIF(CK4:CK34,"休業")</f>
        <v>0</v>
      </c>
      <c r="CL40" s="109"/>
      <c r="CM40" s="109"/>
      <c r="CN40" s="109"/>
      <c r="CO40" s="109"/>
      <c r="CP40" s="109">
        <f>COUNTIF(CP4:CP34,"休業")</f>
        <v>0</v>
      </c>
      <c r="CQ40" s="109"/>
      <c r="CR40" s="109"/>
      <c r="CS40" s="109"/>
      <c r="CT40" s="109"/>
      <c r="CU40" s="109">
        <f>COUNTIF(CU4:CU34,"休業")</f>
        <v>0</v>
      </c>
      <c r="CV40" s="109"/>
      <c r="CW40" s="109"/>
      <c r="CX40" s="109"/>
      <c r="CY40" s="109"/>
      <c r="CZ40" s="109">
        <f>COUNTIF(CZ4:CZ34,"休業")</f>
        <v>0</v>
      </c>
      <c r="DA40" s="109"/>
      <c r="DB40" s="109"/>
      <c r="DC40" s="109"/>
      <c r="DD40" s="109"/>
      <c r="DE40" s="109">
        <f>COUNTIF(DE4:DE34,"休業")</f>
        <v>0</v>
      </c>
      <c r="DF40" s="109"/>
      <c r="DG40" s="109"/>
      <c r="DH40" s="109"/>
      <c r="DI40" s="109"/>
      <c r="DJ40" s="109">
        <f>COUNTIF(DJ4:DJ34,"休業")</f>
        <v>0</v>
      </c>
      <c r="DK40" s="109"/>
      <c r="DL40" s="109"/>
      <c r="DM40" s="109"/>
      <c r="DN40" s="109"/>
      <c r="DO40" s="109">
        <f>COUNTIF(DO4:DO34,"休業")</f>
        <v>0</v>
      </c>
      <c r="DP40" s="109"/>
      <c r="DQ40" s="109"/>
      <c r="DR40" s="109"/>
      <c r="DS40" s="109"/>
      <c r="DT40" s="109">
        <f>COUNTIF(DT4:DT34,"休業")</f>
        <v>0</v>
      </c>
      <c r="DU40" s="109"/>
      <c r="DV40" s="109"/>
      <c r="DW40" s="109"/>
      <c r="DX40" s="109"/>
      <c r="DY40" s="109">
        <f>COUNTIF(DY4:DY34,"休業")</f>
        <v>0</v>
      </c>
      <c r="DZ40" s="109"/>
      <c r="EA40" s="109"/>
      <c r="EB40" s="109"/>
      <c r="EC40" s="109"/>
      <c r="ED40" s="109">
        <f>COUNTIF(ED4:ED34,"休業")</f>
        <v>0</v>
      </c>
      <c r="EE40" s="109"/>
      <c r="EF40" s="109"/>
      <c r="EG40" s="109"/>
      <c r="EH40" s="109"/>
      <c r="EI40" s="109">
        <f>COUNTIF(EI4:EI34,"休業")</f>
        <v>0</v>
      </c>
      <c r="EJ40" s="109"/>
      <c r="EK40" s="109"/>
      <c r="EL40" s="109"/>
      <c r="EM40" s="109"/>
      <c r="EN40" s="109">
        <f>COUNTIF(EN4:EN34,"休業")</f>
        <v>0</v>
      </c>
      <c r="EO40" s="109"/>
      <c r="EP40" s="109"/>
      <c r="EQ40" s="109"/>
      <c r="ER40" s="109"/>
      <c r="ES40" s="109">
        <f>COUNTIF(ES4:ES34,"休業")</f>
        <v>0</v>
      </c>
      <c r="ET40" s="109"/>
      <c r="EU40" s="109"/>
      <c r="EV40" s="109"/>
      <c r="EW40" s="109"/>
    </row>
  </sheetData>
  <mergeCells count="217">
    <mergeCell ref="ED40:EH40"/>
    <mergeCell ref="EI40:EM40"/>
    <mergeCell ref="EN40:ER40"/>
    <mergeCell ref="ES40:EW40"/>
    <mergeCell ref="CK40:CO40"/>
    <mergeCell ref="CP40:CT40"/>
    <mergeCell ref="CU40:CY40"/>
    <mergeCell ref="CZ40:DD40"/>
    <mergeCell ref="DE40:DI40"/>
    <mergeCell ref="DJ40:DN40"/>
    <mergeCell ref="DO40:DS40"/>
    <mergeCell ref="DT40:DX40"/>
    <mergeCell ref="DY40:EC40"/>
    <mergeCell ref="DT39:DX39"/>
    <mergeCell ref="DY39:EC39"/>
    <mergeCell ref="ED39:EH39"/>
    <mergeCell ref="EI39:EM39"/>
    <mergeCell ref="EN39:ER39"/>
    <mergeCell ref="ES39:EW39"/>
    <mergeCell ref="A40:C40"/>
    <mergeCell ref="D40:H40"/>
    <mergeCell ref="I40:M40"/>
    <mergeCell ref="N40:R40"/>
    <mergeCell ref="S40:W40"/>
    <mergeCell ref="X40:AB40"/>
    <mergeCell ref="AC40:AG40"/>
    <mergeCell ref="AH40:AL40"/>
    <mergeCell ref="AM40:AQ40"/>
    <mergeCell ref="AR40:AV40"/>
    <mergeCell ref="AW40:BA40"/>
    <mergeCell ref="BB40:BF40"/>
    <mergeCell ref="BG40:BK40"/>
    <mergeCell ref="BL40:BP40"/>
    <mergeCell ref="BQ40:BU40"/>
    <mergeCell ref="BV40:BZ40"/>
    <mergeCell ref="CA40:CE40"/>
    <mergeCell ref="CF40:CJ40"/>
    <mergeCell ref="CA39:CE39"/>
    <mergeCell ref="CF39:CJ39"/>
    <mergeCell ref="CK39:CO39"/>
    <mergeCell ref="CP39:CT39"/>
    <mergeCell ref="CU39:CY39"/>
    <mergeCell ref="CZ39:DD39"/>
    <mergeCell ref="DE39:DI39"/>
    <mergeCell ref="DJ39:DN39"/>
    <mergeCell ref="DO39:DS39"/>
    <mergeCell ref="DJ38:DN38"/>
    <mergeCell ref="DO38:DS38"/>
    <mergeCell ref="DT38:DX38"/>
    <mergeCell ref="DY38:EC38"/>
    <mergeCell ref="ED38:EH38"/>
    <mergeCell ref="EI38:EM38"/>
    <mergeCell ref="EN38:ER38"/>
    <mergeCell ref="ES38:EW38"/>
    <mergeCell ref="A39:C39"/>
    <mergeCell ref="D39:H39"/>
    <mergeCell ref="I39:M39"/>
    <mergeCell ref="N39:R39"/>
    <mergeCell ref="S39:W39"/>
    <mergeCell ref="X39:AB39"/>
    <mergeCell ref="AC39:AG39"/>
    <mergeCell ref="AH39:AL39"/>
    <mergeCell ref="AM39:AQ39"/>
    <mergeCell ref="AR39:AV39"/>
    <mergeCell ref="AW39:BA39"/>
    <mergeCell ref="BB39:BF39"/>
    <mergeCell ref="BG39:BK39"/>
    <mergeCell ref="BL39:BP39"/>
    <mergeCell ref="BQ39:BU39"/>
    <mergeCell ref="BV39:BZ39"/>
    <mergeCell ref="ES37:EW37"/>
    <mergeCell ref="A38:C38"/>
    <mergeCell ref="D38:H38"/>
    <mergeCell ref="I38:M38"/>
    <mergeCell ref="N38:R38"/>
    <mergeCell ref="S38:W38"/>
    <mergeCell ref="X38:AB38"/>
    <mergeCell ref="AC38:AG38"/>
    <mergeCell ref="AH38:AL38"/>
    <mergeCell ref="AM38:AQ38"/>
    <mergeCell ref="AR38:AV38"/>
    <mergeCell ref="AW38:BA38"/>
    <mergeCell ref="BB38:BF38"/>
    <mergeCell ref="BG38:BK38"/>
    <mergeCell ref="BL38:BP38"/>
    <mergeCell ref="BQ38:BU38"/>
    <mergeCell ref="BV38:BZ38"/>
    <mergeCell ref="CA38:CE38"/>
    <mergeCell ref="CF38:CJ38"/>
    <mergeCell ref="CK38:CO38"/>
    <mergeCell ref="CP38:CT38"/>
    <mergeCell ref="CU38:CY38"/>
    <mergeCell ref="CZ38:DD38"/>
    <mergeCell ref="DE38:DI38"/>
    <mergeCell ref="CZ37:DD37"/>
    <mergeCell ref="DE37:DI37"/>
    <mergeCell ref="DJ37:DN37"/>
    <mergeCell ref="DO37:DS37"/>
    <mergeCell ref="DT37:DX37"/>
    <mergeCell ref="DY37:EC37"/>
    <mergeCell ref="ED37:EH37"/>
    <mergeCell ref="EI37:EM37"/>
    <mergeCell ref="EN37:ER37"/>
    <mergeCell ref="EI36:EM36"/>
    <mergeCell ref="EN36:ER36"/>
    <mergeCell ref="ES36:EW36"/>
    <mergeCell ref="A37:C37"/>
    <mergeCell ref="D37:H37"/>
    <mergeCell ref="I37:M37"/>
    <mergeCell ref="N37:R37"/>
    <mergeCell ref="S37:W37"/>
    <mergeCell ref="X37:AB37"/>
    <mergeCell ref="AC37:AG37"/>
    <mergeCell ref="AH37:AL37"/>
    <mergeCell ref="AM37:AQ37"/>
    <mergeCell ref="AR37:AV37"/>
    <mergeCell ref="AW37:BA37"/>
    <mergeCell ref="BB37:BF37"/>
    <mergeCell ref="BG37:BK37"/>
    <mergeCell ref="BL37:BP37"/>
    <mergeCell ref="BQ37:BU37"/>
    <mergeCell ref="BV37:BZ37"/>
    <mergeCell ref="CA37:CE37"/>
    <mergeCell ref="CF37:CJ37"/>
    <mergeCell ref="CK37:CO37"/>
    <mergeCell ref="CP37:CT37"/>
    <mergeCell ref="CU37:CY37"/>
    <mergeCell ref="CP36:CT36"/>
    <mergeCell ref="CU36:CY36"/>
    <mergeCell ref="CZ36:DD36"/>
    <mergeCell ref="DE36:DI36"/>
    <mergeCell ref="DJ36:DN36"/>
    <mergeCell ref="DO36:DS36"/>
    <mergeCell ref="DT36:DX36"/>
    <mergeCell ref="DY36:EC36"/>
    <mergeCell ref="ED36:EH36"/>
    <mergeCell ref="DY35:EC35"/>
    <mergeCell ref="ED35:EH35"/>
    <mergeCell ref="EI35:EM35"/>
    <mergeCell ref="EN35:ER35"/>
    <mergeCell ref="ES35:EW35"/>
    <mergeCell ref="A36:C36"/>
    <mergeCell ref="D36:H36"/>
    <mergeCell ref="I36:M36"/>
    <mergeCell ref="N36:R36"/>
    <mergeCell ref="S36:W36"/>
    <mergeCell ref="X36:AB36"/>
    <mergeCell ref="AC36:AG36"/>
    <mergeCell ref="AH36:AL36"/>
    <mergeCell ref="AM36:AQ36"/>
    <mergeCell ref="AR36:AV36"/>
    <mergeCell ref="AW36:BA36"/>
    <mergeCell ref="BB36:BF36"/>
    <mergeCell ref="BG36:BK36"/>
    <mergeCell ref="BL36:BP36"/>
    <mergeCell ref="BQ36:BU36"/>
    <mergeCell ref="BV36:BZ36"/>
    <mergeCell ref="CA36:CE36"/>
    <mergeCell ref="CF36:CJ36"/>
    <mergeCell ref="CK36:CO36"/>
    <mergeCell ref="CF35:CJ35"/>
    <mergeCell ref="CK35:CO35"/>
    <mergeCell ref="CP35:CT35"/>
    <mergeCell ref="CU35:CY35"/>
    <mergeCell ref="CZ35:DD35"/>
    <mergeCell ref="DE35:DI35"/>
    <mergeCell ref="DJ35:DN35"/>
    <mergeCell ref="DO35:DS35"/>
    <mergeCell ref="DT35:DX35"/>
    <mergeCell ref="DO2:DS2"/>
    <mergeCell ref="DT2:DX2"/>
    <mergeCell ref="DY2:EC2"/>
    <mergeCell ref="ED2:EH2"/>
    <mergeCell ref="EI2:EM2"/>
    <mergeCell ref="EN2:ER2"/>
    <mergeCell ref="ES2:EW2"/>
    <mergeCell ref="A35:C35"/>
    <mergeCell ref="D35:H35"/>
    <mergeCell ref="I35:M35"/>
    <mergeCell ref="N35:R35"/>
    <mergeCell ref="S35:W35"/>
    <mergeCell ref="X35:AB35"/>
    <mergeCell ref="AC35:AG35"/>
    <mergeCell ref="AH35:AL35"/>
    <mergeCell ref="AM35:AQ35"/>
    <mergeCell ref="AR35:AV35"/>
    <mergeCell ref="AW35:BA35"/>
    <mergeCell ref="BB35:BF35"/>
    <mergeCell ref="BG35:BK35"/>
    <mergeCell ref="BL35:BP35"/>
    <mergeCell ref="BQ35:BU35"/>
    <mergeCell ref="BV35:BZ35"/>
    <mergeCell ref="CA35:CE35"/>
    <mergeCell ref="A1:EW1"/>
    <mergeCell ref="D2:H2"/>
    <mergeCell ref="I2:M2"/>
    <mergeCell ref="N2:R2"/>
    <mergeCell ref="S2:W2"/>
    <mergeCell ref="X2:AB2"/>
    <mergeCell ref="AC2:AG2"/>
    <mergeCell ref="AH2:AL2"/>
    <mergeCell ref="AM2:AQ2"/>
    <mergeCell ref="AR2:AV2"/>
    <mergeCell ref="AW2:BA2"/>
    <mergeCell ref="BB2:BF2"/>
    <mergeCell ref="BG2:BK2"/>
    <mergeCell ref="BL2:BP2"/>
    <mergeCell ref="BQ2:BU2"/>
    <mergeCell ref="BV2:BZ2"/>
    <mergeCell ref="CA2:CE2"/>
    <mergeCell ref="CF2:CJ2"/>
    <mergeCell ref="CK2:CO2"/>
    <mergeCell ref="CP2:CT2"/>
    <mergeCell ref="CU2:CY2"/>
    <mergeCell ref="CZ2:DD2"/>
    <mergeCell ref="DE2:DI2"/>
    <mergeCell ref="DJ2:DN2"/>
  </mergeCells>
  <phoneticPr fontId="51"/>
  <conditionalFormatting sqref="A4:EW34">
    <cfRule type="expression" dxfId="442" priority="63">
      <formula>$B4="日"</formula>
    </cfRule>
    <cfRule type="expression" dxfId="441" priority="64">
      <formula>$B4="土"</formula>
    </cfRule>
    <cfRule type="expression" dxfId="440" priority="62">
      <formula>AND($A4&lt;&gt;"",ISNUMBER(MATCH(DATE(対象年度,7,$A4),祝日リスト,0)))</formula>
    </cfRule>
  </conditionalFormatting>
  <conditionalFormatting sqref="D4:D34">
    <cfRule type="expression" dxfId="439" priority="3">
      <formula>$D4="休業"</formula>
    </cfRule>
    <cfRule type="expression" dxfId="438" priority="2">
      <formula>$D4="有給"</formula>
    </cfRule>
  </conditionalFormatting>
  <conditionalFormatting sqref="I4:I34">
    <cfRule type="expression" dxfId="437" priority="4">
      <formula>$I4="有給"</formula>
    </cfRule>
    <cfRule type="expression" dxfId="436" priority="5">
      <formula>$I4="休業"</formula>
    </cfRule>
  </conditionalFormatting>
  <conditionalFormatting sqref="N4:N34">
    <cfRule type="expression" dxfId="435" priority="6">
      <formula>$N4="有給"</formula>
    </cfRule>
    <cfRule type="expression" dxfId="434" priority="7">
      <formula>$N4="休業"</formula>
    </cfRule>
  </conditionalFormatting>
  <conditionalFormatting sqref="S4:S34">
    <cfRule type="expression" dxfId="433" priority="8">
      <formula>$S4="有給"</formula>
    </cfRule>
    <cfRule type="expression" dxfId="432" priority="9">
      <formula>$S4="休業"</formula>
    </cfRule>
  </conditionalFormatting>
  <conditionalFormatting sqref="X4:X34">
    <cfRule type="expression" dxfId="431" priority="10">
      <formula>$X4="有給"</formula>
    </cfRule>
    <cfRule type="expression" dxfId="430" priority="11">
      <formula>$X4="休業"</formula>
    </cfRule>
  </conditionalFormatting>
  <conditionalFormatting sqref="AC4:AC34">
    <cfRule type="expression" dxfId="429" priority="12">
      <formula>$AC4="有給"</formula>
    </cfRule>
    <cfRule type="expression" dxfId="428" priority="13">
      <formula>$AC4="休業"</formula>
    </cfRule>
  </conditionalFormatting>
  <conditionalFormatting sqref="AH4:AH34">
    <cfRule type="expression" dxfId="427" priority="14">
      <formula>$AH4="有給"</formula>
    </cfRule>
    <cfRule type="expression" dxfId="426" priority="15">
      <formula>$AH4="休業"</formula>
    </cfRule>
  </conditionalFormatting>
  <conditionalFormatting sqref="AM4:AM34">
    <cfRule type="expression" dxfId="425" priority="17">
      <formula>$AM4="休業"</formula>
    </cfRule>
    <cfRule type="expression" dxfId="424" priority="16">
      <formula>$AM4="有給"</formula>
    </cfRule>
  </conditionalFormatting>
  <conditionalFormatting sqref="AR4:AR34">
    <cfRule type="expression" dxfId="423" priority="19">
      <formula>$AR4="休業"</formula>
    </cfRule>
    <cfRule type="expression" dxfId="422" priority="18">
      <formula>$AR4="有給"</formula>
    </cfRule>
  </conditionalFormatting>
  <conditionalFormatting sqref="AW4:AW34">
    <cfRule type="expression" dxfId="421" priority="20">
      <formula>$AW4="有給"</formula>
    </cfRule>
    <cfRule type="expression" dxfId="420" priority="21">
      <formula>$AW4="休業"</formula>
    </cfRule>
  </conditionalFormatting>
  <conditionalFormatting sqref="BB4:BB34">
    <cfRule type="expression" dxfId="419" priority="22">
      <formula>$BB4="有給"</formula>
    </cfRule>
    <cfRule type="expression" dxfId="418" priority="23">
      <formula>$BB4="休業"</formula>
    </cfRule>
  </conditionalFormatting>
  <conditionalFormatting sqref="BG4:BG34">
    <cfRule type="expression" dxfId="417" priority="24">
      <formula>$BG4="有給"</formula>
    </cfRule>
    <cfRule type="expression" dxfId="416" priority="25">
      <formula>$BG4="休業"</formula>
    </cfRule>
  </conditionalFormatting>
  <conditionalFormatting sqref="BL4:BL34">
    <cfRule type="expression" dxfId="415" priority="26">
      <formula>$BL4="有給"</formula>
    </cfRule>
    <cfRule type="expression" dxfId="414" priority="27">
      <formula>$BL4="休業"</formula>
    </cfRule>
  </conditionalFormatting>
  <conditionalFormatting sqref="BQ4:BQ34">
    <cfRule type="expression" dxfId="413" priority="28">
      <formula>$BQ4="有給"</formula>
    </cfRule>
    <cfRule type="expression" dxfId="412" priority="29">
      <formula>$BQ4="休業"</formula>
    </cfRule>
  </conditionalFormatting>
  <conditionalFormatting sqref="BV4:BV34">
    <cfRule type="expression" dxfId="411" priority="30">
      <formula>$BV4="有給"</formula>
    </cfRule>
    <cfRule type="expression" dxfId="410" priority="31">
      <formula>$BV4="休業"</formula>
    </cfRule>
  </conditionalFormatting>
  <conditionalFormatting sqref="CA4:CA34">
    <cfRule type="expression" dxfId="409" priority="33">
      <formula>$CA4="休業"</formula>
    </cfRule>
    <cfRule type="expression" dxfId="408" priority="32">
      <formula>$CA4="有給"</formula>
    </cfRule>
  </conditionalFormatting>
  <conditionalFormatting sqref="CF4:CF34">
    <cfRule type="expression" dxfId="407" priority="34">
      <formula>$CF4="有給"</formula>
    </cfRule>
    <cfRule type="expression" dxfId="406" priority="35">
      <formula>$CF4="休業"</formula>
    </cfRule>
  </conditionalFormatting>
  <conditionalFormatting sqref="CK4:CK34">
    <cfRule type="expression" dxfId="405" priority="37">
      <formula>$CK4="休業"</formula>
    </cfRule>
    <cfRule type="expression" dxfId="404" priority="36">
      <formula>$CK4="有給"</formula>
    </cfRule>
  </conditionalFormatting>
  <conditionalFormatting sqref="CP4:CP34">
    <cfRule type="expression" dxfId="403" priority="38">
      <formula>$CP4="有給"</formula>
    </cfRule>
    <cfRule type="expression" dxfId="402" priority="39">
      <formula>$CP4="休業"</formula>
    </cfRule>
  </conditionalFormatting>
  <conditionalFormatting sqref="CU4:CU34">
    <cfRule type="expression" dxfId="401" priority="40">
      <formula>$CU4="有給"</formula>
    </cfRule>
    <cfRule type="expression" dxfId="400" priority="41">
      <formula>$CU4="休業"</formula>
    </cfRule>
  </conditionalFormatting>
  <conditionalFormatting sqref="CZ4:CZ34">
    <cfRule type="expression" dxfId="399" priority="42">
      <formula>$CZ4="有給"</formula>
    </cfRule>
    <cfRule type="expression" dxfId="398" priority="43">
      <formula>$CZ4="休業"</formula>
    </cfRule>
  </conditionalFormatting>
  <conditionalFormatting sqref="DE4:DE34">
    <cfRule type="expression" dxfId="397" priority="44">
      <formula>$DE4="有給"</formula>
    </cfRule>
    <cfRule type="expression" dxfId="396" priority="45">
      <formula>$DE4="休業"</formula>
    </cfRule>
  </conditionalFormatting>
  <conditionalFormatting sqref="DJ4:DJ34">
    <cfRule type="expression" dxfId="395" priority="46">
      <formula>$DJ4="有給"</formula>
    </cfRule>
    <cfRule type="expression" dxfId="394" priority="47">
      <formula>$DJ4="休業"</formula>
    </cfRule>
  </conditionalFormatting>
  <conditionalFormatting sqref="DO4:DO34">
    <cfRule type="expression" dxfId="393" priority="48">
      <formula>$DO4="有給"</formula>
    </cfRule>
    <cfRule type="expression" dxfId="392" priority="49">
      <formula>$DO4="休業"</formula>
    </cfRule>
  </conditionalFormatting>
  <conditionalFormatting sqref="DT4:DT34">
    <cfRule type="expression" dxfId="391" priority="51">
      <formula>$DT4="休業"</formula>
    </cfRule>
    <cfRule type="expression" dxfId="390" priority="50">
      <formula>$DT4="有給"</formula>
    </cfRule>
  </conditionalFormatting>
  <conditionalFormatting sqref="DY4:DY34">
    <cfRule type="expression" dxfId="389" priority="52">
      <formula>$DY4="有給"</formula>
    </cfRule>
    <cfRule type="expression" dxfId="388" priority="53">
      <formula>$DY4="休業"</formula>
    </cfRule>
  </conditionalFormatting>
  <conditionalFormatting sqref="ED4:ED34">
    <cfRule type="expression" dxfId="387" priority="54">
      <formula>$ED4="有給"</formula>
    </cfRule>
    <cfRule type="expression" dxfId="386" priority="55">
      <formula>$ED4="休業"</formula>
    </cfRule>
  </conditionalFormatting>
  <conditionalFormatting sqref="EI4:EI34">
    <cfRule type="expression" dxfId="385" priority="56">
      <formula>$EI4="有給"</formula>
    </cfRule>
    <cfRule type="expression" dxfId="384" priority="57">
      <formula>$EI4="休業"</formula>
    </cfRule>
  </conditionalFormatting>
  <conditionalFormatting sqref="EN4:EN34">
    <cfRule type="expression" dxfId="383" priority="58">
      <formula>$EN4="有給"</formula>
    </cfRule>
    <cfRule type="expression" dxfId="382" priority="59">
      <formula>$EN4="休業"</formula>
    </cfRule>
  </conditionalFormatting>
  <conditionalFormatting sqref="ES4:ES34">
    <cfRule type="expression" dxfId="381" priority="60">
      <formula>$ES4="有給"</formula>
    </cfRule>
    <cfRule type="expression" dxfId="380" priority="61">
      <formula>$ES4="休業"</formula>
    </cfRule>
  </conditionalFormatting>
  <pageMargins left="0.31496062992125984" right="0.31496062992125984" top="0.98425196850393704" bottom="0.98425196850393704" header="0.51181102362204722" footer="0.51181102362204722"/>
  <pageSetup paperSize="8" scale="14" orientation="landscape" horizontalDpi="300" verticalDpi="300" r:id="rId1"/>
  <headerFooter>
    <oddFooter>&amp;C&amp;"ＭＳ Ｐゴシック,標準"制作：有限会社水越設備&amp;Rsp-mizukoshi.jp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00000000-0002-0000-0A00-000000000000}">
          <x14:formula1>
            <xm:f>現場マスタ!$C$4:$C$43</xm:f>
          </x14:formula1>
          <x14:formula2>
            <xm:f>0</xm:f>
          </x14:formula2>
          <xm:sqref>D4:E34 I4:J34 N4:O34 S4:T34 X4:Y34 AC4:AD34 AH4:AI34 AM4:AN34 AR4:AS34 AW4:AX34 BB4:BC34 BG4:BH34 BL4:BM34 BQ4:BR34 BV4:BW34 CA4:CB34 CF4:CG34 CK4:CL34 CP4:CQ34 CU4:CV34 CZ4:DA34 DE4:DF34 DJ4:DK34 DO4:DP34 DT4:DU34 DY4:DZ34 ED4:EE34 EI4:EJ34 EN4:EO34 ES4:ET34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EW40"/>
  <sheetViews>
    <sheetView zoomScaleNormal="100" workbookViewId="0">
      <pane xSplit="3" ySplit="3" topLeftCell="D4" activePane="bottomRight" state="frozen"/>
      <selection sqref="A1:EW1"/>
      <selection pane="topRight" sqref="A1:EW1"/>
      <selection pane="bottomLeft" sqref="A1:EW1"/>
      <selection pane="bottomRight" sqref="A1:EW1"/>
    </sheetView>
  </sheetViews>
  <sheetFormatPr defaultColWidth="8.7109375" defaultRowHeight="15"/>
  <cols>
    <col min="1" max="1" width="5" customWidth="1"/>
    <col min="2" max="3" width="4" customWidth="1"/>
    <col min="4" max="5" width="13" customWidth="1"/>
    <col min="6" max="7" width="6" customWidth="1"/>
    <col min="8" max="8" width="7" customWidth="1"/>
    <col min="9" max="10" width="13" customWidth="1"/>
    <col min="11" max="12" width="6" customWidth="1"/>
    <col min="13" max="13" width="7" customWidth="1"/>
    <col min="14" max="15" width="13" customWidth="1"/>
    <col min="16" max="17" width="6" customWidth="1"/>
    <col min="18" max="18" width="7" customWidth="1"/>
    <col min="19" max="20" width="13" customWidth="1"/>
    <col min="21" max="22" width="6" customWidth="1"/>
    <col min="23" max="23" width="7" customWidth="1"/>
    <col min="24" max="25" width="13" customWidth="1"/>
    <col min="26" max="27" width="6" customWidth="1"/>
    <col min="28" max="28" width="7" customWidth="1"/>
    <col min="29" max="30" width="13" customWidth="1"/>
    <col min="31" max="32" width="6" customWidth="1"/>
    <col min="33" max="33" width="7" customWidth="1"/>
    <col min="34" max="35" width="13" customWidth="1"/>
    <col min="36" max="37" width="6" customWidth="1"/>
    <col min="38" max="38" width="7" customWidth="1"/>
    <col min="39" max="40" width="13" customWidth="1"/>
    <col min="41" max="42" width="6" customWidth="1"/>
    <col min="43" max="43" width="7" customWidth="1"/>
    <col min="44" max="45" width="13" customWidth="1"/>
    <col min="46" max="47" width="6" customWidth="1"/>
    <col min="48" max="48" width="7" customWidth="1"/>
    <col min="49" max="50" width="13" customWidth="1"/>
    <col min="51" max="52" width="6" customWidth="1"/>
    <col min="53" max="53" width="7" customWidth="1"/>
    <col min="54" max="55" width="13" customWidth="1"/>
    <col min="56" max="57" width="6" customWidth="1"/>
    <col min="58" max="58" width="7" customWidth="1"/>
    <col min="59" max="60" width="13" customWidth="1"/>
    <col min="61" max="62" width="6" customWidth="1"/>
    <col min="63" max="63" width="7" customWidth="1"/>
    <col min="64" max="65" width="13" customWidth="1"/>
    <col min="66" max="67" width="6" customWidth="1"/>
    <col min="68" max="68" width="7" customWidth="1"/>
    <col min="69" max="70" width="13" customWidth="1"/>
    <col min="71" max="72" width="6" customWidth="1"/>
    <col min="73" max="73" width="7" customWidth="1"/>
    <col min="74" max="75" width="13" customWidth="1"/>
    <col min="76" max="77" width="6" customWidth="1"/>
    <col min="78" max="78" width="7" customWidth="1"/>
    <col min="79" max="80" width="13" customWidth="1"/>
    <col min="81" max="82" width="6" customWidth="1"/>
    <col min="83" max="83" width="7" customWidth="1"/>
    <col min="84" max="85" width="13" customWidth="1"/>
    <col min="86" max="87" width="6" customWidth="1"/>
    <col min="88" max="88" width="7" customWidth="1"/>
    <col min="89" max="90" width="13" customWidth="1"/>
    <col min="91" max="92" width="6" customWidth="1"/>
    <col min="93" max="93" width="7" customWidth="1"/>
    <col min="94" max="95" width="13" customWidth="1"/>
    <col min="96" max="97" width="6" customWidth="1"/>
    <col min="98" max="98" width="7" customWidth="1"/>
    <col min="99" max="100" width="13" customWidth="1"/>
    <col min="101" max="102" width="6" customWidth="1"/>
    <col min="103" max="103" width="7" customWidth="1"/>
    <col min="104" max="105" width="13" customWidth="1"/>
    <col min="106" max="107" width="6" customWidth="1"/>
    <col min="108" max="108" width="7" customWidth="1"/>
    <col min="109" max="110" width="13" customWidth="1"/>
    <col min="111" max="112" width="6" customWidth="1"/>
    <col min="113" max="113" width="7" customWidth="1"/>
    <col min="114" max="115" width="13" customWidth="1"/>
    <col min="116" max="117" width="6" customWidth="1"/>
    <col min="118" max="118" width="7" customWidth="1"/>
    <col min="119" max="120" width="13" customWidth="1"/>
    <col min="121" max="122" width="6" customWidth="1"/>
    <col min="123" max="123" width="7" customWidth="1"/>
    <col min="124" max="125" width="13" customWidth="1"/>
    <col min="126" max="127" width="6" customWidth="1"/>
    <col min="128" max="128" width="7" customWidth="1"/>
    <col min="129" max="130" width="13" customWidth="1"/>
    <col min="131" max="132" width="6" customWidth="1"/>
    <col min="133" max="133" width="7" customWidth="1"/>
    <col min="134" max="135" width="13" customWidth="1"/>
    <col min="136" max="137" width="6" customWidth="1"/>
    <col min="138" max="138" width="7" customWidth="1"/>
    <col min="139" max="140" width="13" customWidth="1"/>
    <col min="141" max="142" width="6" customWidth="1"/>
    <col min="143" max="143" width="7" customWidth="1"/>
    <col min="144" max="145" width="13" customWidth="1"/>
    <col min="146" max="147" width="6" customWidth="1"/>
    <col min="148" max="148" width="7" customWidth="1"/>
    <col min="149" max="150" width="13" customWidth="1"/>
    <col min="151" max="152" width="6" customWidth="1"/>
    <col min="153" max="153" width="7" customWidth="1"/>
  </cols>
  <sheetData>
    <row r="1" spans="1:153" ht="36" customHeight="1">
      <c r="A1" s="96" t="str">
        <f>" "&amp;対象年度&amp;"年 8月分　出面表　"</f>
        <v xml:space="preserve"> 2026年 8月分　出面表　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Y1" s="96"/>
      <c r="BZ1" s="96"/>
      <c r="CA1" s="96"/>
      <c r="CB1" s="96"/>
      <c r="CC1" s="96"/>
      <c r="CD1" s="96"/>
      <c r="CE1" s="96"/>
      <c r="CF1" s="96"/>
      <c r="CG1" s="96"/>
      <c r="CH1" s="96"/>
      <c r="CI1" s="96"/>
      <c r="CJ1" s="96"/>
      <c r="CK1" s="96"/>
      <c r="CL1" s="96"/>
      <c r="CM1" s="96"/>
      <c r="CN1" s="96"/>
      <c r="CO1" s="96"/>
      <c r="CP1" s="96"/>
      <c r="CQ1" s="96"/>
      <c r="CR1" s="96"/>
      <c r="CS1" s="96"/>
      <c r="CT1" s="96"/>
      <c r="CU1" s="96"/>
      <c r="CV1" s="96"/>
      <c r="CW1" s="96"/>
      <c r="CX1" s="96"/>
      <c r="CY1" s="96"/>
      <c r="CZ1" s="96"/>
      <c r="DA1" s="96"/>
      <c r="DB1" s="96"/>
      <c r="DC1" s="96"/>
      <c r="DD1" s="96"/>
      <c r="DE1" s="96"/>
      <c r="DF1" s="96"/>
      <c r="DG1" s="96"/>
      <c r="DH1" s="96"/>
      <c r="DI1" s="96"/>
      <c r="DJ1" s="96"/>
      <c r="DK1" s="96"/>
      <c r="DL1" s="96"/>
      <c r="DM1" s="96"/>
      <c r="DN1" s="96"/>
      <c r="DO1" s="96"/>
      <c r="DP1" s="96"/>
      <c r="DQ1" s="96"/>
      <c r="DR1" s="96"/>
      <c r="DS1" s="96"/>
      <c r="DT1" s="96"/>
      <c r="DU1" s="96"/>
      <c r="DV1" s="96"/>
      <c r="DW1" s="96"/>
      <c r="DX1" s="96"/>
      <c r="DY1" s="96"/>
      <c r="DZ1" s="96"/>
      <c r="EA1" s="96"/>
      <c r="EB1" s="96"/>
      <c r="EC1" s="96"/>
      <c r="ED1" s="96"/>
      <c r="EE1" s="96"/>
      <c r="EF1" s="96"/>
      <c r="EG1" s="96"/>
      <c r="EH1" s="96"/>
      <c r="EI1" s="96"/>
      <c r="EJ1" s="96"/>
      <c r="EK1" s="96"/>
      <c r="EL1" s="96"/>
      <c r="EM1" s="96"/>
      <c r="EN1" s="96"/>
      <c r="EO1" s="96"/>
      <c r="EP1" s="96"/>
      <c r="EQ1" s="96"/>
      <c r="ER1" s="96"/>
      <c r="ES1" s="96"/>
      <c r="ET1" s="96"/>
      <c r="EU1" s="96"/>
      <c r="EV1" s="96"/>
      <c r="EW1" s="96"/>
    </row>
    <row r="2" spans="1:153" ht="25.5" customHeight="1">
      <c r="A2" s="21"/>
      <c r="B2" s="21"/>
      <c r="C2" s="21"/>
      <c r="D2" s="97" t="str">
        <f>IFERROR(IF(従業員マスタ!$C$4="","",対象年度&amp;"年8月　"&amp;従業員マスタ!$C$4),"")</f>
        <v>2026年8月　代表 太郎</v>
      </c>
      <c r="E2" s="97"/>
      <c r="F2" s="97"/>
      <c r="G2" s="97"/>
      <c r="H2" s="97"/>
      <c r="I2" s="97" t="str">
        <f>IFERROR(IF(従業員マスタ!$C$5="","",対象年度&amp;"年8月　"&amp;従業員マスタ!$C$5),"")</f>
        <v>2026年8月　専務 次郎</v>
      </c>
      <c r="J2" s="97"/>
      <c r="K2" s="97"/>
      <c r="L2" s="97"/>
      <c r="M2" s="97"/>
      <c r="N2" s="97" t="str">
        <f>IFERROR(IF(従業員マスタ!$C$6="","",対象年度&amp;"年8月　"&amp;従業員マスタ!$C$6),"")</f>
        <v>2026年8月　山田 一郎</v>
      </c>
      <c r="O2" s="97"/>
      <c r="P2" s="97"/>
      <c r="Q2" s="97"/>
      <c r="R2" s="97"/>
      <c r="S2" s="97" t="str">
        <f>IFERROR(IF(従業員マスタ!$C$7="","",対象年度&amp;"年8月　"&amp;従業員マスタ!$C$7),"")</f>
        <v>2026年8月　鈴木 二郎</v>
      </c>
      <c r="T2" s="97"/>
      <c r="U2" s="97"/>
      <c r="V2" s="97"/>
      <c r="W2" s="97"/>
      <c r="X2" s="97" t="str">
        <f>IFERROR(IF(従業員マスタ!$C$8="","",対象年度&amp;"年8月　"&amp;従業員マスタ!$C$8),"")</f>
        <v>2026年8月　佐藤 三郎</v>
      </c>
      <c r="Y2" s="97"/>
      <c r="Z2" s="97"/>
      <c r="AA2" s="97"/>
      <c r="AB2" s="97"/>
      <c r="AC2" s="97" t="str">
        <f>IFERROR(IF(従業員マスタ!$C$9="","",対象年度&amp;"年8月　"&amp;従業員マスタ!$C$9),"")</f>
        <v>2026年8月　高橋 四郎</v>
      </c>
      <c r="AD2" s="97"/>
      <c r="AE2" s="97"/>
      <c r="AF2" s="97"/>
      <c r="AG2" s="97"/>
      <c r="AH2" s="97" t="str">
        <f>IFERROR(IF(従業員マスタ!$C$10="","",対象年度&amp;"年8月　"&amp;従業員マスタ!$C$10),"")</f>
        <v>2026年8月　田中 五郎</v>
      </c>
      <c r="AI2" s="97"/>
      <c r="AJ2" s="97"/>
      <c r="AK2" s="97"/>
      <c r="AL2" s="97"/>
      <c r="AM2" s="97" t="str">
        <f>IFERROR(IF(従業員マスタ!$C$11="","",対象年度&amp;"年8月　"&amp;従業員マスタ!$C$11),"")</f>
        <v>2026年8月　伊藤 六郎</v>
      </c>
      <c r="AN2" s="97"/>
      <c r="AO2" s="97"/>
      <c r="AP2" s="97"/>
      <c r="AQ2" s="97"/>
      <c r="AR2" s="97" t="str">
        <f>IFERROR(IF(従業員マスタ!$C$12="","",対象年度&amp;"年8月　"&amp;従業員マスタ!$C$12),"")</f>
        <v>2026年8月　渡辺 七郎</v>
      </c>
      <c r="AS2" s="97"/>
      <c r="AT2" s="97"/>
      <c r="AU2" s="97"/>
      <c r="AV2" s="97"/>
      <c r="AW2" s="97" t="str">
        <f>IFERROR(IF(従業員マスタ!$C$13="","",対象年度&amp;"年8月　"&amp;従業員マスタ!$C$13),"")</f>
        <v>2026年8月　中村 八郎</v>
      </c>
      <c r="AX2" s="97"/>
      <c r="AY2" s="97"/>
      <c r="AZ2" s="97"/>
      <c r="BA2" s="97"/>
      <c r="BB2" s="97" t="str">
        <f>IFERROR(IF(従業員マスタ!$C$14="","",対象年度&amp;"年8月　"&amp;従業員マスタ!$C$14),"")</f>
        <v>2026年8月　小林 九郎</v>
      </c>
      <c r="BC2" s="97"/>
      <c r="BD2" s="97"/>
      <c r="BE2" s="97"/>
      <c r="BF2" s="97"/>
      <c r="BG2" s="97" t="str">
        <f>IFERROR(IF(従業員マスタ!$C$15="","",対象年度&amp;"年8月　"&amp;従業員マスタ!$C$15),"")</f>
        <v>2026年8月　加藤 十郎</v>
      </c>
      <c r="BH2" s="97"/>
      <c r="BI2" s="97"/>
      <c r="BJ2" s="97"/>
      <c r="BK2" s="97"/>
      <c r="BL2" s="97" t="str">
        <f>IFERROR(IF(従業員マスタ!$C$16="","",対象年度&amp;"年8月　"&amp;従業員マスタ!$C$16),"")</f>
        <v/>
      </c>
      <c r="BM2" s="97"/>
      <c r="BN2" s="97"/>
      <c r="BO2" s="97"/>
      <c r="BP2" s="97"/>
      <c r="BQ2" s="97" t="str">
        <f>IFERROR(IF(従業員マスタ!$C$17="","",対象年度&amp;"年8月　"&amp;従業員マスタ!$C$17),"")</f>
        <v/>
      </c>
      <c r="BR2" s="97"/>
      <c r="BS2" s="97"/>
      <c r="BT2" s="97"/>
      <c r="BU2" s="97"/>
      <c r="BV2" s="97" t="str">
        <f>IFERROR(IF(従業員マスタ!$C$18="","",対象年度&amp;"年8月　"&amp;従業員マスタ!$C$18),"")</f>
        <v/>
      </c>
      <c r="BW2" s="97"/>
      <c r="BX2" s="97"/>
      <c r="BY2" s="97"/>
      <c r="BZ2" s="97"/>
      <c r="CA2" s="97" t="str">
        <f>IFERROR(IF(従業員マスタ!$C$19="","",対象年度&amp;"年8月　"&amp;従業員マスタ!$C$19),"")</f>
        <v/>
      </c>
      <c r="CB2" s="97"/>
      <c r="CC2" s="97"/>
      <c r="CD2" s="97"/>
      <c r="CE2" s="97"/>
      <c r="CF2" s="97" t="str">
        <f>IFERROR(IF(従業員マスタ!$C$20="","",対象年度&amp;"年8月　"&amp;従業員マスタ!$C$20),"")</f>
        <v/>
      </c>
      <c r="CG2" s="97"/>
      <c r="CH2" s="97"/>
      <c r="CI2" s="97"/>
      <c r="CJ2" s="97"/>
      <c r="CK2" s="97" t="str">
        <f>IFERROR(IF(従業員マスタ!$C$21="","",対象年度&amp;"年8月　"&amp;従業員マスタ!$C$21),"")</f>
        <v/>
      </c>
      <c r="CL2" s="97"/>
      <c r="CM2" s="97"/>
      <c r="CN2" s="97"/>
      <c r="CO2" s="97"/>
      <c r="CP2" s="97" t="str">
        <f>IFERROR(IF(従業員マスタ!$C$22="","",対象年度&amp;"年8月　"&amp;従業員マスタ!$C$22),"")</f>
        <v/>
      </c>
      <c r="CQ2" s="97"/>
      <c r="CR2" s="97"/>
      <c r="CS2" s="97"/>
      <c r="CT2" s="97"/>
      <c r="CU2" s="97" t="str">
        <f>IFERROR(IF(従業員マスタ!$C$23="","",対象年度&amp;"年8月　"&amp;従業員マスタ!$C$23),"")</f>
        <v/>
      </c>
      <c r="CV2" s="97"/>
      <c r="CW2" s="97"/>
      <c r="CX2" s="97"/>
      <c r="CY2" s="97"/>
      <c r="CZ2" s="97" t="str">
        <f>IFERROR(IF(従業員マスタ!$C$24="","",対象年度&amp;"年8月　"&amp;従業員マスタ!$C$24),"")</f>
        <v/>
      </c>
      <c r="DA2" s="97"/>
      <c r="DB2" s="97"/>
      <c r="DC2" s="97"/>
      <c r="DD2" s="97"/>
      <c r="DE2" s="97" t="str">
        <f>IFERROR(IF(従業員マスタ!$C$25="","",対象年度&amp;"年8月　"&amp;従業員マスタ!$C$25),"")</f>
        <v/>
      </c>
      <c r="DF2" s="97"/>
      <c r="DG2" s="97"/>
      <c r="DH2" s="97"/>
      <c r="DI2" s="97"/>
      <c r="DJ2" s="97" t="str">
        <f>IFERROR(IF(従業員マスタ!$C$26="","",対象年度&amp;"年8月　"&amp;従業員マスタ!$C$26),"")</f>
        <v/>
      </c>
      <c r="DK2" s="97"/>
      <c r="DL2" s="97"/>
      <c r="DM2" s="97"/>
      <c r="DN2" s="97"/>
      <c r="DO2" s="97" t="str">
        <f>IFERROR(IF(従業員マスタ!$C$27="","",対象年度&amp;"年8月　"&amp;従業員マスタ!$C$27),"")</f>
        <v/>
      </c>
      <c r="DP2" s="97"/>
      <c r="DQ2" s="97"/>
      <c r="DR2" s="97"/>
      <c r="DS2" s="97"/>
      <c r="DT2" s="97" t="str">
        <f>IFERROR(IF(従業員マスタ!$C$28="","",対象年度&amp;"年8月　"&amp;従業員マスタ!$C$28),"")</f>
        <v/>
      </c>
      <c r="DU2" s="97"/>
      <c r="DV2" s="97"/>
      <c r="DW2" s="97"/>
      <c r="DX2" s="97"/>
      <c r="DY2" s="97" t="str">
        <f>IFERROR(IF(従業員マスタ!$C$29="","",対象年度&amp;"年8月　"&amp;従業員マスタ!$C$29),"")</f>
        <v/>
      </c>
      <c r="DZ2" s="97"/>
      <c r="EA2" s="97"/>
      <c r="EB2" s="97"/>
      <c r="EC2" s="97"/>
      <c r="ED2" s="97" t="str">
        <f>IFERROR(IF(従業員マスタ!$C$30="","",対象年度&amp;"年8月　"&amp;従業員マスタ!$C$30),"")</f>
        <v/>
      </c>
      <c r="EE2" s="97"/>
      <c r="EF2" s="97"/>
      <c r="EG2" s="97"/>
      <c r="EH2" s="97"/>
      <c r="EI2" s="97" t="str">
        <f>IFERROR(IF(従業員マスタ!$C$31="","",対象年度&amp;"年8月　"&amp;従業員マスタ!$C$31),"")</f>
        <v/>
      </c>
      <c r="EJ2" s="97"/>
      <c r="EK2" s="97"/>
      <c r="EL2" s="97"/>
      <c r="EM2" s="97"/>
      <c r="EN2" s="97" t="str">
        <f>IFERROR(IF(従業員マスタ!$C$32="","",対象年度&amp;"年8月　"&amp;従業員マスタ!$C$32),"")</f>
        <v/>
      </c>
      <c r="EO2" s="97"/>
      <c r="EP2" s="97"/>
      <c r="EQ2" s="97"/>
      <c r="ER2" s="97"/>
      <c r="ES2" s="97" t="str">
        <f>IFERROR(IF(従業員マスタ!$C$33="","",対象年度&amp;"年8月　"&amp;従業員マスタ!$C$33),"")</f>
        <v/>
      </c>
      <c r="ET2" s="97"/>
      <c r="EU2" s="97"/>
      <c r="EV2" s="97"/>
      <c r="EW2" s="97"/>
    </row>
    <row r="3" spans="1:153" ht="24" customHeight="1">
      <c r="A3" s="22" t="s">
        <v>108</v>
      </c>
      <c r="B3" s="22" t="s">
        <v>109</v>
      </c>
      <c r="C3" s="22" t="s">
        <v>110</v>
      </c>
      <c r="D3" s="23" t="s">
        <v>111</v>
      </c>
      <c r="E3" s="24" t="s">
        <v>112</v>
      </c>
      <c r="F3" s="22" t="s">
        <v>113</v>
      </c>
      <c r="G3" s="22" t="s">
        <v>114</v>
      </c>
      <c r="H3" s="25" t="s">
        <v>115</v>
      </c>
      <c r="I3" s="23" t="s">
        <v>111</v>
      </c>
      <c r="J3" s="24" t="s">
        <v>112</v>
      </c>
      <c r="K3" s="22" t="s">
        <v>113</v>
      </c>
      <c r="L3" s="22" t="s">
        <v>114</v>
      </c>
      <c r="M3" s="25" t="s">
        <v>115</v>
      </c>
      <c r="N3" s="23" t="s">
        <v>111</v>
      </c>
      <c r="O3" s="24" t="s">
        <v>112</v>
      </c>
      <c r="P3" s="22" t="s">
        <v>113</v>
      </c>
      <c r="Q3" s="22" t="s">
        <v>114</v>
      </c>
      <c r="R3" s="25" t="s">
        <v>115</v>
      </c>
      <c r="S3" s="23" t="s">
        <v>111</v>
      </c>
      <c r="T3" s="24" t="s">
        <v>112</v>
      </c>
      <c r="U3" s="22" t="s">
        <v>113</v>
      </c>
      <c r="V3" s="22" t="s">
        <v>114</v>
      </c>
      <c r="W3" s="25" t="s">
        <v>115</v>
      </c>
      <c r="X3" s="23" t="s">
        <v>111</v>
      </c>
      <c r="Y3" s="24" t="s">
        <v>112</v>
      </c>
      <c r="Z3" s="22" t="s">
        <v>113</v>
      </c>
      <c r="AA3" s="22" t="s">
        <v>114</v>
      </c>
      <c r="AB3" s="25" t="s">
        <v>115</v>
      </c>
      <c r="AC3" s="23" t="s">
        <v>111</v>
      </c>
      <c r="AD3" s="24" t="s">
        <v>112</v>
      </c>
      <c r="AE3" s="22" t="s">
        <v>113</v>
      </c>
      <c r="AF3" s="22" t="s">
        <v>114</v>
      </c>
      <c r="AG3" s="25" t="s">
        <v>115</v>
      </c>
      <c r="AH3" s="23" t="s">
        <v>111</v>
      </c>
      <c r="AI3" s="24" t="s">
        <v>112</v>
      </c>
      <c r="AJ3" s="22" t="s">
        <v>113</v>
      </c>
      <c r="AK3" s="22" t="s">
        <v>114</v>
      </c>
      <c r="AL3" s="25" t="s">
        <v>115</v>
      </c>
      <c r="AM3" s="23" t="s">
        <v>111</v>
      </c>
      <c r="AN3" s="24" t="s">
        <v>112</v>
      </c>
      <c r="AO3" s="22" t="s">
        <v>113</v>
      </c>
      <c r="AP3" s="22" t="s">
        <v>114</v>
      </c>
      <c r="AQ3" s="25" t="s">
        <v>115</v>
      </c>
      <c r="AR3" s="23" t="s">
        <v>111</v>
      </c>
      <c r="AS3" s="24" t="s">
        <v>112</v>
      </c>
      <c r="AT3" s="22" t="s">
        <v>113</v>
      </c>
      <c r="AU3" s="22" t="s">
        <v>114</v>
      </c>
      <c r="AV3" s="25" t="s">
        <v>115</v>
      </c>
      <c r="AW3" s="23" t="s">
        <v>111</v>
      </c>
      <c r="AX3" s="24" t="s">
        <v>112</v>
      </c>
      <c r="AY3" s="22" t="s">
        <v>113</v>
      </c>
      <c r="AZ3" s="22" t="s">
        <v>114</v>
      </c>
      <c r="BA3" s="25" t="s">
        <v>115</v>
      </c>
      <c r="BB3" s="23" t="s">
        <v>111</v>
      </c>
      <c r="BC3" s="24" t="s">
        <v>112</v>
      </c>
      <c r="BD3" s="22" t="s">
        <v>113</v>
      </c>
      <c r="BE3" s="22" t="s">
        <v>114</v>
      </c>
      <c r="BF3" s="25" t="s">
        <v>115</v>
      </c>
      <c r="BG3" s="23" t="s">
        <v>111</v>
      </c>
      <c r="BH3" s="24" t="s">
        <v>112</v>
      </c>
      <c r="BI3" s="22" t="s">
        <v>113</v>
      </c>
      <c r="BJ3" s="22" t="s">
        <v>114</v>
      </c>
      <c r="BK3" s="25" t="s">
        <v>115</v>
      </c>
      <c r="BL3" s="23" t="s">
        <v>111</v>
      </c>
      <c r="BM3" s="24" t="s">
        <v>112</v>
      </c>
      <c r="BN3" s="22" t="s">
        <v>113</v>
      </c>
      <c r="BO3" s="22" t="s">
        <v>114</v>
      </c>
      <c r="BP3" s="25" t="s">
        <v>115</v>
      </c>
      <c r="BQ3" s="23" t="s">
        <v>111</v>
      </c>
      <c r="BR3" s="24" t="s">
        <v>112</v>
      </c>
      <c r="BS3" s="22" t="s">
        <v>113</v>
      </c>
      <c r="BT3" s="22" t="s">
        <v>114</v>
      </c>
      <c r="BU3" s="25" t="s">
        <v>115</v>
      </c>
      <c r="BV3" s="23" t="s">
        <v>111</v>
      </c>
      <c r="BW3" s="24" t="s">
        <v>112</v>
      </c>
      <c r="BX3" s="22" t="s">
        <v>113</v>
      </c>
      <c r="BY3" s="22" t="s">
        <v>114</v>
      </c>
      <c r="BZ3" s="25" t="s">
        <v>115</v>
      </c>
      <c r="CA3" s="23" t="s">
        <v>111</v>
      </c>
      <c r="CB3" s="24" t="s">
        <v>112</v>
      </c>
      <c r="CC3" s="22" t="s">
        <v>113</v>
      </c>
      <c r="CD3" s="22" t="s">
        <v>114</v>
      </c>
      <c r="CE3" s="25" t="s">
        <v>115</v>
      </c>
      <c r="CF3" s="23" t="s">
        <v>111</v>
      </c>
      <c r="CG3" s="24" t="s">
        <v>112</v>
      </c>
      <c r="CH3" s="22" t="s">
        <v>113</v>
      </c>
      <c r="CI3" s="22" t="s">
        <v>114</v>
      </c>
      <c r="CJ3" s="25" t="s">
        <v>115</v>
      </c>
      <c r="CK3" s="23" t="s">
        <v>111</v>
      </c>
      <c r="CL3" s="24" t="s">
        <v>112</v>
      </c>
      <c r="CM3" s="22" t="s">
        <v>113</v>
      </c>
      <c r="CN3" s="22" t="s">
        <v>114</v>
      </c>
      <c r="CO3" s="25" t="s">
        <v>115</v>
      </c>
      <c r="CP3" s="23" t="s">
        <v>111</v>
      </c>
      <c r="CQ3" s="24" t="s">
        <v>112</v>
      </c>
      <c r="CR3" s="22" t="s">
        <v>113</v>
      </c>
      <c r="CS3" s="22" t="s">
        <v>114</v>
      </c>
      <c r="CT3" s="25" t="s">
        <v>115</v>
      </c>
      <c r="CU3" s="23" t="s">
        <v>111</v>
      </c>
      <c r="CV3" s="24" t="s">
        <v>112</v>
      </c>
      <c r="CW3" s="22" t="s">
        <v>113</v>
      </c>
      <c r="CX3" s="22" t="s">
        <v>114</v>
      </c>
      <c r="CY3" s="25" t="s">
        <v>115</v>
      </c>
      <c r="CZ3" s="23" t="s">
        <v>111</v>
      </c>
      <c r="DA3" s="24" t="s">
        <v>112</v>
      </c>
      <c r="DB3" s="22" t="s">
        <v>113</v>
      </c>
      <c r="DC3" s="22" t="s">
        <v>114</v>
      </c>
      <c r="DD3" s="25" t="s">
        <v>115</v>
      </c>
      <c r="DE3" s="23" t="s">
        <v>111</v>
      </c>
      <c r="DF3" s="24" t="s">
        <v>112</v>
      </c>
      <c r="DG3" s="22" t="s">
        <v>113</v>
      </c>
      <c r="DH3" s="22" t="s">
        <v>114</v>
      </c>
      <c r="DI3" s="25" t="s">
        <v>115</v>
      </c>
      <c r="DJ3" s="23" t="s">
        <v>111</v>
      </c>
      <c r="DK3" s="24" t="s">
        <v>112</v>
      </c>
      <c r="DL3" s="22" t="s">
        <v>113</v>
      </c>
      <c r="DM3" s="22" t="s">
        <v>114</v>
      </c>
      <c r="DN3" s="25" t="s">
        <v>115</v>
      </c>
      <c r="DO3" s="23" t="s">
        <v>111</v>
      </c>
      <c r="DP3" s="24" t="s">
        <v>112</v>
      </c>
      <c r="DQ3" s="22" t="s">
        <v>113</v>
      </c>
      <c r="DR3" s="22" t="s">
        <v>114</v>
      </c>
      <c r="DS3" s="25" t="s">
        <v>115</v>
      </c>
      <c r="DT3" s="23" t="s">
        <v>111</v>
      </c>
      <c r="DU3" s="24" t="s">
        <v>112</v>
      </c>
      <c r="DV3" s="22" t="s">
        <v>113</v>
      </c>
      <c r="DW3" s="22" t="s">
        <v>114</v>
      </c>
      <c r="DX3" s="25" t="s">
        <v>115</v>
      </c>
      <c r="DY3" s="23" t="s">
        <v>111</v>
      </c>
      <c r="DZ3" s="24" t="s">
        <v>112</v>
      </c>
      <c r="EA3" s="22" t="s">
        <v>113</v>
      </c>
      <c r="EB3" s="22" t="s">
        <v>114</v>
      </c>
      <c r="EC3" s="25" t="s">
        <v>115</v>
      </c>
      <c r="ED3" s="23" t="s">
        <v>111</v>
      </c>
      <c r="EE3" s="24" t="s">
        <v>112</v>
      </c>
      <c r="EF3" s="22" t="s">
        <v>113</v>
      </c>
      <c r="EG3" s="22" t="s">
        <v>114</v>
      </c>
      <c r="EH3" s="25" t="s">
        <v>115</v>
      </c>
      <c r="EI3" s="23" t="s">
        <v>111</v>
      </c>
      <c r="EJ3" s="24" t="s">
        <v>112</v>
      </c>
      <c r="EK3" s="22" t="s">
        <v>113</v>
      </c>
      <c r="EL3" s="22" t="s">
        <v>114</v>
      </c>
      <c r="EM3" s="25" t="s">
        <v>115</v>
      </c>
      <c r="EN3" s="23" t="s">
        <v>111</v>
      </c>
      <c r="EO3" s="24" t="s">
        <v>112</v>
      </c>
      <c r="EP3" s="22" t="s">
        <v>113</v>
      </c>
      <c r="EQ3" s="22" t="s">
        <v>114</v>
      </c>
      <c r="ER3" s="25" t="s">
        <v>115</v>
      </c>
      <c r="ES3" s="23" t="s">
        <v>111</v>
      </c>
      <c r="ET3" s="24" t="s">
        <v>112</v>
      </c>
      <c r="EU3" s="22" t="s">
        <v>113</v>
      </c>
      <c r="EV3" s="22" t="s">
        <v>114</v>
      </c>
      <c r="EW3" s="25" t="s">
        <v>115</v>
      </c>
    </row>
    <row r="4" spans="1:153" ht="19.5" customHeight="1">
      <c r="A4" s="26">
        <f>IF(DAY(DATE(対象年度,8,1))&lt;&gt;1,"",1)</f>
        <v>1</v>
      </c>
      <c r="B4" s="26" t="str">
        <f>IF(DAY(DATE(対象年度,8,1))&lt;&gt;1,"",CHOOSE(WEEKDAY(DATE(対象年度,8,1),2),"月","火","水","木","金","土","日"))</f>
        <v>土</v>
      </c>
      <c r="C4" s="26" t="str">
        <f>IF(DAY(DATE(対象年度,8,1))&lt;&gt;1,"",IF(ISNUMBER(MATCH(DATE(対象年度,8,1),祝日リスト,0)),"祝",""))</f>
        <v/>
      </c>
      <c r="D4" s="27"/>
      <c r="E4" s="28"/>
      <c r="F4" s="29" t="str">
        <f t="shared" ref="F4:F34" si="0">IF(D4="","",IF(ISNUMBER(SEARCH("夜勤",D4)),"",IF(A4="","","○")))</f>
        <v/>
      </c>
      <c r="G4" s="30" t="str">
        <f t="shared" ref="G4:G34" si="1">IF(A4="","",IF(OR(AND(E4&lt;&gt;"",NOT(OR(E4="有給",E4="休業"))),ISNUMBER(SEARCH("夜勤",D4))),"○",""))</f>
        <v/>
      </c>
      <c r="H4" s="31"/>
      <c r="I4" s="27"/>
      <c r="J4" s="28"/>
      <c r="K4" s="29" t="str">
        <f t="shared" ref="K4:K34" si="2">IF(I4="","",IF(ISNUMBER(SEARCH("夜勤",I4)),"",IF(A4="","","○")))</f>
        <v/>
      </c>
      <c r="L4" s="30" t="str">
        <f t="shared" ref="L4:L34" si="3">IF(A4="","",IF(OR(AND(J4&lt;&gt;"",NOT(OR(J4="有給",J4="休業"))),ISNUMBER(SEARCH("夜勤",I4))),"○",""))</f>
        <v/>
      </c>
      <c r="M4" s="31"/>
      <c r="N4" s="27"/>
      <c r="O4" s="28"/>
      <c r="P4" s="29" t="str">
        <f t="shared" ref="P4:P34" si="4">IF(N4="","",IF(ISNUMBER(SEARCH("夜勤",N4)),"",IF(A4="","","○")))</f>
        <v/>
      </c>
      <c r="Q4" s="30" t="str">
        <f t="shared" ref="Q4:Q34" si="5">IF(A4="","",IF(OR(AND(O4&lt;&gt;"",NOT(OR(O4="有給",O4="休業"))),ISNUMBER(SEARCH("夜勤",N4))),"○",""))</f>
        <v/>
      </c>
      <c r="R4" s="31"/>
      <c r="S4" s="27"/>
      <c r="T4" s="28"/>
      <c r="U4" s="29" t="str">
        <f t="shared" ref="U4:U34" si="6">IF(S4="","",IF(ISNUMBER(SEARCH("夜勤",S4)),"",IF(A4="","","○")))</f>
        <v/>
      </c>
      <c r="V4" s="30" t="str">
        <f t="shared" ref="V4:V34" si="7">IF(A4="","",IF(OR(AND(T4&lt;&gt;"",NOT(OR(T4="有給",T4="休業"))),ISNUMBER(SEARCH("夜勤",S4))),"○",""))</f>
        <v/>
      </c>
      <c r="W4" s="31"/>
      <c r="X4" s="27"/>
      <c r="Y4" s="28"/>
      <c r="Z4" s="29" t="str">
        <f t="shared" ref="Z4:Z34" si="8">IF(X4="","",IF(ISNUMBER(SEARCH("夜勤",X4)),"",IF(A4="","","○")))</f>
        <v/>
      </c>
      <c r="AA4" s="30" t="str">
        <f t="shared" ref="AA4:AA34" si="9">IF(A4="","",IF(OR(AND(Y4&lt;&gt;"",NOT(OR(Y4="有給",Y4="休業"))),ISNUMBER(SEARCH("夜勤",X4))),"○",""))</f>
        <v/>
      </c>
      <c r="AB4" s="31"/>
      <c r="AC4" s="27"/>
      <c r="AD4" s="28"/>
      <c r="AE4" s="29" t="str">
        <f t="shared" ref="AE4:AE34" si="10">IF(AC4="","",IF(ISNUMBER(SEARCH("夜勤",AC4)),"",IF(A4="","","○")))</f>
        <v/>
      </c>
      <c r="AF4" s="30" t="str">
        <f t="shared" ref="AF4:AF34" si="11">IF(A4="","",IF(OR(AND(AD4&lt;&gt;"",NOT(OR(AD4="有給",AD4="休業"))),ISNUMBER(SEARCH("夜勤",AC4))),"○",""))</f>
        <v/>
      </c>
      <c r="AG4" s="31"/>
      <c r="AH4" s="27"/>
      <c r="AI4" s="28"/>
      <c r="AJ4" s="29" t="str">
        <f t="shared" ref="AJ4:AJ34" si="12">IF(AH4="","",IF(ISNUMBER(SEARCH("夜勤",AH4)),"",IF(A4="","","○")))</f>
        <v/>
      </c>
      <c r="AK4" s="30" t="str">
        <f t="shared" ref="AK4:AK34" si="13">IF(A4="","",IF(OR(AND(AI4&lt;&gt;"",NOT(OR(AI4="有給",AI4="休業"))),ISNUMBER(SEARCH("夜勤",AH4))),"○",""))</f>
        <v/>
      </c>
      <c r="AL4" s="31"/>
      <c r="AM4" s="27"/>
      <c r="AN4" s="28"/>
      <c r="AO4" s="29" t="str">
        <f t="shared" ref="AO4:AO34" si="14">IF(AM4="","",IF(ISNUMBER(SEARCH("夜勤",AM4)),"",IF(A4="","","○")))</f>
        <v/>
      </c>
      <c r="AP4" s="30" t="str">
        <f t="shared" ref="AP4:AP34" si="15">IF(A4="","",IF(OR(AND(AN4&lt;&gt;"",NOT(OR(AN4="有給",AN4="休業"))),ISNUMBER(SEARCH("夜勤",AM4))),"○",""))</f>
        <v/>
      </c>
      <c r="AQ4" s="31"/>
      <c r="AR4" s="27"/>
      <c r="AS4" s="28"/>
      <c r="AT4" s="29" t="str">
        <f t="shared" ref="AT4:AT34" si="16">IF(AR4="","",IF(ISNUMBER(SEARCH("夜勤",AR4)),"",IF(A4="","","○")))</f>
        <v/>
      </c>
      <c r="AU4" s="30" t="str">
        <f t="shared" ref="AU4:AU34" si="17">IF(A4="","",IF(OR(AND(AS4&lt;&gt;"",NOT(OR(AS4="有給",AS4="休業"))),ISNUMBER(SEARCH("夜勤",AR4))),"○",""))</f>
        <v/>
      </c>
      <c r="AV4" s="31"/>
      <c r="AW4" s="27"/>
      <c r="AX4" s="28"/>
      <c r="AY4" s="29" t="str">
        <f t="shared" ref="AY4:AY34" si="18">IF(AW4="","",IF(ISNUMBER(SEARCH("夜勤",AW4)),"",IF(A4="","","○")))</f>
        <v/>
      </c>
      <c r="AZ4" s="30" t="str">
        <f t="shared" ref="AZ4:AZ34" si="19">IF(A4="","",IF(OR(AND(AX4&lt;&gt;"",NOT(OR(AX4="有給",AX4="休業"))),ISNUMBER(SEARCH("夜勤",AW4))),"○",""))</f>
        <v/>
      </c>
      <c r="BA4" s="31"/>
      <c r="BB4" s="27"/>
      <c r="BC4" s="28"/>
      <c r="BD4" s="29" t="str">
        <f t="shared" ref="BD4:BD34" si="20">IF(BB4="","",IF(ISNUMBER(SEARCH("夜勤",BB4)),"",IF(A4="","","○")))</f>
        <v/>
      </c>
      <c r="BE4" s="30" t="str">
        <f t="shared" ref="BE4:BE34" si="21">IF(A4="","",IF(OR(AND(BC4&lt;&gt;"",NOT(OR(BC4="有給",BC4="休業"))),ISNUMBER(SEARCH("夜勤",BB4))),"○",""))</f>
        <v/>
      </c>
      <c r="BF4" s="31"/>
      <c r="BG4" s="27"/>
      <c r="BH4" s="28"/>
      <c r="BI4" s="29" t="str">
        <f t="shared" ref="BI4:BI34" si="22">IF(BG4="","",IF(ISNUMBER(SEARCH("夜勤",BG4)),"",IF(A4="","","○")))</f>
        <v/>
      </c>
      <c r="BJ4" s="30" t="str">
        <f t="shared" ref="BJ4:BJ34" si="23">IF(A4="","",IF(OR(AND(BH4&lt;&gt;"",NOT(OR(BH4="有給",BH4="休業"))),ISNUMBER(SEARCH("夜勤",BG4))),"○",""))</f>
        <v/>
      </c>
      <c r="BK4" s="31"/>
      <c r="BL4" s="27"/>
      <c r="BM4" s="28"/>
      <c r="BN4" s="29" t="str">
        <f t="shared" ref="BN4:BN34" si="24">IF(BL4="","",IF(ISNUMBER(SEARCH("夜勤",BL4)),"",IF(A4="","","○")))</f>
        <v/>
      </c>
      <c r="BO4" s="30" t="str">
        <f t="shared" ref="BO4:BO34" si="25">IF(A4="","",IF(OR(AND(BM4&lt;&gt;"",NOT(OR(BM4="有給",BM4="休業"))),ISNUMBER(SEARCH("夜勤",BL4))),"○",""))</f>
        <v/>
      </c>
      <c r="BP4" s="31"/>
      <c r="BQ4" s="27"/>
      <c r="BR4" s="28"/>
      <c r="BS4" s="29" t="str">
        <f t="shared" ref="BS4:BS34" si="26">IF(BQ4="","",IF(ISNUMBER(SEARCH("夜勤",BQ4)),"",IF(A4="","","○")))</f>
        <v/>
      </c>
      <c r="BT4" s="30" t="str">
        <f t="shared" ref="BT4:BT34" si="27">IF(A4="","",IF(OR(AND(BR4&lt;&gt;"",NOT(OR(BR4="有給",BR4="休業"))),ISNUMBER(SEARCH("夜勤",BQ4))),"○",""))</f>
        <v/>
      </c>
      <c r="BU4" s="31"/>
      <c r="BV4" s="27"/>
      <c r="BW4" s="28"/>
      <c r="BX4" s="29" t="str">
        <f t="shared" ref="BX4:BX34" si="28">IF(BV4="","",IF(ISNUMBER(SEARCH("夜勤",BV4)),"",IF(A4="","","○")))</f>
        <v/>
      </c>
      <c r="BY4" s="30" t="str">
        <f t="shared" ref="BY4:BY34" si="29">IF(A4="","",IF(OR(AND(BW4&lt;&gt;"",NOT(OR(BW4="有給",BW4="休業"))),ISNUMBER(SEARCH("夜勤",BV4))),"○",""))</f>
        <v/>
      </c>
      <c r="BZ4" s="31"/>
      <c r="CA4" s="27"/>
      <c r="CB4" s="28"/>
      <c r="CC4" s="29" t="str">
        <f t="shared" ref="CC4:CC34" si="30">IF(CA4="","",IF(ISNUMBER(SEARCH("夜勤",CA4)),"",IF(A4="","","○")))</f>
        <v/>
      </c>
      <c r="CD4" s="30" t="str">
        <f t="shared" ref="CD4:CD34" si="31">IF(A4="","",IF(OR(AND(CB4&lt;&gt;"",NOT(OR(CB4="有給",CB4="休業"))),ISNUMBER(SEARCH("夜勤",CA4))),"○",""))</f>
        <v/>
      </c>
      <c r="CE4" s="31"/>
      <c r="CF4" s="27"/>
      <c r="CG4" s="28"/>
      <c r="CH4" s="29" t="str">
        <f t="shared" ref="CH4:CH34" si="32">IF(CF4="","",IF(ISNUMBER(SEARCH("夜勤",CF4)),"",IF(A4="","","○")))</f>
        <v/>
      </c>
      <c r="CI4" s="30" t="str">
        <f t="shared" ref="CI4:CI34" si="33">IF(A4="","",IF(OR(AND(CG4&lt;&gt;"",NOT(OR(CG4="有給",CG4="休業"))),ISNUMBER(SEARCH("夜勤",CF4))),"○",""))</f>
        <v/>
      </c>
      <c r="CJ4" s="31"/>
      <c r="CK4" s="27"/>
      <c r="CL4" s="28"/>
      <c r="CM4" s="29" t="str">
        <f t="shared" ref="CM4:CM34" si="34">IF(CK4="","",IF(ISNUMBER(SEARCH("夜勤",CK4)),"",IF(A4="","","○")))</f>
        <v/>
      </c>
      <c r="CN4" s="30" t="str">
        <f t="shared" ref="CN4:CN34" si="35">IF(A4="","",IF(OR(AND(CL4&lt;&gt;"",NOT(OR(CL4="有給",CL4="休業"))),ISNUMBER(SEARCH("夜勤",CK4))),"○",""))</f>
        <v/>
      </c>
      <c r="CO4" s="31"/>
      <c r="CP4" s="27"/>
      <c r="CQ4" s="28"/>
      <c r="CR4" s="29" t="str">
        <f t="shared" ref="CR4:CR34" si="36">IF(CP4="","",IF(ISNUMBER(SEARCH("夜勤",CP4)),"",IF(A4="","","○")))</f>
        <v/>
      </c>
      <c r="CS4" s="30" t="str">
        <f t="shared" ref="CS4:CS34" si="37">IF(A4="","",IF(OR(AND(CQ4&lt;&gt;"",NOT(OR(CQ4="有給",CQ4="休業"))),ISNUMBER(SEARCH("夜勤",CP4))),"○",""))</f>
        <v/>
      </c>
      <c r="CT4" s="31"/>
      <c r="CU4" s="27"/>
      <c r="CV4" s="28"/>
      <c r="CW4" s="29" t="str">
        <f t="shared" ref="CW4:CW34" si="38">IF(CU4="","",IF(ISNUMBER(SEARCH("夜勤",CU4)),"",IF(A4="","","○")))</f>
        <v/>
      </c>
      <c r="CX4" s="30" t="str">
        <f t="shared" ref="CX4:CX34" si="39">IF(A4="","",IF(OR(AND(CV4&lt;&gt;"",NOT(OR(CV4="有給",CV4="休業"))),ISNUMBER(SEARCH("夜勤",CU4))),"○",""))</f>
        <v/>
      </c>
      <c r="CY4" s="31"/>
      <c r="CZ4" s="27"/>
      <c r="DA4" s="28"/>
      <c r="DB4" s="29" t="str">
        <f t="shared" ref="DB4:DB34" si="40">IF(CZ4="","",IF(ISNUMBER(SEARCH("夜勤",CZ4)),"",IF(A4="","","○")))</f>
        <v/>
      </c>
      <c r="DC4" s="30" t="str">
        <f t="shared" ref="DC4:DC34" si="41">IF(A4="","",IF(OR(AND(DA4&lt;&gt;"",NOT(OR(DA4="有給",DA4="休業"))),ISNUMBER(SEARCH("夜勤",CZ4))),"○",""))</f>
        <v/>
      </c>
      <c r="DD4" s="31"/>
      <c r="DE4" s="27"/>
      <c r="DF4" s="28"/>
      <c r="DG4" s="29" t="str">
        <f t="shared" ref="DG4:DG34" si="42">IF(DE4="","",IF(ISNUMBER(SEARCH("夜勤",DE4)),"",IF(A4="","","○")))</f>
        <v/>
      </c>
      <c r="DH4" s="30" t="str">
        <f t="shared" ref="DH4:DH34" si="43">IF(A4="","",IF(OR(AND(DF4&lt;&gt;"",NOT(OR(DF4="有給",DF4="休業"))),ISNUMBER(SEARCH("夜勤",DE4))),"○",""))</f>
        <v/>
      </c>
      <c r="DI4" s="31"/>
      <c r="DJ4" s="27"/>
      <c r="DK4" s="28"/>
      <c r="DL4" s="29" t="str">
        <f t="shared" ref="DL4:DL34" si="44">IF(DJ4="","",IF(ISNUMBER(SEARCH("夜勤",DJ4)),"",IF(A4="","","○")))</f>
        <v/>
      </c>
      <c r="DM4" s="30" t="str">
        <f t="shared" ref="DM4:DM34" si="45">IF(A4="","",IF(OR(AND(DK4&lt;&gt;"",NOT(OR(DK4="有給",DK4="休業"))),ISNUMBER(SEARCH("夜勤",DJ4))),"○",""))</f>
        <v/>
      </c>
      <c r="DN4" s="31"/>
      <c r="DO4" s="27"/>
      <c r="DP4" s="28"/>
      <c r="DQ4" s="29" t="str">
        <f t="shared" ref="DQ4:DQ34" si="46">IF(DO4="","",IF(ISNUMBER(SEARCH("夜勤",DO4)),"",IF(A4="","","○")))</f>
        <v/>
      </c>
      <c r="DR4" s="30" t="str">
        <f t="shared" ref="DR4:DR34" si="47">IF(A4="","",IF(OR(AND(DP4&lt;&gt;"",NOT(OR(DP4="有給",DP4="休業"))),ISNUMBER(SEARCH("夜勤",DO4))),"○",""))</f>
        <v/>
      </c>
      <c r="DS4" s="31"/>
      <c r="DT4" s="27"/>
      <c r="DU4" s="28"/>
      <c r="DV4" s="29" t="str">
        <f t="shared" ref="DV4:DV34" si="48">IF(DT4="","",IF(ISNUMBER(SEARCH("夜勤",DT4)),"",IF(A4="","","○")))</f>
        <v/>
      </c>
      <c r="DW4" s="30" t="str">
        <f t="shared" ref="DW4:DW34" si="49">IF(A4="","",IF(OR(AND(DU4&lt;&gt;"",NOT(OR(DU4="有給",DU4="休業"))),ISNUMBER(SEARCH("夜勤",DT4))),"○",""))</f>
        <v/>
      </c>
      <c r="DX4" s="31"/>
      <c r="DY4" s="27"/>
      <c r="DZ4" s="28"/>
      <c r="EA4" s="29" t="str">
        <f t="shared" ref="EA4:EA34" si="50">IF(DY4="","",IF(ISNUMBER(SEARCH("夜勤",DY4)),"",IF(A4="","","○")))</f>
        <v/>
      </c>
      <c r="EB4" s="30" t="str">
        <f t="shared" ref="EB4:EB34" si="51">IF(A4="","",IF(OR(AND(DZ4&lt;&gt;"",NOT(OR(DZ4="有給",DZ4="休業"))),ISNUMBER(SEARCH("夜勤",DY4))),"○",""))</f>
        <v/>
      </c>
      <c r="EC4" s="31"/>
      <c r="ED4" s="27"/>
      <c r="EE4" s="28"/>
      <c r="EF4" s="29" t="str">
        <f t="shared" ref="EF4:EF34" si="52">IF(ED4="","",IF(ISNUMBER(SEARCH("夜勤",ED4)),"",IF(A4="","","○")))</f>
        <v/>
      </c>
      <c r="EG4" s="30" t="str">
        <f t="shared" ref="EG4:EG34" si="53">IF(A4="","",IF(OR(AND(EE4&lt;&gt;"",NOT(OR(EE4="有給",EE4="休業"))),ISNUMBER(SEARCH("夜勤",ED4))),"○",""))</f>
        <v/>
      </c>
      <c r="EH4" s="31"/>
      <c r="EI4" s="27"/>
      <c r="EJ4" s="28"/>
      <c r="EK4" s="29" t="str">
        <f t="shared" ref="EK4:EK34" si="54">IF(EI4="","",IF(ISNUMBER(SEARCH("夜勤",EI4)),"",IF(A4="","","○")))</f>
        <v/>
      </c>
      <c r="EL4" s="30" t="str">
        <f t="shared" ref="EL4:EL34" si="55">IF(A4="","",IF(OR(AND(EJ4&lt;&gt;"",NOT(OR(EJ4="有給",EJ4="休業"))),ISNUMBER(SEARCH("夜勤",EI4))),"○",""))</f>
        <v/>
      </c>
      <c r="EM4" s="31"/>
      <c r="EN4" s="27"/>
      <c r="EO4" s="28"/>
      <c r="EP4" s="29" t="str">
        <f t="shared" ref="EP4:EP34" si="56">IF(EN4="","",IF(ISNUMBER(SEARCH("夜勤",EN4)),"",IF(A4="","","○")))</f>
        <v/>
      </c>
      <c r="EQ4" s="30" t="str">
        <f t="shared" ref="EQ4:EQ34" si="57">IF(A4="","",IF(OR(AND(EO4&lt;&gt;"",NOT(OR(EO4="有給",EO4="休業"))),ISNUMBER(SEARCH("夜勤",EN4))),"○",""))</f>
        <v/>
      </c>
      <c r="ER4" s="31"/>
      <c r="ES4" s="27"/>
      <c r="ET4" s="28"/>
      <c r="EU4" s="29" t="str">
        <f t="shared" ref="EU4:EU34" si="58">IF(ES4="","",IF(ISNUMBER(SEARCH("夜勤",ES4)),"",IF(A4="","","○")))</f>
        <v/>
      </c>
      <c r="EV4" s="30" t="str">
        <f t="shared" ref="EV4:EV34" si="59">IF(A4="","",IF(OR(AND(ET4&lt;&gt;"",NOT(OR(ET4="有給",ET4="休業"))),ISNUMBER(SEARCH("夜勤",ES4))),"○",""))</f>
        <v/>
      </c>
      <c r="EW4" s="31"/>
    </row>
    <row r="5" spans="1:153" ht="19.5" customHeight="1">
      <c r="A5" s="32">
        <f>IF(DAY(DATE(対象年度,8,2))&lt;&gt;2,"",2)</f>
        <v>2</v>
      </c>
      <c r="B5" s="32" t="str">
        <f>IF(DAY(DATE(対象年度,8,2))&lt;&gt;2,"",CHOOSE(WEEKDAY(DATE(対象年度,8,2),2),"月","火","水","木","金","土","日"))</f>
        <v>日</v>
      </c>
      <c r="C5" s="32" t="str">
        <f>IF(DAY(DATE(対象年度,8,2))&lt;&gt;2,"",IF(ISNUMBER(MATCH(DATE(対象年度,8,2),祝日リスト,0)),"祝",""))</f>
        <v/>
      </c>
      <c r="D5" s="33"/>
      <c r="E5" s="34"/>
      <c r="F5" s="35" t="str">
        <f t="shared" si="0"/>
        <v/>
      </c>
      <c r="G5" s="36" t="str">
        <f t="shared" si="1"/>
        <v/>
      </c>
      <c r="H5" s="37"/>
      <c r="I5" s="33"/>
      <c r="J5" s="34"/>
      <c r="K5" s="35" t="str">
        <f t="shared" si="2"/>
        <v/>
      </c>
      <c r="L5" s="36" t="str">
        <f t="shared" si="3"/>
        <v/>
      </c>
      <c r="M5" s="37"/>
      <c r="N5" s="33"/>
      <c r="O5" s="34"/>
      <c r="P5" s="35" t="str">
        <f t="shared" si="4"/>
        <v/>
      </c>
      <c r="Q5" s="36" t="str">
        <f t="shared" si="5"/>
        <v/>
      </c>
      <c r="R5" s="37"/>
      <c r="S5" s="33"/>
      <c r="T5" s="34"/>
      <c r="U5" s="35" t="str">
        <f t="shared" si="6"/>
        <v/>
      </c>
      <c r="V5" s="36" t="str">
        <f t="shared" si="7"/>
        <v/>
      </c>
      <c r="W5" s="37"/>
      <c r="X5" s="33"/>
      <c r="Y5" s="34"/>
      <c r="Z5" s="35" t="str">
        <f t="shared" si="8"/>
        <v/>
      </c>
      <c r="AA5" s="36" t="str">
        <f t="shared" si="9"/>
        <v/>
      </c>
      <c r="AB5" s="37"/>
      <c r="AC5" s="33"/>
      <c r="AD5" s="34"/>
      <c r="AE5" s="35" t="str">
        <f t="shared" si="10"/>
        <v/>
      </c>
      <c r="AF5" s="36" t="str">
        <f t="shared" si="11"/>
        <v/>
      </c>
      <c r="AG5" s="37"/>
      <c r="AH5" s="33"/>
      <c r="AI5" s="34"/>
      <c r="AJ5" s="35" t="str">
        <f t="shared" si="12"/>
        <v/>
      </c>
      <c r="AK5" s="36" t="str">
        <f t="shared" si="13"/>
        <v/>
      </c>
      <c r="AL5" s="37"/>
      <c r="AM5" s="33"/>
      <c r="AN5" s="34"/>
      <c r="AO5" s="35" t="str">
        <f t="shared" si="14"/>
        <v/>
      </c>
      <c r="AP5" s="36" t="str">
        <f t="shared" si="15"/>
        <v/>
      </c>
      <c r="AQ5" s="37"/>
      <c r="AR5" s="33"/>
      <c r="AS5" s="34"/>
      <c r="AT5" s="35" t="str">
        <f t="shared" si="16"/>
        <v/>
      </c>
      <c r="AU5" s="36" t="str">
        <f t="shared" si="17"/>
        <v/>
      </c>
      <c r="AV5" s="37"/>
      <c r="AW5" s="33"/>
      <c r="AX5" s="34"/>
      <c r="AY5" s="35" t="str">
        <f t="shared" si="18"/>
        <v/>
      </c>
      <c r="AZ5" s="36" t="str">
        <f t="shared" si="19"/>
        <v/>
      </c>
      <c r="BA5" s="37"/>
      <c r="BB5" s="33"/>
      <c r="BC5" s="34"/>
      <c r="BD5" s="35" t="str">
        <f t="shared" si="20"/>
        <v/>
      </c>
      <c r="BE5" s="36" t="str">
        <f t="shared" si="21"/>
        <v/>
      </c>
      <c r="BF5" s="37"/>
      <c r="BG5" s="33"/>
      <c r="BH5" s="34"/>
      <c r="BI5" s="35" t="str">
        <f t="shared" si="22"/>
        <v/>
      </c>
      <c r="BJ5" s="36" t="str">
        <f t="shared" si="23"/>
        <v/>
      </c>
      <c r="BK5" s="37"/>
      <c r="BL5" s="33"/>
      <c r="BM5" s="34"/>
      <c r="BN5" s="35" t="str">
        <f t="shared" si="24"/>
        <v/>
      </c>
      <c r="BO5" s="36" t="str">
        <f t="shared" si="25"/>
        <v/>
      </c>
      <c r="BP5" s="37"/>
      <c r="BQ5" s="33"/>
      <c r="BR5" s="34"/>
      <c r="BS5" s="35" t="str">
        <f t="shared" si="26"/>
        <v/>
      </c>
      <c r="BT5" s="36" t="str">
        <f t="shared" si="27"/>
        <v/>
      </c>
      <c r="BU5" s="37"/>
      <c r="BV5" s="33"/>
      <c r="BW5" s="34"/>
      <c r="BX5" s="35" t="str">
        <f t="shared" si="28"/>
        <v/>
      </c>
      <c r="BY5" s="36" t="str">
        <f t="shared" si="29"/>
        <v/>
      </c>
      <c r="BZ5" s="37"/>
      <c r="CA5" s="33"/>
      <c r="CB5" s="34"/>
      <c r="CC5" s="35" t="str">
        <f t="shared" si="30"/>
        <v/>
      </c>
      <c r="CD5" s="36" t="str">
        <f t="shared" si="31"/>
        <v/>
      </c>
      <c r="CE5" s="37"/>
      <c r="CF5" s="33"/>
      <c r="CG5" s="34"/>
      <c r="CH5" s="35" t="str">
        <f t="shared" si="32"/>
        <v/>
      </c>
      <c r="CI5" s="36" t="str">
        <f t="shared" si="33"/>
        <v/>
      </c>
      <c r="CJ5" s="37"/>
      <c r="CK5" s="33"/>
      <c r="CL5" s="34"/>
      <c r="CM5" s="35" t="str">
        <f t="shared" si="34"/>
        <v/>
      </c>
      <c r="CN5" s="36" t="str">
        <f t="shared" si="35"/>
        <v/>
      </c>
      <c r="CO5" s="37"/>
      <c r="CP5" s="33"/>
      <c r="CQ5" s="34"/>
      <c r="CR5" s="35" t="str">
        <f t="shared" si="36"/>
        <v/>
      </c>
      <c r="CS5" s="36" t="str">
        <f t="shared" si="37"/>
        <v/>
      </c>
      <c r="CT5" s="37"/>
      <c r="CU5" s="33"/>
      <c r="CV5" s="34"/>
      <c r="CW5" s="35" t="str">
        <f t="shared" si="38"/>
        <v/>
      </c>
      <c r="CX5" s="36" t="str">
        <f t="shared" si="39"/>
        <v/>
      </c>
      <c r="CY5" s="37"/>
      <c r="CZ5" s="33"/>
      <c r="DA5" s="34"/>
      <c r="DB5" s="35" t="str">
        <f t="shared" si="40"/>
        <v/>
      </c>
      <c r="DC5" s="36" t="str">
        <f t="shared" si="41"/>
        <v/>
      </c>
      <c r="DD5" s="37"/>
      <c r="DE5" s="33"/>
      <c r="DF5" s="34"/>
      <c r="DG5" s="35" t="str">
        <f t="shared" si="42"/>
        <v/>
      </c>
      <c r="DH5" s="36" t="str">
        <f t="shared" si="43"/>
        <v/>
      </c>
      <c r="DI5" s="37"/>
      <c r="DJ5" s="33"/>
      <c r="DK5" s="34"/>
      <c r="DL5" s="35" t="str">
        <f t="shared" si="44"/>
        <v/>
      </c>
      <c r="DM5" s="36" t="str">
        <f t="shared" si="45"/>
        <v/>
      </c>
      <c r="DN5" s="37"/>
      <c r="DO5" s="33"/>
      <c r="DP5" s="34"/>
      <c r="DQ5" s="35" t="str">
        <f t="shared" si="46"/>
        <v/>
      </c>
      <c r="DR5" s="36" t="str">
        <f t="shared" si="47"/>
        <v/>
      </c>
      <c r="DS5" s="37"/>
      <c r="DT5" s="33"/>
      <c r="DU5" s="34"/>
      <c r="DV5" s="35" t="str">
        <f t="shared" si="48"/>
        <v/>
      </c>
      <c r="DW5" s="36" t="str">
        <f t="shared" si="49"/>
        <v/>
      </c>
      <c r="DX5" s="37"/>
      <c r="DY5" s="33"/>
      <c r="DZ5" s="34"/>
      <c r="EA5" s="35" t="str">
        <f t="shared" si="50"/>
        <v/>
      </c>
      <c r="EB5" s="36" t="str">
        <f t="shared" si="51"/>
        <v/>
      </c>
      <c r="EC5" s="37"/>
      <c r="ED5" s="33"/>
      <c r="EE5" s="34"/>
      <c r="EF5" s="35" t="str">
        <f t="shared" si="52"/>
        <v/>
      </c>
      <c r="EG5" s="36" t="str">
        <f t="shared" si="53"/>
        <v/>
      </c>
      <c r="EH5" s="37"/>
      <c r="EI5" s="33"/>
      <c r="EJ5" s="34"/>
      <c r="EK5" s="35" t="str">
        <f t="shared" si="54"/>
        <v/>
      </c>
      <c r="EL5" s="36" t="str">
        <f t="shared" si="55"/>
        <v/>
      </c>
      <c r="EM5" s="37"/>
      <c r="EN5" s="33"/>
      <c r="EO5" s="34"/>
      <c r="EP5" s="35" t="str">
        <f t="shared" si="56"/>
        <v/>
      </c>
      <c r="EQ5" s="36" t="str">
        <f t="shared" si="57"/>
        <v/>
      </c>
      <c r="ER5" s="37"/>
      <c r="ES5" s="33"/>
      <c r="ET5" s="34"/>
      <c r="EU5" s="35" t="str">
        <f t="shared" si="58"/>
        <v/>
      </c>
      <c r="EV5" s="36" t="str">
        <f t="shared" si="59"/>
        <v/>
      </c>
      <c r="EW5" s="37"/>
    </row>
    <row r="6" spans="1:153" ht="19.5" customHeight="1">
      <c r="A6" s="32">
        <f>IF(DAY(DATE(対象年度,8,3))&lt;&gt;3,"",3)</f>
        <v>3</v>
      </c>
      <c r="B6" s="32" t="str">
        <f>IF(DAY(DATE(対象年度,8,3))&lt;&gt;3,"",CHOOSE(WEEKDAY(DATE(対象年度,8,3),2),"月","火","水","木","金","土","日"))</f>
        <v>月</v>
      </c>
      <c r="C6" s="32" t="str">
        <f>IF(DAY(DATE(対象年度,8,3))&lt;&gt;3,"",IF(ISNUMBER(MATCH(DATE(対象年度,8,3),祝日リスト,0)),"祝",""))</f>
        <v/>
      </c>
      <c r="D6" s="33"/>
      <c r="E6" s="34"/>
      <c r="F6" s="35" t="str">
        <f t="shared" si="0"/>
        <v/>
      </c>
      <c r="G6" s="36" t="str">
        <f t="shared" si="1"/>
        <v/>
      </c>
      <c r="H6" s="37"/>
      <c r="I6" s="33"/>
      <c r="J6" s="34"/>
      <c r="K6" s="35" t="str">
        <f t="shared" si="2"/>
        <v/>
      </c>
      <c r="L6" s="36" t="str">
        <f t="shared" si="3"/>
        <v/>
      </c>
      <c r="M6" s="37"/>
      <c r="N6" s="33"/>
      <c r="O6" s="34"/>
      <c r="P6" s="35" t="str">
        <f t="shared" si="4"/>
        <v/>
      </c>
      <c r="Q6" s="36" t="str">
        <f t="shared" si="5"/>
        <v/>
      </c>
      <c r="R6" s="37"/>
      <c r="S6" s="33"/>
      <c r="T6" s="34"/>
      <c r="U6" s="35" t="str">
        <f t="shared" si="6"/>
        <v/>
      </c>
      <c r="V6" s="36" t="str">
        <f t="shared" si="7"/>
        <v/>
      </c>
      <c r="W6" s="37"/>
      <c r="X6" s="33"/>
      <c r="Y6" s="34"/>
      <c r="Z6" s="35" t="str">
        <f t="shared" si="8"/>
        <v/>
      </c>
      <c r="AA6" s="36" t="str">
        <f t="shared" si="9"/>
        <v/>
      </c>
      <c r="AB6" s="37"/>
      <c r="AC6" s="33"/>
      <c r="AD6" s="34"/>
      <c r="AE6" s="35" t="str">
        <f t="shared" si="10"/>
        <v/>
      </c>
      <c r="AF6" s="36" t="str">
        <f t="shared" si="11"/>
        <v/>
      </c>
      <c r="AG6" s="37"/>
      <c r="AH6" s="33"/>
      <c r="AI6" s="34"/>
      <c r="AJ6" s="35" t="str">
        <f t="shared" si="12"/>
        <v/>
      </c>
      <c r="AK6" s="36" t="str">
        <f t="shared" si="13"/>
        <v/>
      </c>
      <c r="AL6" s="37"/>
      <c r="AM6" s="33"/>
      <c r="AN6" s="34"/>
      <c r="AO6" s="35" t="str">
        <f t="shared" si="14"/>
        <v/>
      </c>
      <c r="AP6" s="36" t="str">
        <f t="shared" si="15"/>
        <v/>
      </c>
      <c r="AQ6" s="37"/>
      <c r="AR6" s="33"/>
      <c r="AS6" s="34"/>
      <c r="AT6" s="35" t="str">
        <f t="shared" si="16"/>
        <v/>
      </c>
      <c r="AU6" s="36" t="str">
        <f t="shared" si="17"/>
        <v/>
      </c>
      <c r="AV6" s="37"/>
      <c r="AW6" s="33"/>
      <c r="AX6" s="34"/>
      <c r="AY6" s="35" t="str">
        <f t="shared" si="18"/>
        <v/>
      </c>
      <c r="AZ6" s="36" t="str">
        <f t="shared" si="19"/>
        <v/>
      </c>
      <c r="BA6" s="37"/>
      <c r="BB6" s="33"/>
      <c r="BC6" s="34"/>
      <c r="BD6" s="35" t="str">
        <f t="shared" si="20"/>
        <v/>
      </c>
      <c r="BE6" s="36" t="str">
        <f t="shared" si="21"/>
        <v/>
      </c>
      <c r="BF6" s="37"/>
      <c r="BG6" s="33"/>
      <c r="BH6" s="34"/>
      <c r="BI6" s="35" t="str">
        <f t="shared" si="22"/>
        <v/>
      </c>
      <c r="BJ6" s="36" t="str">
        <f t="shared" si="23"/>
        <v/>
      </c>
      <c r="BK6" s="37"/>
      <c r="BL6" s="33"/>
      <c r="BM6" s="34"/>
      <c r="BN6" s="35" t="str">
        <f t="shared" si="24"/>
        <v/>
      </c>
      <c r="BO6" s="36" t="str">
        <f t="shared" si="25"/>
        <v/>
      </c>
      <c r="BP6" s="37"/>
      <c r="BQ6" s="33"/>
      <c r="BR6" s="34"/>
      <c r="BS6" s="35" t="str">
        <f t="shared" si="26"/>
        <v/>
      </c>
      <c r="BT6" s="36" t="str">
        <f t="shared" si="27"/>
        <v/>
      </c>
      <c r="BU6" s="37"/>
      <c r="BV6" s="33"/>
      <c r="BW6" s="34"/>
      <c r="BX6" s="35" t="str">
        <f t="shared" si="28"/>
        <v/>
      </c>
      <c r="BY6" s="36" t="str">
        <f t="shared" si="29"/>
        <v/>
      </c>
      <c r="BZ6" s="37"/>
      <c r="CA6" s="33"/>
      <c r="CB6" s="34"/>
      <c r="CC6" s="35" t="str">
        <f t="shared" si="30"/>
        <v/>
      </c>
      <c r="CD6" s="36" t="str">
        <f t="shared" si="31"/>
        <v/>
      </c>
      <c r="CE6" s="37"/>
      <c r="CF6" s="33"/>
      <c r="CG6" s="34"/>
      <c r="CH6" s="35" t="str">
        <f t="shared" si="32"/>
        <v/>
      </c>
      <c r="CI6" s="36" t="str">
        <f t="shared" si="33"/>
        <v/>
      </c>
      <c r="CJ6" s="37"/>
      <c r="CK6" s="33"/>
      <c r="CL6" s="34"/>
      <c r="CM6" s="35" t="str">
        <f t="shared" si="34"/>
        <v/>
      </c>
      <c r="CN6" s="36" t="str">
        <f t="shared" si="35"/>
        <v/>
      </c>
      <c r="CO6" s="37"/>
      <c r="CP6" s="33"/>
      <c r="CQ6" s="34"/>
      <c r="CR6" s="35" t="str">
        <f t="shared" si="36"/>
        <v/>
      </c>
      <c r="CS6" s="36" t="str">
        <f t="shared" si="37"/>
        <v/>
      </c>
      <c r="CT6" s="37"/>
      <c r="CU6" s="33"/>
      <c r="CV6" s="34"/>
      <c r="CW6" s="35" t="str">
        <f t="shared" si="38"/>
        <v/>
      </c>
      <c r="CX6" s="36" t="str">
        <f t="shared" si="39"/>
        <v/>
      </c>
      <c r="CY6" s="37"/>
      <c r="CZ6" s="33"/>
      <c r="DA6" s="34"/>
      <c r="DB6" s="35" t="str">
        <f t="shared" si="40"/>
        <v/>
      </c>
      <c r="DC6" s="36" t="str">
        <f t="shared" si="41"/>
        <v/>
      </c>
      <c r="DD6" s="37"/>
      <c r="DE6" s="33"/>
      <c r="DF6" s="34"/>
      <c r="DG6" s="35" t="str">
        <f t="shared" si="42"/>
        <v/>
      </c>
      <c r="DH6" s="36" t="str">
        <f t="shared" si="43"/>
        <v/>
      </c>
      <c r="DI6" s="37"/>
      <c r="DJ6" s="33"/>
      <c r="DK6" s="34"/>
      <c r="DL6" s="35" t="str">
        <f t="shared" si="44"/>
        <v/>
      </c>
      <c r="DM6" s="36" t="str">
        <f t="shared" si="45"/>
        <v/>
      </c>
      <c r="DN6" s="37"/>
      <c r="DO6" s="33"/>
      <c r="DP6" s="34"/>
      <c r="DQ6" s="35" t="str">
        <f t="shared" si="46"/>
        <v/>
      </c>
      <c r="DR6" s="36" t="str">
        <f t="shared" si="47"/>
        <v/>
      </c>
      <c r="DS6" s="37"/>
      <c r="DT6" s="33"/>
      <c r="DU6" s="34"/>
      <c r="DV6" s="35" t="str">
        <f t="shared" si="48"/>
        <v/>
      </c>
      <c r="DW6" s="36" t="str">
        <f t="shared" si="49"/>
        <v/>
      </c>
      <c r="DX6" s="37"/>
      <c r="DY6" s="33"/>
      <c r="DZ6" s="34"/>
      <c r="EA6" s="35" t="str">
        <f t="shared" si="50"/>
        <v/>
      </c>
      <c r="EB6" s="36" t="str">
        <f t="shared" si="51"/>
        <v/>
      </c>
      <c r="EC6" s="37"/>
      <c r="ED6" s="33"/>
      <c r="EE6" s="34"/>
      <c r="EF6" s="35" t="str">
        <f t="shared" si="52"/>
        <v/>
      </c>
      <c r="EG6" s="36" t="str">
        <f t="shared" si="53"/>
        <v/>
      </c>
      <c r="EH6" s="37"/>
      <c r="EI6" s="33"/>
      <c r="EJ6" s="34"/>
      <c r="EK6" s="35" t="str">
        <f t="shared" si="54"/>
        <v/>
      </c>
      <c r="EL6" s="36" t="str">
        <f t="shared" si="55"/>
        <v/>
      </c>
      <c r="EM6" s="37"/>
      <c r="EN6" s="33"/>
      <c r="EO6" s="34"/>
      <c r="EP6" s="35" t="str">
        <f t="shared" si="56"/>
        <v/>
      </c>
      <c r="EQ6" s="36" t="str">
        <f t="shared" si="57"/>
        <v/>
      </c>
      <c r="ER6" s="37"/>
      <c r="ES6" s="33"/>
      <c r="ET6" s="34"/>
      <c r="EU6" s="35" t="str">
        <f t="shared" si="58"/>
        <v/>
      </c>
      <c r="EV6" s="36" t="str">
        <f t="shared" si="59"/>
        <v/>
      </c>
      <c r="EW6" s="37"/>
    </row>
    <row r="7" spans="1:153" ht="19.5" customHeight="1">
      <c r="A7" s="32">
        <f>IF(DAY(DATE(対象年度,8,4))&lt;&gt;4,"",4)</f>
        <v>4</v>
      </c>
      <c r="B7" s="32" t="str">
        <f>IF(DAY(DATE(対象年度,8,4))&lt;&gt;4,"",CHOOSE(WEEKDAY(DATE(対象年度,8,4),2),"月","火","水","木","金","土","日"))</f>
        <v>火</v>
      </c>
      <c r="C7" s="32" t="str">
        <f>IF(DAY(DATE(対象年度,8,4))&lt;&gt;4,"",IF(ISNUMBER(MATCH(DATE(対象年度,8,4),祝日リスト,0)),"祝",""))</f>
        <v/>
      </c>
      <c r="D7" s="33"/>
      <c r="E7" s="34"/>
      <c r="F7" s="35" t="str">
        <f t="shared" si="0"/>
        <v/>
      </c>
      <c r="G7" s="36" t="str">
        <f t="shared" si="1"/>
        <v/>
      </c>
      <c r="H7" s="37"/>
      <c r="I7" s="33"/>
      <c r="J7" s="34"/>
      <c r="K7" s="35" t="str">
        <f t="shared" si="2"/>
        <v/>
      </c>
      <c r="L7" s="36" t="str">
        <f t="shared" si="3"/>
        <v/>
      </c>
      <c r="M7" s="37"/>
      <c r="N7" s="33"/>
      <c r="O7" s="34"/>
      <c r="P7" s="35" t="str">
        <f t="shared" si="4"/>
        <v/>
      </c>
      <c r="Q7" s="36" t="str">
        <f t="shared" si="5"/>
        <v/>
      </c>
      <c r="R7" s="37"/>
      <c r="S7" s="33"/>
      <c r="T7" s="34"/>
      <c r="U7" s="35" t="str">
        <f t="shared" si="6"/>
        <v/>
      </c>
      <c r="V7" s="36" t="str">
        <f t="shared" si="7"/>
        <v/>
      </c>
      <c r="W7" s="37"/>
      <c r="X7" s="33"/>
      <c r="Y7" s="34"/>
      <c r="Z7" s="35" t="str">
        <f t="shared" si="8"/>
        <v/>
      </c>
      <c r="AA7" s="36" t="str">
        <f t="shared" si="9"/>
        <v/>
      </c>
      <c r="AB7" s="37"/>
      <c r="AC7" s="33"/>
      <c r="AD7" s="34"/>
      <c r="AE7" s="35" t="str">
        <f t="shared" si="10"/>
        <v/>
      </c>
      <c r="AF7" s="36" t="str">
        <f t="shared" si="11"/>
        <v/>
      </c>
      <c r="AG7" s="37"/>
      <c r="AH7" s="33"/>
      <c r="AI7" s="34"/>
      <c r="AJ7" s="35" t="str">
        <f t="shared" si="12"/>
        <v/>
      </c>
      <c r="AK7" s="36" t="str">
        <f t="shared" si="13"/>
        <v/>
      </c>
      <c r="AL7" s="37"/>
      <c r="AM7" s="33"/>
      <c r="AN7" s="34"/>
      <c r="AO7" s="35" t="str">
        <f t="shared" si="14"/>
        <v/>
      </c>
      <c r="AP7" s="36" t="str">
        <f t="shared" si="15"/>
        <v/>
      </c>
      <c r="AQ7" s="37"/>
      <c r="AR7" s="33"/>
      <c r="AS7" s="34"/>
      <c r="AT7" s="35" t="str">
        <f t="shared" si="16"/>
        <v/>
      </c>
      <c r="AU7" s="36" t="str">
        <f t="shared" si="17"/>
        <v/>
      </c>
      <c r="AV7" s="37"/>
      <c r="AW7" s="33"/>
      <c r="AX7" s="34"/>
      <c r="AY7" s="35" t="str">
        <f t="shared" si="18"/>
        <v/>
      </c>
      <c r="AZ7" s="36" t="str">
        <f t="shared" si="19"/>
        <v/>
      </c>
      <c r="BA7" s="37"/>
      <c r="BB7" s="33"/>
      <c r="BC7" s="34"/>
      <c r="BD7" s="35" t="str">
        <f t="shared" si="20"/>
        <v/>
      </c>
      <c r="BE7" s="36" t="str">
        <f t="shared" si="21"/>
        <v/>
      </c>
      <c r="BF7" s="37"/>
      <c r="BG7" s="33"/>
      <c r="BH7" s="34"/>
      <c r="BI7" s="35" t="str">
        <f t="shared" si="22"/>
        <v/>
      </c>
      <c r="BJ7" s="36" t="str">
        <f t="shared" si="23"/>
        <v/>
      </c>
      <c r="BK7" s="37"/>
      <c r="BL7" s="33"/>
      <c r="BM7" s="34"/>
      <c r="BN7" s="35" t="str">
        <f t="shared" si="24"/>
        <v/>
      </c>
      <c r="BO7" s="36" t="str">
        <f t="shared" si="25"/>
        <v/>
      </c>
      <c r="BP7" s="37"/>
      <c r="BQ7" s="33"/>
      <c r="BR7" s="34"/>
      <c r="BS7" s="35" t="str">
        <f t="shared" si="26"/>
        <v/>
      </c>
      <c r="BT7" s="36" t="str">
        <f t="shared" si="27"/>
        <v/>
      </c>
      <c r="BU7" s="37"/>
      <c r="BV7" s="33"/>
      <c r="BW7" s="34"/>
      <c r="BX7" s="35" t="str">
        <f t="shared" si="28"/>
        <v/>
      </c>
      <c r="BY7" s="36" t="str">
        <f t="shared" si="29"/>
        <v/>
      </c>
      <c r="BZ7" s="37"/>
      <c r="CA7" s="33"/>
      <c r="CB7" s="34"/>
      <c r="CC7" s="35" t="str">
        <f t="shared" si="30"/>
        <v/>
      </c>
      <c r="CD7" s="36" t="str">
        <f t="shared" si="31"/>
        <v/>
      </c>
      <c r="CE7" s="37"/>
      <c r="CF7" s="33"/>
      <c r="CG7" s="34"/>
      <c r="CH7" s="35" t="str">
        <f t="shared" si="32"/>
        <v/>
      </c>
      <c r="CI7" s="36" t="str">
        <f t="shared" si="33"/>
        <v/>
      </c>
      <c r="CJ7" s="37"/>
      <c r="CK7" s="33"/>
      <c r="CL7" s="34"/>
      <c r="CM7" s="35" t="str">
        <f t="shared" si="34"/>
        <v/>
      </c>
      <c r="CN7" s="36" t="str">
        <f t="shared" si="35"/>
        <v/>
      </c>
      <c r="CO7" s="37"/>
      <c r="CP7" s="33"/>
      <c r="CQ7" s="34"/>
      <c r="CR7" s="35" t="str">
        <f t="shared" si="36"/>
        <v/>
      </c>
      <c r="CS7" s="36" t="str">
        <f t="shared" si="37"/>
        <v/>
      </c>
      <c r="CT7" s="37"/>
      <c r="CU7" s="33"/>
      <c r="CV7" s="34"/>
      <c r="CW7" s="35" t="str">
        <f t="shared" si="38"/>
        <v/>
      </c>
      <c r="CX7" s="36" t="str">
        <f t="shared" si="39"/>
        <v/>
      </c>
      <c r="CY7" s="37"/>
      <c r="CZ7" s="33"/>
      <c r="DA7" s="34"/>
      <c r="DB7" s="35" t="str">
        <f t="shared" si="40"/>
        <v/>
      </c>
      <c r="DC7" s="36" t="str">
        <f t="shared" si="41"/>
        <v/>
      </c>
      <c r="DD7" s="37"/>
      <c r="DE7" s="33"/>
      <c r="DF7" s="34"/>
      <c r="DG7" s="35" t="str">
        <f t="shared" si="42"/>
        <v/>
      </c>
      <c r="DH7" s="36" t="str">
        <f t="shared" si="43"/>
        <v/>
      </c>
      <c r="DI7" s="37"/>
      <c r="DJ7" s="33"/>
      <c r="DK7" s="34"/>
      <c r="DL7" s="35" t="str">
        <f t="shared" si="44"/>
        <v/>
      </c>
      <c r="DM7" s="36" t="str">
        <f t="shared" si="45"/>
        <v/>
      </c>
      <c r="DN7" s="37"/>
      <c r="DO7" s="33"/>
      <c r="DP7" s="34"/>
      <c r="DQ7" s="35" t="str">
        <f t="shared" si="46"/>
        <v/>
      </c>
      <c r="DR7" s="36" t="str">
        <f t="shared" si="47"/>
        <v/>
      </c>
      <c r="DS7" s="37"/>
      <c r="DT7" s="33"/>
      <c r="DU7" s="34"/>
      <c r="DV7" s="35" t="str">
        <f t="shared" si="48"/>
        <v/>
      </c>
      <c r="DW7" s="36" t="str">
        <f t="shared" si="49"/>
        <v/>
      </c>
      <c r="DX7" s="37"/>
      <c r="DY7" s="33"/>
      <c r="DZ7" s="34"/>
      <c r="EA7" s="35" t="str">
        <f t="shared" si="50"/>
        <v/>
      </c>
      <c r="EB7" s="36" t="str">
        <f t="shared" si="51"/>
        <v/>
      </c>
      <c r="EC7" s="37"/>
      <c r="ED7" s="33"/>
      <c r="EE7" s="34"/>
      <c r="EF7" s="35" t="str">
        <f t="shared" si="52"/>
        <v/>
      </c>
      <c r="EG7" s="36" t="str">
        <f t="shared" si="53"/>
        <v/>
      </c>
      <c r="EH7" s="37"/>
      <c r="EI7" s="33"/>
      <c r="EJ7" s="34"/>
      <c r="EK7" s="35" t="str">
        <f t="shared" si="54"/>
        <v/>
      </c>
      <c r="EL7" s="36" t="str">
        <f t="shared" si="55"/>
        <v/>
      </c>
      <c r="EM7" s="37"/>
      <c r="EN7" s="33"/>
      <c r="EO7" s="34"/>
      <c r="EP7" s="35" t="str">
        <f t="shared" si="56"/>
        <v/>
      </c>
      <c r="EQ7" s="36" t="str">
        <f t="shared" si="57"/>
        <v/>
      </c>
      <c r="ER7" s="37"/>
      <c r="ES7" s="33"/>
      <c r="ET7" s="34"/>
      <c r="EU7" s="35" t="str">
        <f t="shared" si="58"/>
        <v/>
      </c>
      <c r="EV7" s="36" t="str">
        <f t="shared" si="59"/>
        <v/>
      </c>
      <c r="EW7" s="37"/>
    </row>
    <row r="8" spans="1:153" ht="19.5" customHeight="1">
      <c r="A8" s="32">
        <f>IF(DAY(DATE(対象年度,8,5))&lt;&gt;5,"",5)</f>
        <v>5</v>
      </c>
      <c r="B8" s="32" t="str">
        <f>IF(DAY(DATE(対象年度,8,5))&lt;&gt;5,"",CHOOSE(WEEKDAY(DATE(対象年度,8,5),2),"月","火","水","木","金","土","日"))</f>
        <v>水</v>
      </c>
      <c r="C8" s="32" t="str">
        <f>IF(DAY(DATE(対象年度,8,5))&lt;&gt;5,"",IF(ISNUMBER(MATCH(DATE(対象年度,8,5),祝日リスト,0)),"祝",""))</f>
        <v/>
      </c>
      <c r="D8" s="33"/>
      <c r="E8" s="34"/>
      <c r="F8" s="35" t="str">
        <f t="shared" si="0"/>
        <v/>
      </c>
      <c r="G8" s="36" t="str">
        <f t="shared" si="1"/>
        <v/>
      </c>
      <c r="H8" s="37"/>
      <c r="I8" s="33"/>
      <c r="J8" s="34"/>
      <c r="K8" s="35" t="str">
        <f t="shared" si="2"/>
        <v/>
      </c>
      <c r="L8" s="36" t="str">
        <f t="shared" si="3"/>
        <v/>
      </c>
      <c r="M8" s="37"/>
      <c r="N8" s="33"/>
      <c r="O8" s="34"/>
      <c r="P8" s="35" t="str">
        <f t="shared" si="4"/>
        <v/>
      </c>
      <c r="Q8" s="36" t="str">
        <f t="shared" si="5"/>
        <v/>
      </c>
      <c r="R8" s="37"/>
      <c r="S8" s="33"/>
      <c r="T8" s="34"/>
      <c r="U8" s="35" t="str">
        <f t="shared" si="6"/>
        <v/>
      </c>
      <c r="V8" s="36" t="str">
        <f t="shared" si="7"/>
        <v/>
      </c>
      <c r="W8" s="37"/>
      <c r="X8" s="33"/>
      <c r="Y8" s="34"/>
      <c r="Z8" s="35" t="str">
        <f t="shared" si="8"/>
        <v/>
      </c>
      <c r="AA8" s="36" t="str">
        <f t="shared" si="9"/>
        <v/>
      </c>
      <c r="AB8" s="37"/>
      <c r="AC8" s="33"/>
      <c r="AD8" s="34"/>
      <c r="AE8" s="35" t="str">
        <f t="shared" si="10"/>
        <v/>
      </c>
      <c r="AF8" s="36" t="str">
        <f t="shared" si="11"/>
        <v/>
      </c>
      <c r="AG8" s="37"/>
      <c r="AH8" s="33"/>
      <c r="AI8" s="34"/>
      <c r="AJ8" s="35" t="str">
        <f t="shared" si="12"/>
        <v/>
      </c>
      <c r="AK8" s="36" t="str">
        <f t="shared" si="13"/>
        <v/>
      </c>
      <c r="AL8" s="37"/>
      <c r="AM8" s="33"/>
      <c r="AN8" s="34"/>
      <c r="AO8" s="35" t="str">
        <f t="shared" si="14"/>
        <v/>
      </c>
      <c r="AP8" s="36" t="str">
        <f t="shared" si="15"/>
        <v/>
      </c>
      <c r="AQ8" s="37"/>
      <c r="AR8" s="33"/>
      <c r="AS8" s="34"/>
      <c r="AT8" s="35" t="str">
        <f t="shared" si="16"/>
        <v/>
      </c>
      <c r="AU8" s="36" t="str">
        <f t="shared" si="17"/>
        <v/>
      </c>
      <c r="AV8" s="37"/>
      <c r="AW8" s="33"/>
      <c r="AX8" s="34"/>
      <c r="AY8" s="35" t="str">
        <f t="shared" si="18"/>
        <v/>
      </c>
      <c r="AZ8" s="36" t="str">
        <f t="shared" si="19"/>
        <v/>
      </c>
      <c r="BA8" s="37"/>
      <c r="BB8" s="33"/>
      <c r="BC8" s="34"/>
      <c r="BD8" s="35" t="str">
        <f t="shared" si="20"/>
        <v/>
      </c>
      <c r="BE8" s="36" t="str">
        <f t="shared" si="21"/>
        <v/>
      </c>
      <c r="BF8" s="37"/>
      <c r="BG8" s="33"/>
      <c r="BH8" s="34"/>
      <c r="BI8" s="35" t="str">
        <f t="shared" si="22"/>
        <v/>
      </c>
      <c r="BJ8" s="36" t="str">
        <f t="shared" si="23"/>
        <v/>
      </c>
      <c r="BK8" s="37"/>
      <c r="BL8" s="33"/>
      <c r="BM8" s="34"/>
      <c r="BN8" s="35" t="str">
        <f t="shared" si="24"/>
        <v/>
      </c>
      <c r="BO8" s="36" t="str">
        <f t="shared" si="25"/>
        <v/>
      </c>
      <c r="BP8" s="37"/>
      <c r="BQ8" s="33"/>
      <c r="BR8" s="34"/>
      <c r="BS8" s="35" t="str">
        <f t="shared" si="26"/>
        <v/>
      </c>
      <c r="BT8" s="36" t="str">
        <f t="shared" si="27"/>
        <v/>
      </c>
      <c r="BU8" s="37"/>
      <c r="BV8" s="33"/>
      <c r="BW8" s="34"/>
      <c r="BX8" s="35" t="str">
        <f t="shared" si="28"/>
        <v/>
      </c>
      <c r="BY8" s="36" t="str">
        <f t="shared" si="29"/>
        <v/>
      </c>
      <c r="BZ8" s="37"/>
      <c r="CA8" s="33"/>
      <c r="CB8" s="34"/>
      <c r="CC8" s="35" t="str">
        <f t="shared" si="30"/>
        <v/>
      </c>
      <c r="CD8" s="36" t="str">
        <f t="shared" si="31"/>
        <v/>
      </c>
      <c r="CE8" s="37"/>
      <c r="CF8" s="33"/>
      <c r="CG8" s="34"/>
      <c r="CH8" s="35" t="str">
        <f t="shared" si="32"/>
        <v/>
      </c>
      <c r="CI8" s="36" t="str">
        <f t="shared" si="33"/>
        <v/>
      </c>
      <c r="CJ8" s="37"/>
      <c r="CK8" s="33"/>
      <c r="CL8" s="34"/>
      <c r="CM8" s="35" t="str">
        <f t="shared" si="34"/>
        <v/>
      </c>
      <c r="CN8" s="36" t="str">
        <f t="shared" si="35"/>
        <v/>
      </c>
      <c r="CO8" s="37"/>
      <c r="CP8" s="33"/>
      <c r="CQ8" s="34"/>
      <c r="CR8" s="35" t="str">
        <f t="shared" si="36"/>
        <v/>
      </c>
      <c r="CS8" s="36" t="str">
        <f t="shared" si="37"/>
        <v/>
      </c>
      <c r="CT8" s="37"/>
      <c r="CU8" s="33"/>
      <c r="CV8" s="34"/>
      <c r="CW8" s="35" t="str">
        <f t="shared" si="38"/>
        <v/>
      </c>
      <c r="CX8" s="36" t="str">
        <f t="shared" si="39"/>
        <v/>
      </c>
      <c r="CY8" s="37"/>
      <c r="CZ8" s="33"/>
      <c r="DA8" s="34"/>
      <c r="DB8" s="35" t="str">
        <f t="shared" si="40"/>
        <v/>
      </c>
      <c r="DC8" s="36" t="str">
        <f t="shared" si="41"/>
        <v/>
      </c>
      <c r="DD8" s="37"/>
      <c r="DE8" s="33"/>
      <c r="DF8" s="34"/>
      <c r="DG8" s="35" t="str">
        <f t="shared" si="42"/>
        <v/>
      </c>
      <c r="DH8" s="36" t="str">
        <f t="shared" si="43"/>
        <v/>
      </c>
      <c r="DI8" s="37"/>
      <c r="DJ8" s="33"/>
      <c r="DK8" s="34"/>
      <c r="DL8" s="35" t="str">
        <f t="shared" si="44"/>
        <v/>
      </c>
      <c r="DM8" s="36" t="str">
        <f t="shared" si="45"/>
        <v/>
      </c>
      <c r="DN8" s="37"/>
      <c r="DO8" s="33"/>
      <c r="DP8" s="34"/>
      <c r="DQ8" s="35" t="str">
        <f t="shared" si="46"/>
        <v/>
      </c>
      <c r="DR8" s="36" t="str">
        <f t="shared" si="47"/>
        <v/>
      </c>
      <c r="DS8" s="37"/>
      <c r="DT8" s="33"/>
      <c r="DU8" s="34"/>
      <c r="DV8" s="35" t="str">
        <f t="shared" si="48"/>
        <v/>
      </c>
      <c r="DW8" s="36" t="str">
        <f t="shared" si="49"/>
        <v/>
      </c>
      <c r="DX8" s="37"/>
      <c r="DY8" s="33"/>
      <c r="DZ8" s="34"/>
      <c r="EA8" s="35" t="str">
        <f t="shared" si="50"/>
        <v/>
      </c>
      <c r="EB8" s="36" t="str">
        <f t="shared" si="51"/>
        <v/>
      </c>
      <c r="EC8" s="37"/>
      <c r="ED8" s="33"/>
      <c r="EE8" s="34"/>
      <c r="EF8" s="35" t="str">
        <f t="shared" si="52"/>
        <v/>
      </c>
      <c r="EG8" s="36" t="str">
        <f t="shared" si="53"/>
        <v/>
      </c>
      <c r="EH8" s="37"/>
      <c r="EI8" s="33"/>
      <c r="EJ8" s="34"/>
      <c r="EK8" s="35" t="str">
        <f t="shared" si="54"/>
        <v/>
      </c>
      <c r="EL8" s="36" t="str">
        <f t="shared" si="55"/>
        <v/>
      </c>
      <c r="EM8" s="37"/>
      <c r="EN8" s="33"/>
      <c r="EO8" s="34"/>
      <c r="EP8" s="35" t="str">
        <f t="shared" si="56"/>
        <v/>
      </c>
      <c r="EQ8" s="36" t="str">
        <f t="shared" si="57"/>
        <v/>
      </c>
      <c r="ER8" s="37"/>
      <c r="ES8" s="33"/>
      <c r="ET8" s="34"/>
      <c r="EU8" s="35" t="str">
        <f t="shared" si="58"/>
        <v/>
      </c>
      <c r="EV8" s="36" t="str">
        <f t="shared" si="59"/>
        <v/>
      </c>
      <c r="EW8" s="37"/>
    </row>
    <row r="9" spans="1:153" ht="19.5" customHeight="1">
      <c r="A9" s="32">
        <f>IF(DAY(DATE(対象年度,8,6))&lt;&gt;6,"",6)</f>
        <v>6</v>
      </c>
      <c r="B9" s="32" t="str">
        <f>IF(DAY(DATE(対象年度,8,6))&lt;&gt;6,"",CHOOSE(WEEKDAY(DATE(対象年度,8,6),2),"月","火","水","木","金","土","日"))</f>
        <v>木</v>
      </c>
      <c r="C9" s="32" t="str">
        <f>IF(DAY(DATE(対象年度,8,6))&lt;&gt;6,"",IF(ISNUMBER(MATCH(DATE(対象年度,8,6),祝日リスト,0)),"祝",""))</f>
        <v/>
      </c>
      <c r="D9" s="33"/>
      <c r="E9" s="34"/>
      <c r="F9" s="35" t="str">
        <f t="shared" si="0"/>
        <v/>
      </c>
      <c r="G9" s="36" t="str">
        <f t="shared" si="1"/>
        <v/>
      </c>
      <c r="H9" s="37"/>
      <c r="I9" s="33"/>
      <c r="J9" s="34"/>
      <c r="K9" s="35" t="str">
        <f t="shared" si="2"/>
        <v/>
      </c>
      <c r="L9" s="36" t="str">
        <f t="shared" si="3"/>
        <v/>
      </c>
      <c r="M9" s="37"/>
      <c r="N9" s="33"/>
      <c r="O9" s="34"/>
      <c r="P9" s="35" t="str">
        <f t="shared" si="4"/>
        <v/>
      </c>
      <c r="Q9" s="36" t="str">
        <f t="shared" si="5"/>
        <v/>
      </c>
      <c r="R9" s="37"/>
      <c r="S9" s="33"/>
      <c r="T9" s="34"/>
      <c r="U9" s="35" t="str">
        <f t="shared" si="6"/>
        <v/>
      </c>
      <c r="V9" s="36" t="str">
        <f t="shared" si="7"/>
        <v/>
      </c>
      <c r="W9" s="37"/>
      <c r="X9" s="33"/>
      <c r="Y9" s="34"/>
      <c r="Z9" s="35" t="str">
        <f t="shared" si="8"/>
        <v/>
      </c>
      <c r="AA9" s="36" t="str">
        <f t="shared" si="9"/>
        <v/>
      </c>
      <c r="AB9" s="37"/>
      <c r="AC9" s="33"/>
      <c r="AD9" s="34"/>
      <c r="AE9" s="35" t="str">
        <f t="shared" si="10"/>
        <v/>
      </c>
      <c r="AF9" s="36" t="str">
        <f t="shared" si="11"/>
        <v/>
      </c>
      <c r="AG9" s="37"/>
      <c r="AH9" s="33"/>
      <c r="AI9" s="34"/>
      <c r="AJ9" s="35" t="str">
        <f t="shared" si="12"/>
        <v/>
      </c>
      <c r="AK9" s="36" t="str">
        <f t="shared" si="13"/>
        <v/>
      </c>
      <c r="AL9" s="37"/>
      <c r="AM9" s="33"/>
      <c r="AN9" s="34"/>
      <c r="AO9" s="35" t="str">
        <f t="shared" si="14"/>
        <v/>
      </c>
      <c r="AP9" s="36" t="str">
        <f t="shared" si="15"/>
        <v/>
      </c>
      <c r="AQ9" s="37"/>
      <c r="AR9" s="33"/>
      <c r="AS9" s="34"/>
      <c r="AT9" s="35" t="str">
        <f t="shared" si="16"/>
        <v/>
      </c>
      <c r="AU9" s="36" t="str">
        <f t="shared" si="17"/>
        <v/>
      </c>
      <c r="AV9" s="37"/>
      <c r="AW9" s="33"/>
      <c r="AX9" s="34"/>
      <c r="AY9" s="35" t="str">
        <f t="shared" si="18"/>
        <v/>
      </c>
      <c r="AZ9" s="36" t="str">
        <f t="shared" si="19"/>
        <v/>
      </c>
      <c r="BA9" s="37"/>
      <c r="BB9" s="33"/>
      <c r="BC9" s="34"/>
      <c r="BD9" s="35" t="str">
        <f t="shared" si="20"/>
        <v/>
      </c>
      <c r="BE9" s="36" t="str">
        <f t="shared" si="21"/>
        <v/>
      </c>
      <c r="BF9" s="37"/>
      <c r="BG9" s="33"/>
      <c r="BH9" s="34"/>
      <c r="BI9" s="35" t="str">
        <f t="shared" si="22"/>
        <v/>
      </c>
      <c r="BJ9" s="36" t="str">
        <f t="shared" si="23"/>
        <v/>
      </c>
      <c r="BK9" s="37"/>
      <c r="BL9" s="33"/>
      <c r="BM9" s="34"/>
      <c r="BN9" s="35" t="str">
        <f t="shared" si="24"/>
        <v/>
      </c>
      <c r="BO9" s="36" t="str">
        <f t="shared" si="25"/>
        <v/>
      </c>
      <c r="BP9" s="37"/>
      <c r="BQ9" s="33"/>
      <c r="BR9" s="34"/>
      <c r="BS9" s="35" t="str">
        <f t="shared" si="26"/>
        <v/>
      </c>
      <c r="BT9" s="36" t="str">
        <f t="shared" si="27"/>
        <v/>
      </c>
      <c r="BU9" s="37"/>
      <c r="BV9" s="33"/>
      <c r="BW9" s="34"/>
      <c r="BX9" s="35" t="str">
        <f t="shared" si="28"/>
        <v/>
      </c>
      <c r="BY9" s="36" t="str">
        <f t="shared" si="29"/>
        <v/>
      </c>
      <c r="BZ9" s="37"/>
      <c r="CA9" s="33"/>
      <c r="CB9" s="34"/>
      <c r="CC9" s="35" t="str">
        <f t="shared" si="30"/>
        <v/>
      </c>
      <c r="CD9" s="36" t="str">
        <f t="shared" si="31"/>
        <v/>
      </c>
      <c r="CE9" s="37"/>
      <c r="CF9" s="33"/>
      <c r="CG9" s="34"/>
      <c r="CH9" s="35" t="str">
        <f t="shared" si="32"/>
        <v/>
      </c>
      <c r="CI9" s="36" t="str">
        <f t="shared" si="33"/>
        <v/>
      </c>
      <c r="CJ9" s="37"/>
      <c r="CK9" s="33"/>
      <c r="CL9" s="34"/>
      <c r="CM9" s="35" t="str">
        <f t="shared" si="34"/>
        <v/>
      </c>
      <c r="CN9" s="36" t="str">
        <f t="shared" si="35"/>
        <v/>
      </c>
      <c r="CO9" s="37"/>
      <c r="CP9" s="33"/>
      <c r="CQ9" s="34"/>
      <c r="CR9" s="35" t="str">
        <f t="shared" si="36"/>
        <v/>
      </c>
      <c r="CS9" s="36" t="str">
        <f t="shared" si="37"/>
        <v/>
      </c>
      <c r="CT9" s="37"/>
      <c r="CU9" s="33"/>
      <c r="CV9" s="34"/>
      <c r="CW9" s="35" t="str">
        <f t="shared" si="38"/>
        <v/>
      </c>
      <c r="CX9" s="36" t="str">
        <f t="shared" si="39"/>
        <v/>
      </c>
      <c r="CY9" s="37"/>
      <c r="CZ9" s="33"/>
      <c r="DA9" s="34"/>
      <c r="DB9" s="35" t="str">
        <f t="shared" si="40"/>
        <v/>
      </c>
      <c r="DC9" s="36" t="str">
        <f t="shared" si="41"/>
        <v/>
      </c>
      <c r="DD9" s="37"/>
      <c r="DE9" s="33"/>
      <c r="DF9" s="34"/>
      <c r="DG9" s="35" t="str">
        <f t="shared" si="42"/>
        <v/>
      </c>
      <c r="DH9" s="36" t="str">
        <f t="shared" si="43"/>
        <v/>
      </c>
      <c r="DI9" s="37"/>
      <c r="DJ9" s="33"/>
      <c r="DK9" s="34"/>
      <c r="DL9" s="35" t="str">
        <f t="shared" si="44"/>
        <v/>
      </c>
      <c r="DM9" s="36" t="str">
        <f t="shared" si="45"/>
        <v/>
      </c>
      <c r="DN9" s="37"/>
      <c r="DO9" s="33"/>
      <c r="DP9" s="34"/>
      <c r="DQ9" s="35" t="str">
        <f t="shared" si="46"/>
        <v/>
      </c>
      <c r="DR9" s="36" t="str">
        <f t="shared" si="47"/>
        <v/>
      </c>
      <c r="DS9" s="37"/>
      <c r="DT9" s="33"/>
      <c r="DU9" s="34"/>
      <c r="DV9" s="35" t="str">
        <f t="shared" si="48"/>
        <v/>
      </c>
      <c r="DW9" s="36" t="str">
        <f t="shared" si="49"/>
        <v/>
      </c>
      <c r="DX9" s="37"/>
      <c r="DY9" s="33"/>
      <c r="DZ9" s="34"/>
      <c r="EA9" s="35" t="str">
        <f t="shared" si="50"/>
        <v/>
      </c>
      <c r="EB9" s="36" t="str">
        <f t="shared" si="51"/>
        <v/>
      </c>
      <c r="EC9" s="37"/>
      <c r="ED9" s="33"/>
      <c r="EE9" s="34"/>
      <c r="EF9" s="35" t="str">
        <f t="shared" si="52"/>
        <v/>
      </c>
      <c r="EG9" s="36" t="str">
        <f t="shared" si="53"/>
        <v/>
      </c>
      <c r="EH9" s="37"/>
      <c r="EI9" s="33"/>
      <c r="EJ9" s="34"/>
      <c r="EK9" s="35" t="str">
        <f t="shared" si="54"/>
        <v/>
      </c>
      <c r="EL9" s="36" t="str">
        <f t="shared" si="55"/>
        <v/>
      </c>
      <c r="EM9" s="37"/>
      <c r="EN9" s="33"/>
      <c r="EO9" s="34"/>
      <c r="EP9" s="35" t="str">
        <f t="shared" si="56"/>
        <v/>
      </c>
      <c r="EQ9" s="36" t="str">
        <f t="shared" si="57"/>
        <v/>
      </c>
      <c r="ER9" s="37"/>
      <c r="ES9" s="33"/>
      <c r="ET9" s="34"/>
      <c r="EU9" s="35" t="str">
        <f t="shared" si="58"/>
        <v/>
      </c>
      <c r="EV9" s="36" t="str">
        <f t="shared" si="59"/>
        <v/>
      </c>
      <c r="EW9" s="37"/>
    </row>
    <row r="10" spans="1:153" ht="19.5" customHeight="1">
      <c r="A10" s="32">
        <f>IF(DAY(DATE(対象年度,8,7))&lt;&gt;7,"",7)</f>
        <v>7</v>
      </c>
      <c r="B10" s="32" t="str">
        <f>IF(DAY(DATE(対象年度,8,7))&lt;&gt;7,"",CHOOSE(WEEKDAY(DATE(対象年度,8,7),2),"月","火","水","木","金","土","日"))</f>
        <v>金</v>
      </c>
      <c r="C10" s="32" t="str">
        <f>IF(DAY(DATE(対象年度,8,7))&lt;&gt;7,"",IF(ISNUMBER(MATCH(DATE(対象年度,8,7),祝日リスト,0)),"祝",""))</f>
        <v/>
      </c>
      <c r="D10" s="33"/>
      <c r="E10" s="34"/>
      <c r="F10" s="35" t="str">
        <f t="shared" si="0"/>
        <v/>
      </c>
      <c r="G10" s="36" t="str">
        <f t="shared" si="1"/>
        <v/>
      </c>
      <c r="H10" s="37"/>
      <c r="I10" s="33"/>
      <c r="J10" s="34"/>
      <c r="K10" s="35" t="str">
        <f t="shared" si="2"/>
        <v/>
      </c>
      <c r="L10" s="36" t="str">
        <f t="shared" si="3"/>
        <v/>
      </c>
      <c r="M10" s="37"/>
      <c r="N10" s="33"/>
      <c r="O10" s="34"/>
      <c r="P10" s="35" t="str">
        <f t="shared" si="4"/>
        <v/>
      </c>
      <c r="Q10" s="36" t="str">
        <f t="shared" si="5"/>
        <v/>
      </c>
      <c r="R10" s="37"/>
      <c r="S10" s="33"/>
      <c r="T10" s="34"/>
      <c r="U10" s="35" t="str">
        <f t="shared" si="6"/>
        <v/>
      </c>
      <c r="V10" s="36" t="str">
        <f t="shared" si="7"/>
        <v/>
      </c>
      <c r="W10" s="37"/>
      <c r="X10" s="33"/>
      <c r="Y10" s="34"/>
      <c r="Z10" s="35" t="str">
        <f t="shared" si="8"/>
        <v/>
      </c>
      <c r="AA10" s="36" t="str">
        <f t="shared" si="9"/>
        <v/>
      </c>
      <c r="AB10" s="37"/>
      <c r="AC10" s="33"/>
      <c r="AD10" s="34"/>
      <c r="AE10" s="35" t="str">
        <f t="shared" si="10"/>
        <v/>
      </c>
      <c r="AF10" s="36" t="str">
        <f t="shared" si="11"/>
        <v/>
      </c>
      <c r="AG10" s="37"/>
      <c r="AH10" s="33"/>
      <c r="AI10" s="34"/>
      <c r="AJ10" s="35" t="str">
        <f t="shared" si="12"/>
        <v/>
      </c>
      <c r="AK10" s="36" t="str">
        <f t="shared" si="13"/>
        <v/>
      </c>
      <c r="AL10" s="37"/>
      <c r="AM10" s="33"/>
      <c r="AN10" s="34"/>
      <c r="AO10" s="35" t="str">
        <f t="shared" si="14"/>
        <v/>
      </c>
      <c r="AP10" s="36" t="str">
        <f t="shared" si="15"/>
        <v/>
      </c>
      <c r="AQ10" s="37"/>
      <c r="AR10" s="33"/>
      <c r="AS10" s="34"/>
      <c r="AT10" s="35" t="str">
        <f t="shared" si="16"/>
        <v/>
      </c>
      <c r="AU10" s="36" t="str">
        <f t="shared" si="17"/>
        <v/>
      </c>
      <c r="AV10" s="37"/>
      <c r="AW10" s="33"/>
      <c r="AX10" s="34"/>
      <c r="AY10" s="35" t="str">
        <f t="shared" si="18"/>
        <v/>
      </c>
      <c r="AZ10" s="36" t="str">
        <f t="shared" si="19"/>
        <v/>
      </c>
      <c r="BA10" s="37"/>
      <c r="BB10" s="33"/>
      <c r="BC10" s="34"/>
      <c r="BD10" s="35" t="str">
        <f t="shared" si="20"/>
        <v/>
      </c>
      <c r="BE10" s="36" t="str">
        <f t="shared" si="21"/>
        <v/>
      </c>
      <c r="BF10" s="37"/>
      <c r="BG10" s="33"/>
      <c r="BH10" s="34"/>
      <c r="BI10" s="35" t="str">
        <f t="shared" si="22"/>
        <v/>
      </c>
      <c r="BJ10" s="36" t="str">
        <f t="shared" si="23"/>
        <v/>
      </c>
      <c r="BK10" s="37"/>
      <c r="BL10" s="33"/>
      <c r="BM10" s="34"/>
      <c r="BN10" s="35" t="str">
        <f t="shared" si="24"/>
        <v/>
      </c>
      <c r="BO10" s="36" t="str">
        <f t="shared" si="25"/>
        <v/>
      </c>
      <c r="BP10" s="37"/>
      <c r="BQ10" s="33"/>
      <c r="BR10" s="34"/>
      <c r="BS10" s="35" t="str">
        <f t="shared" si="26"/>
        <v/>
      </c>
      <c r="BT10" s="36" t="str">
        <f t="shared" si="27"/>
        <v/>
      </c>
      <c r="BU10" s="37"/>
      <c r="BV10" s="33"/>
      <c r="BW10" s="34"/>
      <c r="BX10" s="35" t="str">
        <f t="shared" si="28"/>
        <v/>
      </c>
      <c r="BY10" s="36" t="str">
        <f t="shared" si="29"/>
        <v/>
      </c>
      <c r="BZ10" s="37"/>
      <c r="CA10" s="33"/>
      <c r="CB10" s="34"/>
      <c r="CC10" s="35" t="str">
        <f t="shared" si="30"/>
        <v/>
      </c>
      <c r="CD10" s="36" t="str">
        <f t="shared" si="31"/>
        <v/>
      </c>
      <c r="CE10" s="37"/>
      <c r="CF10" s="33"/>
      <c r="CG10" s="34"/>
      <c r="CH10" s="35" t="str">
        <f t="shared" si="32"/>
        <v/>
      </c>
      <c r="CI10" s="36" t="str">
        <f t="shared" si="33"/>
        <v/>
      </c>
      <c r="CJ10" s="37"/>
      <c r="CK10" s="33"/>
      <c r="CL10" s="34"/>
      <c r="CM10" s="35" t="str">
        <f t="shared" si="34"/>
        <v/>
      </c>
      <c r="CN10" s="36" t="str">
        <f t="shared" si="35"/>
        <v/>
      </c>
      <c r="CO10" s="37"/>
      <c r="CP10" s="33"/>
      <c r="CQ10" s="34"/>
      <c r="CR10" s="35" t="str">
        <f t="shared" si="36"/>
        <v/>
      </c>
      <c r="CS10" s="36" t="str">
        <f t="shared" si="37"/>
        <v/>
      </c>
      <c r="CT10" s="37"/>
      <c r="CU10" s="33"/>
      <c r="CV10" s="34"/>
      <c r="CW10" s="35" t="str">
        <f t="shared" si="38"/>
        <v/>
      </c>
      <c r="CX10" s="36" t="str">
        <f t="shared" si="39"/>
        <v/>
      </c>
      <c r="CY10" s="37"/>
      <c r="CZ10" s="33"/>
      <c r="DA10" s="34"/>
      <c r="DB10" s="35" t="str">
        <f t="shared" si="40"/>
        <v/>
      </c>
      <c r="DC10" s="36" t="str">
        <f t="shared" si="41"/>
        <v/>
      </c>
      <c r="DD10" s="37"/>
      <c r="DE10" s="33"/>
      <c r="DF10" s="34"/>
      <c r="DG10" s="35" t="str">
        <f t="shared" si="42"/>
        <v/>
      </c>
      <c r="DH10" s="36" t="str">
        <f t="shared" si="43"/>
        <v/>
      </c>
      <c r="DI10" s="37"/>
      <c r="DJ10" s="33"/>
      <c r="DK10" s="34"/>
      <c r="DL10" s="35" t="str">
        <f t="shared" si="44"/>
        <v/>
      </c>
      <c r="DM10" s="36" t="str">
        <f t="shared" si="45"/>
        <v/>
      </c>
      <c r="DN10" s="37"/>
      <c r="DO10" s="33"/>
      <c r="DP10" s="34"/>
      <c r="DQ10" s="35" t="str">
        <f t="shared" si="46"/>
        <v/>
      </c>
      <c r="DR10" s="36" t="str">
        <f t="shared" si="47"/>
        <v/>
      </c>
      <c r="DS10" s="37"/>
      <c r="DT10" s="33"/>
      <c r="DU10" s="34"/>
      <c r="DV10" s="35" t="str">
        <f t="shared" si="48"/>
        <v/>
      </c>
      <c r="DW10" s="36" t="str">
        <f t="shared" si="49"/>
        <v/>
      </c>
      <c r="DX10" s="37"/>
      <c r="DY10" s="33"/>
      <c r="DZ10" s="34"/>
      <c r="EA10" s="35" t="str">
        <f t="shared" si="50"/>
        <v/>
      </c>
      <c r="EB10" s="36" t="str">
        <f t="shared" si="51"/>
        <v/>
      </c>
      <c r="EC10" s="37"/>
      <c r="ED10" s="33"/>
      <c r="EE10" s="34"/>
      <c r="EF10" s="35" t="str">
        <f t="shared" si="52"/>
        <v/>
      </c>
      <c r="EG10" s="36" t="str">
        <f t="shared" si="53"/>
        <v/>
      </c>
      <c r="EH10" s="37"/>
      <c r="EI10" s="33"/>
      <c r="EJ10" s="34"/>
      <c r="EK10" s="35" t="str">
        <f t="shared" si="54"/>
        <v/>
      </c>
      <c r="EL10" s="36" t="str">
        <f t="shared" si="55"/>
        <v/>
      </c>
      <c r="EM10" s="37"/>
      <c r="EN10" s="33"/>
      <c r="EO10" s="34"/>
      <c r="EP10" s="35" t="str">
        <f t="shared" si="56"/>
        <v/>
      </c>
      <c r="EQ10" s="36" t="str">
        <f t="shared" si="57"/>
        <v/>
      </c>
      <c r="ER10" s="37"/>
      <c r="ES10" s="33"/>
      <c r="ET10" s="34"/>
      <c r="EU10" s="35" t="str">
        <f t="shared" si="58"/>
        <v/>
      </c>
      <c r="EV10" s="36" t="str">
        <f t="shared" si="59"/>
        <v/>
      </c>
      <c r="EW10" s="37"/>
    </row>
    <row r="11" spans="1:153" ht="19.5" customHeight="1">
      <c r="A11" s="32">
        <f>IF(DAY(DATE(対象年度,8,8))&lt;&gt;8,"",8)</f>
        <v>8</v>
      </c>
      <c r="B11" s="32" t="str">
        <f>IF(DAY(DATE(対象年度,8,8))&lt;&gt;8,"",CHOOSE(WEEKDAY(DATE(対象年度,8,8),2),"月","火","水","木","金","土","日"))</f>
        <v>土</v>
      </c>
      <c r="C11" s="32" t="str">
        <f>IF(DAY(DATE(対象年度,8,8))&lt;&gt;8,"",IF(ISNUMBER(MATCH(DATE(対象年度,8,8),祝日リスト,0)),"祝",""))</f>
        <v/>
      </c>
      <c r="D11" s="33"/>
      <c r="E11" s="34"/>
      <c r="F11" s="35" t="str">
        <f t="shared" si="0"/>
        <v/>
      </c>
      <c r="G11" s="36" t="str">
        <f t="shared" si="1"/>
        <v/>
      </c>
      <c r="H11" s="37"/>
      <c r="I11" s="33"/>
      <c r="J11" s="34"/>
      <c r="K11" s="35" t="str">
        <f t="shared" si="2"/>
        <v/>
      </c>
      <c r="L11" s="36" t="str">
        <f t="shared" si="3"/>
        <v/>
      </c>
      <c r="M11" s="37"/>
      <c r="N11" s="33"/>
      <c r="O11" s="34"/>
      <c r="P11" s="35" t="str">
        <f t="shared" si="4"/>
        <v/>
      </c>
      <c r="Q11" s="36" t="str">
        <f t="shared" si="5"/>
        <v/>
      </c>
      <c r="R11" s="37"/>
      <c r="S11" s="33"/>
      <c r="T11" s="34"/>
      <c r="U11" s="35" t="str">
        <f t="shared" si="6"/>
        <v/>
      </c>
      <c r="V11" s="36" t="str">
        <f t="shared" si="7"/>
        <v/>
      </c>
      <c r="W11" s="37"/>
      <c r="X11" s="33"/>
      <c r="Y11" s="34"/>
      <c r="Z11" s="35" t="str">
        <f t="shared" si="8"/>
        <v/>
      </c>
      <c r="AA11" s="36" t="str">
        <f t="shared" si="9"/>
        <v/>
      </c>
      <c r="AB11" s="37"/>
      <c r="AC11" s="33"/>
      <c r="AD11" s="34"/>
      <c r="AE11" s="35" t="str">
        <f t="shared" si="10"/>
        <v/>
      </c>
      <c r="AF11" s="36" t="str">
        <f t="shared" si="11"/>
        <v/>
      </c>
      <c r="AG11" s="37"/>
      <c r="AH11" s="33"/>
      <c r="AI11" s="34"/>
      <c r="AJ11" s="35" t="str">
        <f t="shared" si="12"/>
        <v/>
      </c>
      <c r="AK11" s="36" t="str">
        <f t="shared" si="13"/>
        <v/>
      </c>
      <c r="AL11" s="37"/>
      <c r="AM11" s="33"/>
      <c r="AN11" s="34"/>
      <c r="AO11" s="35" t="str">
        <f t="shared" si="14"/>
        <v/>
      </c>
      <c r="AP11" s="36" t="str">
        <f t="shared" si="15"/>
        <v/>
      </c>
      <c r="AQ11" s="37"/>
      <c r="AR11" s="33"/>
      <c r="AS11" s="34"/>
      <c r="AT11" s="35" t="str">
        <f t="shared" si="16"/>
        <v/>
      </c>
      <c r="AU11" s="36" t="str">
        <f t="shared" si="17"/>
        <v/>
      </c>
      <c r="AV11" s="37"/>
      <c r="AW11" s="33"/>
      <c r="AX11" s="34"/>
      <c r="AY11" s="35" t="str">
        <f t="shared" si="18"/>
        <v/>
      </c>
      <c r="AZ11" s="36" t="str">
        <f t="shared" si="19"/>
        <v/>
      </c>
      <c r="BA11" s="37"/>
      <c r="BB11" s="33"/>
      <c r="BC11" s="34"/>
      <c r="BD11" s="35" t="str">
        <f t="shared" si="20"/>
        <v/>
      </c>
      <c r="BE11" s="36" t="str">
        <f t="shared" si="21"/>
        <v/>
      </c>
      <c r="BF11" s="37"/>
      <c r="BG11" s="33"/>
      <c r="BH11" s="34"/>
      <c r="BI11" s="35" t="str">
        <f t="shared" si="22"/>
        <v/>
      </c>
      <c r="BJ11" s="36" t="str">
        <f t="shared" si="23"/>
        <v/>
      </c>
      <c r="BK11" s="37"/>
      <c r="BL11" s="33"/>
      <c r="BM11" s="34"/>
      <c r="BN11" s="35" t="str">
        <f t="shared" si="24"/>
        <v/>
      </c>
      <c r="BO11" s="36" t="str">
        <f t="shared" si="25"/>
        <v/>
      </c>
      <c r="BP11" s="37"/>
      <c r="BQ11" s="33"/>
      <c r="BR11" s="34"/>
      <c r="BS11" s="35" t="str">
        <f t="shared" si="26"/>
        <v/>
      </c>
      <c r="BT11" s="36" t="str">
        <f t="shared" si="27"/>
        <v/>
      </c>
      <c r="BU11" s="37"/>
      <c r="BV11" s="33"/>
      <c r="BW11" s="34"/>
      <c r="BX11" s="35" t="str">
        <f t="shared" si="28"/>
        <v/>
      </c>
      <c r="BY11" s="36" t="str">
        <f t="shared" si="29"/>
        <v/>
      </c>
      <c r="BZ11" s="37"/>
      <c r="CA11" s="33"/>
      <c r="CB11" s="34"/>
      <c r="CC11" s="35" t="str">
        <f t="shared" si="30"/>
        <v/>
      </c>
      <c r="CD11" s="36" t="str">
        <f t="shared" si="31"/>
        <v/>
      </c>
      <c r="CE11" s="37"/>
      <c r="CF11" s="33"/>
      <c r="CG11" s="34"/>
      <c r="CH11" s="35" t="str">
        <f t="shared" si="32"/>
        <v/>
      </c>
      <c r="CI11" s="36" t="str">
        <f t="shared" si="33"/>
        <v/>
      </c>
      <c r="CJ11" s="37"/>
      <c r="CK11" s="33"/>
      <c r="CL11" s="34"/>
      <c r="CM11" s="35" t="str">
        <f t="shared" si="34"/>
        <v/>
      </c>
      <c r="CN11" s="36" t="str">
        <f t="shared" si="35"/>
        <v/>
      </c>
      <c r="CO11" s="37"/>
      <c r="CP11" s="33"/>
      <c r="CQ11" s="34"/>
      <c r="CR11" s="35" t="str">
        <f t="shared" si="36"/>
        <v/>
      </c>
      <c r="CS11" s="36" t="str">
        <f t="shared" si="37"/>
        <v/>
      </c>
      <c r="CT11" s="37"/>
      <c r="CU11" s="33"/>
      <c r="CV11" s="34"/>
      <c r="CW11" s="35" t="str">
        <f t="shared" si="38"/>
        <v/>
      </c>
      <c r="CX11" s="36" t="str">
        <f t="shared" si="39"/>
        <v/>
      </c>
      <c r="CY11" s="37"/>
      <c r="CZ11" s="33"/>
      <c r="DA11" s="34"/>
      <c r="DB11" s="35" t="str">
        <f t="shared" si="40"/>
        <v/>
      </c>
      <c r="DC11" s="36" t="str">
        <f t="shared" si="41"/>
        <v/>
      </c>
      <c r="DD11" s="37"/>
      <c r="DE11" s="33"/>
      <c r="DF11" s="34"/>
      <c r="DG11" s="35" t="str">
        <f t="shared" si="42"/>
        <v/>
      </c>
      <c r="DH11" s="36" t="str">
        <f t="shared" si="43"/>
        <v/>
      </c>
      <c r="DI11" s="37"/>
      <c r="DJ11" s="33"/>
      <c r="DK11" s="34"/>
      <c r="DL11" s="35" t="str">
        <f t="shared" si="44"/>
        <v/>
      </c>
      <c r="DM11" s="36" t="str">
        <f t="shared" si="45"/>
        <v/>
      </c>
      <c r="DN11" s="37"/>
      <c r="DO11" s="33"/>
      <c r="DP11" s="34"/>
      <c r="DQ11" s="35" t="str">
        <f t="shared" si="46"/>
        <v/>
      </c>
      <c r="DR11" s="36" t="str">
        <f t="shared" si="47"/>
        <v/>
      </c>
      <c r="DS11" s="37"/>
      <c r="DT11" s="33"/>
      <c r="DU11" s="34"/>
      <c r="DV11" s="35" t="str">
        <f t="shared" si="48"/>
        <v/>
      </c>
      <c r="DW11" s="36" t="str">
        <f t="shared" si="49"/>
        <v/>
      </c>
      <c r="DX11" s="37"/>
      <c r="DY11" s="33"/>
      <c r="DZ11" s="34"/>
      <c r="EA11" s="35" t="str">
        <f t="shared" si="50"/>
        <v/>
      </c>
      <c r="EB11" s="36" t="str">
        <f t="shared" si="51"/>
        <v/>
      </c>
      <c r="EC11" s="37"/>
      <c r="ED11" s="33"/>
      <c r="EE11" s="34"/>
      <c r="EF11" s="35" t="str">
        <f t="shared" si="52"/>
        <v/>
      </c>
      <c r="EG11" s="36" t="str">
        <f t="shared" si="53"/>
        <v/>
      </c>
      <c r="EH11" s="37"/>
      <c r="EI11" s="33"/>
      <c r="EJ11" s="34"/>
      <c r="EK11" s="35" t="str">
        <f t="shared" si="54"/>
        <v/>
      </c>
      <c r="EL11" s="36" t="str">
        <f t="shared" si="55"/>
        <v/>
      </c>
      <c r="EM11" s="37"/>
      <c r="EN11" s="33"/>
      <c r="EO11" s="34"/>
      <c r="EP11" s="35" t="str">
        <f t="shared" si="56"/>
        <v/>
      </c>
      <c r="EQ11" s="36" t="str">
        <f t="shared" si="57"/>
        <v/>
      </c>
      <c r="ER11" s="37"/>
      <c r="ES11" s="33"/>
      <c r="ET11" s="34"/>
      <c r="EU11" s="35" t="str">
        <f t="shared" si="58"/>
        <v/>
      </c>
      <c r="EV11" s="36" t="str">
        <f t="shared" si="59"/>
        <v/>
      </c>
      <c r="EW11" s="37"/>
    </row>
    <row r="12" spans="1:153" ht="19.5" customHeight="1">
      <c r="A12" s="32">
        <f>IF(DAY(DATE(対象年度,8,9))&lt;&gt;9,"",9)</f>
        <v>9</v>
      </c>
      <c r="B12" s="32" t="str">
        <f>IF(DAY(DATE(対象年度,8,9))&lt;&gt;9,"",CHOOSE(WEEKDAY(DATE(対象年度,8,9),2),"月","火","水","木","金","土","日"))</f>
        <v>日</v>
      </c>
      <c r="C12" s="32" t="str">
        <f>IF(DAY(DATE(対象年度,8,9))&lt;&gt;9,"",IF(ISNUMBER(MATCH(DATE(対象年度,8,9),祝日リスト,0)),"祝",""))</f>
        <v/>
      </c>
      <c r="D12" s="33"/>
      <c r="E12" s="34"/>
      <c r="F12" s="35" t="str">
        <f t="shared" si="0"/>
        <v/>
      </c>
      <c r="G12" s="36" t="str">
        <f t="shared" si="1"/>
        <v/>
      </c>
      <c r="H12" s="37"/>
      <c r="I12" s="33"/>
      <c r="J12" s="34"/>
      <c r="K12" s="35" t="str">
        <f t="shared" si="2"/>
        <v/>
      </c>
      <c r="L12" s="36" t="str">
        <f t="shared" si="3"/>
        <v/>
      </c>
      <c r="M12" s="37"/>
      <c r="N12" s="33"/>
      <c r="O12" s="34"/>
      <c r="P12" s="35" t="str">
        <f t="shared" si="4"/>
        <v/>
      </c>
      <c r="Q12" s="36" t="str">
        <f t="shared" si="5"/>
        <v/>
      </c>
      <c r="R12" s="37"/>
      <c r="S12" s="33"/>
      <c r="T12" s="34"/>
      <c r="U12" s="35" t="str">
        <f t="shared" si="6"/>
        <v/>
      </c>
      <c r="V12" s="36" t="str">
        <f t="shared" si="7"/>
        <v/>
      </c>
      <c r="W12" s="37"/>
      <c r="X12" s="33"/>
      <c r="Y12" s="34"/>
      <c r="Z12" s="35" t="str">
        <f t="shared" si="8"/>
        <v/>
      </c>
      <c r="AA12" s="36" t="str">
        <f t="shared" si="9"/>
        <v/>
      </c>
      <c r="AB12" s="37"/>
      <c r="AC12" s="33"/>
      <c r="AD12" s="34"/>
      <c r="AE12" s="35" t="str">
        <f t="shared" si="10"/>
        <v/>
      </c>
      <c r="AF12" s="36" t="str">
        <f t="shared" si="11"/>
        <v/>
      </c>
      <c r="AG12" s="37"/>
      <c r="AH12" s="33"/>
      <c r="AI12" s="34"/>
      <c r="AJ12" s="35" t="str">
        <f t="shared" si="12"/>
        <v/>
      </c>
      <c r="AK12" s="36" t="str">
        <f t="shared" si="13"/>
        <v/>
      </c>
      <c r="AL12" s="37"/>
      <c r="AM12" s="33"/>
      <c r="AN12" s="34"/>
      <c r="AO12" s="35" t="str">
        <f t="shared" si="14"/>
        <v/>
      </c>
      <c r="AP12" s="36" t="str">
        <f t="shared" si="15"/>
        <v/>
      </c>
      <c r="AQ12" s="37"/>
      <c r="AR12" s="33"/>
      <c r="AS12" s="34"/>
      <c r="AT12" s="35" t="str">
        <f t="shared" si="16"/>
        <v/>
      </c>
      <c r="AU12" s="36" t="str">
        <f t="shared" si="17"/>
        <v/>
      </c>
      <c r="AV12" s="37"/>
      <c r="AW12" s="33"/>
      <c r="AX12" s="34"/>
      <c r="AY12" s="35" t="str">
        <f t="shared" si="18"/>
        <v/>
      </c>
      <c r="AZ12" s="36" t="str">
        <f t="shared" si="19"/>
        <v/>
      </c>
      <c r="BA12" s="37"/>
      <c r="BB12" s="33"/>
      <c r="BC12" s="34"/>
      <c r="BD12" s="35" t="str">
        <f t="shared" si="20"/>
        <v/>
      </c>
      <c r="BE12" s="36" t="str">
        <f t="shared" si="21"/>
        <v/>
      </c>
      <c r="BF12" s="37"/>
      <c r="BG12" s="33"/>
      <c r="BH12" s="34"/>
      <c r="BI12" s="35" t="str">
        <f t="shared" si="22"/>
        <v/>
      </c>
      <c r="BJ12" s="36" t="str">
        <f t="shared" si="23"/>
        <v/>
      </c>
      <c r="BK12" s="37"/>
      <c r="BL12" s="33"/>
      <c r="BM12" s="34"/>
      <c r="BN12" s="35" t="str">
        <f t="shared" si="24"/>
        <v/>
      </c>
      <c r="BO12" s="36" t="str">
        <f t="shared" si="25"/>
        <v/>
      </c>
      <c r="BP12" s="37"/>
      <c r="BQ12" s="33"/>
      <c r="BR12" s="34"/>
      <c r="BS12" s="35" t="str">
        <f t="shared" si="26"/>
        <v/>
      </c>
      <c r="BT12" s="36" t="str">
        <f t="shared" si="27"/>
        <v/>
      </c>
      <c r="BU12" s="37"/>
      <c r="BV12" s="33"/>
      <c r="BW12" s="34"/>
      <c r="BX12" s="35" t="str">
        <f t="shared" si="28"/>
        <v/>
      </c>
      <c r="BY12" s="36" t="str">
        <f t="shared" si="29"/>
        <v/>
      </c>
      <c r="BZ12" s="37"/>
      <c r="CA12" s="33"/>
      <c r="CB12" s="34"/>
      <c r="CC12" s="35" t="str">
        <f t="shared" si="30"/>
        <v/>
      </c>
      <c r="CD12" s="36" t="str">
        <f t="shared" si="31"/>
        <v/>
      </c>
      <c r="CE12" s="37"/>
      <c r="CF12" s="33"/>
      <c r="CG12" s="34"/>
      <c r="CH12" s="35" t="str">
        <f t="shared" si="32"/>
        <v/>
      </c>
      <c r="CI12" s="36" t="str">
        <f t="shared" si="33"/>
        <v/>
      </c>
      <c r="CJ12" s="37"/>
      <c r="CK12" s="33"/>
      <c r="CL12" s="34"/>
      <c r="CM12" s="35" t="str">
        <f t="shared" si="34"/>
        <v/>
      </c>
      <c r="CN12" s="36" t="str">
        <f t="shared" si="35"/>
        <v/>
      </c>
      <c r="CO12" s="37"/>
      <c r="CP12" s="33"/>
      <c r="CQ12" s="34"/>
      <c r="CR12" s="35" t="str">
        <f t="shared" si="36"/>
        <v/>
      </c>
      <c r="CS12" s="36" t="str">
        <f t="shared" si="37"/>
        <v/>
      </c>
      <c r="CT12" s="37"/>
      <c r="CU12" s="33"/>
      <c r="CV12" s="34"/>
      <c r="CW12" s="35" t="str">
        <f t="shared" si="38"/>
        <v/>
      </c>
      <c r="CX12" s="36" t="str">
        <f t="shared" si="39"/>
        <v/>
      </c>
      <c r="CY12" s="37"/>
      <c r="CZ12" s="33"/>
      <c r="DA12" s="34"/>
      <c r="DB12" s="35" t="str">
        <f t="shared" si="40"/>
        <v/>
      </c>
      <c r="DC12" s="36" t="str">
        <f t="shared" si="41"/>
        <v/>
      </c>
      <c r="DD12" s="37"/>
      <c r="DE12" s="33"/>
      <c r="DF12" s="34"/>
      <c r="DG12" s="35" t="str">
        <f t="shared" si="42"/>
        <v/>
      </c>
      <c r="DH12" s="36" t="str">
        <f t="shared" si="43"/>
        <v/>
      </c>
      <c r="DI12" s="37"/>
      <c r="DJ12" s="33"/>
      <c r="DK12" s="34"/>
      <c r="DL12" s="35" t="str">
        <f t="shared" si="44"/>
        <v/>
      </c>
      <c r="DM12" s="36" t="str">
        <f t="shared" si="45"/>
        <v/>
      </c>
      <c r="DN12" s="37"/>
      <c r="DO12" s="33"/>
      <c r="DP12" s="34"/>
      <c r="DQ12" s="35" t="str">
        <f t="shared" si="46"/>
        <v/>
      </c>
      <c r="DR12" s="36" t="str">
        <f t="shared" si="47"/>
        <v/>
      </c>
      <c r="DS12" s="37"/>
      <c r="DT12" s="33"/>
      <c r="DU12" s="34"/>
      <c r="DV12" s="35" t="str">
        <f t="shared" si="48"/>
        <v/>
      </c>
      <c r="DW12" s="36" t="str">
        <f t="shared" si="49"/>
        <v/>
      </c>
      <c r="DX12" s="37"/>
      <c r="DY12" s="33"/>
      <c r="DZ12" s="34"/>
      <c r="EA12" s="35" t="str">
        <f t="shared" si="50"/>
        <v/>
      </c>
      <c r="EB12" s="36" t="str">
        <f t="shared" si="51"/>
        <v/>
      </c>
      <c r="EC12" s="37"/>
      <c r="ED12" s="33"/>
      <c r="EE12" s="34"/>
      <c r="EF12" s="35" t="str">
        <f t="shared" si="52"/>
        <v/>
      </c>
      <c r="EG12" s="36" t="str">
        <f t="shared" si="53"/>
        <v/>
      </c>
      <c r="EH12" s="37"/>
      <c r="EI12" s="33"/>
      <c r="EJ12" s="34"/>
      <c r="EK12" s="35" t="str">
        <f t="shared" si="54"/>
        <v/>
      </c>
      <c r="EL12" s="36" t="str">
        <f t="shared" si="55"/>
        <v/>
      </c>
      <c r="EM12" s="37"/>
      <c r="EN12" s="33"/>
      <c r="EO12" s="34"/>
      <c r="EP12" s="35" t="str">
        <f t="shared" si="56"/>
        <v/>
      </c>
      <c r="EQ12" s="36" t="str">
        <f t="shared" si="57"/>
        <v/>
      </c>
      <c r="ER12" s="37"/>
      <c r="ES12" s="33"/>
      <c r="ET12" s="34"/>
      <c r="EU12" s="35" t="str">
        <f t="shared" si="58"/>
        <v/>
      </c>
      <c r="EV12" s="36" t="str">
        <f t="shared" si="59"/>
        <v/>
      </c>
      <c r="EW12" s="37"/>
    </row>
    <row r="13" spans="1:153" ht="19.5" customHeight="1">
      <c r="A13" s="32">
        <f>IF(DAY(DATE(対象年度,8,10))&lt;&gt;10,"",10)</f>
        <v>10</v>
      </c>
      <c r="B13" s="32" t="str">
        <f>IF(DAY(DATE(対象年度,8,10))&lt;&gt;10,"",CHOOSE(WEEKDAY(DATE(対象年度,8,10),2),"月","火","水","木","金","土","日"))</f>
        <v>月</v>
      </c>
      <c r="C13" s="32" t="str">
        <f>IF(DAY(DATE(対象年度,8,10))&lt;&gt;10,"",IF(ISNUMBER(MATCH(DATE(対象年度,8,10),祝日リスト,0)),"祝",""))</f>
        <v/>
      </c>
      <c r="D13" s="33"/>
      <c r="E13" s="34"/>
      <c r="F13" s="35" t="str">
        <f t="shared" si="0"/>
        <v/>
      </c>
      <c r="G13" s="36" t="str">
        <f t="shared" si="1"/>
        <v/>
      </c>
      <c r="H13" s="37"/>
      <c r="I13" s="33"/>
      <c r="J13" s="34"/>
      <c r="K13" s="35" t="str">
        <f t="shared" si="2"/>
        <v/>
      </c>
      <c r="L13" s="36" t="str">
        <f t="shared" si="3"/>
        <v/>
      </c>
      <c r="M13" s="37"/>
      <c r="N13" s="33"/>
      <c r="O13" s="34"/>
      <c r="P13" s="35" t="str">
        <f t="shared" si="4"/>
        <v/>
      </c>
      <c r="Q13" s="36" t="str">
        <f t="shared" si="5"/>
        <v/>
      </c>
      <c r="R13" s="37"/>
      <c r="S13" s="33"/>
      <c r="T13" s="34"/>
      <c r="U13" s="35" t="str">
        <f t="shared" si="6"/>
        <v/>
      </c>
      <c r="V13" s="36" t="str">
        <f t="shared" si="7"/>
        <v/>
      </c>
      <c r="W13" s="37"/>
      <c r="X13" s="33"/>
      <c r="Y13" s="34"/>
      <c r="Z13" s="35" t="str">
        <f t="shared" si="8"/>
        <v/>
      </c>
      <c r="AA13" s="36" t="str">
        <f t="shared" si="9"/>
        <v/>
      </c>
      <c r="AB13" s="37"/>
      <c r="AC13" s="33"/>
      <c r="AD13" s="34"/>
      <c r="AE13" s="35" t="str">
        <f t="shared" si="10"/>
        <v/>
      </c>
      <c r="AF13" s="36" t="str">
        <f t="shared" si="11"/>
        <v/>
      </c>
      <c r="AG13" s="37"/>
      <c r="AH13" s="33"/>
      <c r="AI13" s="34"/>
      <c r="AJ13" s="35" t="str">
        <f t="shared" si="12"/>
        <v/>
      </c>
      <c r="AK13" s="36" t="str">
        <f t="shared" si="13"/>
        <v/>
      </c>
      <c r="AL13" s="37"/>
      <c r="AM13" s="33"/>
      <c r="AN13" s="34"/>
      <c r="AO13" s="35" t="str">
        <f t="shared" si="14"/>
        <v/>
      </c>
      <c r="AP13" s="36" t="str">
        <f t="shared" si="15"/>
        <v/>
      </c>
      <c r="AQ13" s="37"/>
      <c r="AR13" s="33"/>
      <c r="AS13" s="34"/>
      <c r="AT13" s="35" t="str">
        <f t="shared" si="16"/>
        <v/>
      </c>
      <c r="AU13" s="36" t="str">
        <f t="shared" si="17"/>
        <v/>
      </c>
      <c r="AV13" s="37"/>
      <c r="AW13" s="33"/>
      <c r="AX13" s="34"/>
      <c r="AY13" s="35" t="str">
        <f t="shared" si="18"/>
        <v/>
      </c>
      <c r="AZ13" s="36" t="str">
        <f t="shared" si="19"/>
        <v/>
      </c>
      <c r="BA13" s="37"/>
      <c r="BB13" s="33"/>
      <c r="BC13" s="34"/>
      <c r="BD13" s="35" t="str">
        <f t="shared" si="20"/>
        <v/>
      </c>
      <c r="BE13" s="36" t="str">
        <f t="shared" si="21"/>
        <v/>
      </c>
      <c r="BF13" s="37"/>
      <c r="BG13" s="33"/>
      <c r="BH13" s="34"/>
      <c r="BI13" s="35" t="str">
        <f t="shared" si="22"/>
        <v/>
      </c>
      <c r="BJ13" s="36" t="str">
        <f t="shared" si="23"/>
        <v/>
      </c>
      <c r="BK13" s="37"/>
      <c r="BL13" s="33"/>
      <c r="BM13" s="34"/>
      <c r="BN13" s="35" t="str">
        <f t="shared" si="24"/>
        <v/>
      </c>
      <c r="BO13" s="36" t="str">
        <f t="shared" si="25"/>
        <v/>
      </c>
      <c r="BP13" s="37"/>
      <c r="BQ13" s="33"/>
      <c r="BR13" s="34"/>
      <c r="BS13" s="35" t="str">
        <f t="shared" si="26"/>
        <v/>
      </c>
      <c r="BT13" s="36" t="str">
        <f t="shared" si="27"/>
        <v/>
      </c>
      <c r="BU13" s="37"/>
      <c r="BV13" s="33"/>
      <c r="BW13" s="34"/>
      <c r="BX13" s="35" t="str">
        <f t="shared" si="28"/>
        <v/>
      </c>
      <c r="BY13" s="36" t="str">
        <f t="shared" si="29"/>
        <v/>
      </c>
      <c r="BZ13" s="37"/>
      <c r="CA13" s="33"/>
      <c r="CB13" s="34"/>
      <c r="CC13" s="35" t="str">
        <f t="shared" si="30"/>
        <v/>
      </c>
      <c r="CD13" s="36" t="str">
        <f t="shared" si="31"/>
        <v/>
      </c>
      <c r="CE13" s="37"/>
      <c r="CF13" s="33"/>
      <c r="CG13" s="34"/>
      <c r="CH13" s="35" t="str">
        <f t="shared" si="32"/>
        <v/>
      </c>
      <c r="CI13" s="36" t="str">
        <f t="shared" si="33"/>
        <v/>
      </c>
      <c r="CJ13" s="37"/>
      <c r="CK13" s="33"/>
      <c r="CL13" s="34"/>
      <c r="CM13" s="35" t="str">
        <f t="shared" si="34"/>
        <v/>
      </c>
      <c r="CN13" s="36" t="str">
        <f t="shared" si="35"/>
        <v/>
      </c>
      <c r="CO13" s="37"/>
      <c r="CP13" s="33"/>
      <c r="CQ13" s="34"/>
      <c r="CR13" s="35" t="str">
        <f t="shared" si="36"/>
        <v/>
      </c>
      <c r="CS13" s="36" t="str">
        <f t="shared" si="37"/>
        <v/>
      </c>
      <c r="CT13" s="37"/>
      <c r="CU13" s="33"/>
      <c r="CV13" s="34"/>
      <c r="CW13" s="35" t="str">
        <f t="shared" si="38"/>
        <v/>
      </c>
      <c r="CX13" s="36" t="str">
        <f t="shared" si="39"/>
        <v/>
      </c>
      <c r="CY13" s="37"/>
      <c r="CZ13" s="33"/>
      <c r="DA13" s="34"/>
      <c r="DB13" s="35" t="str">
        <f t="shared" si="40"/>
        <v/>
      </c>
      <c r="DC13" s="36" t="str">
        <f t="shared" si="41"/>
        <v/>
      </c>
      <c r="DD13" s="37"/>
      <c r="DE13" s="33"/>
      <c r="DF13" s="34"/>
      <c r="DG13" s="35" t="str">
        <f t="shared" si="42"/>
        <v/>
      </c>
      <c r="DH13" s="36" t="str">
        <f t="shared" si="43"/>
        <v/>
      </c>
      <c r="DI13" s="37"/>
      <c r="DJ13" s="33"/>
      <c r="DK13" s="34"/>
      <c r="DL13" s="35" t="str">
        <f t="shared" si="44"/>
        <v/>
      </c>
      <c r="DM13" s="36" t="str">
        <f t="shared" si="45"/>
        <v/>
      </c>
      <c r="DN13" s="37"/>
      <c r="DO13" s="33"/>
      <c r="DP13" s="34"/>
      <c r="DQ13" s="35" t="str">
        <f t="shared" si="46"/>
        <v/>
      </c>
      <c r="DR13" s="36" t="str">
        <f t="shared" si="47"/>
        <v/>
      </c>
      <c r="DS13" s="37"/>
      <c r="DT13" s="33"/>
      <c r="DU13" s="34"/>
      <c r="DV13" s="35" t="str">
        <f t="shared" si="48"/>
        <v/>
      </c>
      <c r="DW13" s="36" t="str">
        <f t="shared" si="49"/>
        <v/>
      </c>
      <c r="DX13" s="37"/>
      <c r="DY13" s="33"/>
      <c r="DZ13" s="34"/>
      <c r="EA13" s="35" t="str">
        <f t="shared" si="50"/>
        <v/>
      </c>
      <c r="EB13" s="36" t="str">
        <f t="shared" si="51"/>
        <v/>
      </c>
      <c r="EC13" s="37"/>
      <c r="ED13" s="33"/>
      <c r="EE13" s="34"/>
      <c r="EF13" s="35" t="str">
        <f t="shared" si="52"/>
        <v/>
      </c>
      <c r="EG13" s="36" t="str">
        <f t="shared" si="53"/>
        <v/>
      </c>
      <c r="EH13" s="37"/>
      <c r="EI13" s="33"/>
      <c r="EJ13" s="34"/>
      <c r="EK13" s="35" t="str">
        <f t="shared" si="54"/>
        <v/>
      </c>
      <c r="EL13" s="36" t="str">
        <f t="shared" si="55"/>
        <v/>
      </c>
      <c r="EM13" s="37"/>
      <c r="EN13" s="33"/>
      <c r="EO13" s="34"/>
      <c r="EP13" s="35" t="str">
        <f t="shared" si="56"/>
        <v/>
      </c>
      <c r="EQ13" s="36" t="str">
        <f t="shared" si="57"/>
        <v/>
      </c>
      <c r="ER13" s="37"/>
      <c r="ES13" s="33"/>
      <c r="ET13" s="34"/>
      <c r="EU13" s="35" t="str">
        <f t="shared" si="58"/>
        <v/>
      </c>
      <c r="EV13" s="36" t="str">
        <f t="shared" si="59"/>
        <v/>
      </c>
      <c r="EW13" s="37"/>
    </row>
    <row r="14" spans="1:153" ht="19.5" customHeight="1">
      <c r="A14" s="32">
        <f>IF(DAY(DATE(対象年度,8,11))&lt;&gt;11,"",11)</f>
        <v>11</v>
      </c>
      <c r="B14" s="32" t="str">
        <f>IF(DAY(DATE(対象年度,8,11))&lt;&gt;11,"",CHOOSE(WEEKDAY(DATE(対象年度,8,11),2),"月","火","水","木","金","土","日"))</f>
        <v>火</v>
      </c>
      <c r="C14" s="32" t="str">
        <f>IF(DAY(DATE(対象年度,8,11))&lt;&gt;11,"",IF(ISNUMBER(MATCH(DATE(対象年度,8,11),祝日リスト,0)),"祝",""))</f>
        <v>祝</v>
      </c>
      <c r="D14" s="33"/>
      <c r="E14" s="34"/>
      <c r="F14" s="35" t="str">
        <f t="shared" si="0"/>
        <v/>
      </c>
      <c r="G14" s="36" t="str">
        <f t="shared" si="1"/>
        <v/>
      </c>
      <c r="H14" s="37"/>
      <c r="I14" s="33"/>
      <c r="J14" s="34"/>
      <c r="K14" s="35" t="str">
        <f t="shared" si="2"/>
        <v/>
      </c>
      <c r="L14" s="36" t="str">
        <f t="shared" si="3"/>
        <v/>
      </c>
      <c r="M14" s="37"/>
      <c r="N14" s="33"/>
      <c r="O14" s="34"/>
      <c r="P14" s="35" t="str">
        <f t="shared" si="4"/>
        <v/>
      </c>
      <c r="Q14" s="36" t="str">
        <f t="shared" si="5"/>
        <v/>
      </c>
      <c r="R14" s="37"/>
      <c r="S14" s="33"/>
      <c r="T14" s="34"/>
      <c r="U14" s="35" t="str">
        <f t="shared" si="6"/>
        <v/>
      </c>
      <c r="V14" s="36" t="str">
        <f t="shared" si="7"/>
        <v/>
      </c>
      <c r="W14" s="37"/>
      <c r="X14" s="33"/>
      <c r="Y14" s="34"/>
      <c r="Z14" s="35" t="str">
        <f t="shared" si="8"/>
        <v/>
      </c>
      <c r="AA14" s="36" t="str">
        <f t="shared" si="9"/>
        <v/>
      </c>
      <c r="AB14" s="37"/>
      <c r="AC14" s="33"/>
      <c r="AD14" s="34"/>
      <c r="AE14" s="35" t="str">
        <f t="shared" si="10"/>
        <v/>
      </c>
      <c r="AF14" s="36" t="str">
        <f t="shared" si="11"/>
        <v/>
      </c>
      <c r="AG14" s="37"/>
      <c r="AH14" s="33"/>
      <c r="AI14" s="34"/>
      <c r="AJ14" s="35" t="str">
        <f t="shared" si="12"/>
        <v/>
      </c>
      <c r="AK14" s="36" t="str">
        <f t="shared" si="13"/>
        <v/>
      </c>
      <c r="AL14" s="37"/>
      <c r="AM14" s="33"/>
      <c r="AN14" s="34"/>
      <c r="AO14" s="35" t="str">
        <f t="shared" si="14"/>
        <v/>
      </c>
      <c r="AP14" s="36" t="str">
        <f t="shared" si="15"/>
        <v/>
      </c>
      <c r="AQ14" s="37"/>
      <c r="AR14" s="33"/>
      <c r="AS14" s="34"/>
      <c r="AT14" s="35" t="str">
        <f t="shared" si="16"/>
        <v/>
      </c>
      <c r="AU14" s="36" t="str">
        <f t="shared" si="17"/>
        <v/>
      </c>
      <c r="AV14" s="37"/>
      <c r="AW14" s="33"/>
      <c r="AX14" s="34"/>
      <c r="AY14" s="35" t="str">
        <f t="shared" si="18"/>
        <v/>
      </c>
      <c r="AZ14" s="36" t="str">
        <f t="shared" si="19"/>
        <v/>
      </c>
      <c r="BA14" s="37"/>
      <c r="BB14" s="33"/>
      <c r="BC14" s="34"/>
      <c r="BD14" s="35" t="str">
        <f t="shared" si="20"/>
        <v/>
      </c>
      <c r="BE14" s="36" t="str">
        <f t="shared" si="21"/>
        <v/>
      </c>
      <c r="BF14" s="37"/>
      <c r="BG14" s="33"/>
      <c r="BH14" s="34"/>
      <c r="BI14" s="35" t="str">
        <f t="shared" si="22"/>
        <v/>
      </c>
      <c r="BJ14" s="36" t="str">
        <f t="shared" si="23"/>
        <v/>
      </c>
      <c r="BK14" s="37"/>
      <c r="BL14" s="33"/>
      <c r="BM14" s="34"/>
      <c r="BN14" s="35" t="str">
        <f t="shared" si="24"/>
        <v/>
      </c>
      <c r="BO14" s="36" t="str">
        <f t="shared" si="25"/>
        <v/>
      </c>
      <c r="BP14" s="37"/>
      <c r="BQ14" s="33"/>
      <c r="BR14" s="34"/>
      <c r="BS14" s="35" t="str">
        <f t="shared" si="26"/>
        <v/>
      </c>
      <c r="BT14" s="36" t="str">
        <f t="shared" si="27"/>
        <v/>
      </c>
      <c r="BU14" s="37"/>
      <c r="BV14" s="33"/>
      <c r="BW14" s="34"/>
      <c r="BX14" s="35" t="str">
        <f t="shared" si="28"/>
        <v/>
      </c>
      <c r="BY14" s="36" t="str">
        <f t="shared" si="29"/>
        <v/>
      </c>
      <c r="BZ14" s="37"/>
      <c r="CA14" s="33"/>
      <c r="CB14" s="34"/>
      <c r="CC14" s="35" t="str">
        <f t="shared" si="30"/>
        <v/>
      </c>
      <c r="CD14" s="36" t="str">
        <f t="shared" si="31"/>
        <v/>
      </c>
      <c r="CE14" s="37"/>
      <c r="CF14" s="33"/>
      <c r="CG14" s="34"/>
      <c r="CH14" s="35" t="str">
        <f t="shared" si="32"/>
        <v/>
      </c>
      <c r="CI14" s="36" t="str">
        <f t="shared" si="33"/>
        <v/>
      </c>
      <c r="CJ14" s="37"/>
      <c r="CK14" s="33"/>
      <c r="CL14" s="34"/>
      <c r="CM14" s="35" t="str">
        <f t="shared" si="34"/>
        <v/>
      </c>
      <c r="CN14" s="36" t="str">
        <f t="shared" si="35"/>
        <v/>
      </c>
      <c r="CO14" s="37"/>
      <c r="CP14" s="33"/>
      <c r="CQ14" s="34"/>
      <c r="CR14" s="35" t="str">
        <f t="shared" si="36"/>
        <v/>
      </c>
      <c r="CS14" s="36" t="str">
        <f t="shared" si="37"/>
        <v/>
      </c>
      <c r="CT14" s="37"/>
      <c r="CU14" s="33"/>
      <c r="CV14" s="34"/>
      <c r="CW14" s="35" t="str">
        <f t="shared" si="38"/>
        <v/>
      </c>
      <c r="CX14" s="36" t="str">
        <f t="shared" si="39"/>
        <v/>
      </c>
      <c r="CY14" s="37"/>
      <c r="CZ14" s="33"/>
      <c r="DA14" s="34"/>
      <c r="DB14" s="35" t="str">
        <f t="shared" si="40"/>
        <v/>
      </c>
      <c r="DC14" s="36" t="str">
        <f t="shared" si="41"/>
        <v/>
      </c>
      <c r="DD14" s="37"/>
      <c r="DE14" s="33"/>
      <c r="DF14" s="34"/>
      <c r="DG14" s="35" t="str">
        <f t="shared" si="42"/>
        <v/>
      </c>
      <c r="DH14" s="36" t="str">
        <f t="shared" si="43"/>
        <v/>
      </c>
      <c r="DI14" s="37"/>
      <c r="DJ14" s="33"/>
      <c r="DK14" s="34"/>
      <c r="DL14" s="35" t="str">
        <f t="shared" si="44"/>
        <v/>
      </c>
      <c r="DM14" s="36" t="str">
        <f t="shared" si="45"/>
        <v/>
      </c>
      <c r="DN14" s="37"/>
      <c r="DO14" s="33"/>
      <c r="DP14" s="34"/>
      <c r="DQ14" s="35" t="str">
        <f t="shared" si="46"/>
        <v/>
      </c>
      <c r="DR14" s="36" t="str">
        <f t="shared" si="47"/>
        <v/>
      </c>
      <c r="DS14" s="37"/>
      <c r="DT14" s="33"/>
      <c r="DU14" s="34"/>
      <c r="DV14" s="35" t="str">
        <f t="shared" si="48"/>
        <v/>
      </c>
      <c r="DW14" s="36" t="str">
        <f t="shared" si="49"/>
        <v/>
      </c>
      <c r="DX14" s="37"/>
      <c r="DY14" s="33"/>
      <c r="DZ14" s="34"/>
      <c r="EA14" s="35" t="str">
        <f t="shared" si="50"/>
        <v/>
      </c>
      <c r="EB14" s="36" t="str">
        <f t="shared" si="51"/>
        <v/>
      </c>
      <c r="EC14" s="37"/>
      <c r="ED14" s="33"/>
      <c r="EE14" s="34"/>
      <c r="EF14" s="35" t="str">
        <f t="shared" si="52"/>
        <v/>
      </c>
      <c r="EG14" s="36" t="str">
        <f t="shared" si="53"/>
        <v/>
      </c>
      <c r="EH14" s="37"/>
      <c r="EI14" s="33"/>
      <c r="EJ14" s="34"/>
      <c r="EK14" s="35" t="str">
        <f t="shared" si="54"/>
        <v/>
      </c>
      <c r="EL14" s="36" t="str">
        <f t="shared" si="55"/>
        <v/>
      </c>
      <c r="EM14" s="37"/>
      <c r="EN14" s="33"/>
      <c r="EO14" s="34"/>
      <c r="EP14" s="35" t="str">
        <f t="shared" si="56"/>
        <v/>
      </c>
      <c r="EQ14" s="36" t="str">
        <f t="shared" si="57"/>
        <v/>
      </c>
      <c r="ER14" s="37"/>
      <c r="ES14" s="33"/>
      <c r="ET14" s="34"/>
      <c r="EU14" s="35" t="str">
        <f t="shared" si="58"/>
        <v/>
      </c>
      <c r="EV14" s="36" t="str">
        <f t="shared" si="59"/>
        <v/>
      </c>
      <c r="EW14" s="37"/>
    </row>
    <row r="15" spans="1:153" ht="19.5" customHeight="1">
      <c r="A15" s="32">
        <f>IF(DAY(DATE(対象年度,8,12))&lt;&gt;12,"",12)</f>
        <v>12</v>
      </c>
      <c r="B15" s="32" t="str">
        <f>IF(DAY(DATE(対象年度,8,12))&lt;&gt;12,"",CHOOSE(WEEKDAY(DATE(対象年度,8,12),2),"月","火","水","木","金","土","日"))</f>
        <v>水</v>
      </c>
      <c r="C15" s="32" t="str">
        <f>IF(DAY(DATE(対象年度,8,12))&lt;&gt;12,"",IF(ISNUMBER(MATCH(DATE(対象年度,8,12),祝日リスト,0)),"祝",""))</f>
        <v/>
      </c>
      <c r="D15" s="33"/>
      <c r="E15" s="34"/>
      <c r="F15" s="35" t="str">
        <f t="shared" si="0"/>
        <v/>
      </c>
      <c r="G15" s="36" t="str">
        <f t="shared" si="1"/>
        <v/>
      </c>
      <c r="H15" s="37"/>
      <c r="I15" s="33"/>
      <c r="J15" s="34"/>
      <c r="K15" s="35" t="str">
        <f t="shared" si="2"/>
        <v/>
      </c>
      <c r="L15" s="36" t="str">
        <f t="shared" si="3"/>
        <v/>
      </c>
      <c r="M15" s="37"/>
      <c r="N15" s="33"/>
      <c r="O15" s="34"/>
      <c r="P15" s="35" t="str">
        <f t="shared" si="4"/>
        <v/>
      </c>
      <c r="Q15" s="36" t="str">
        <f t="shared" si="5"/>
        <v/>
      </c>
      <c r="R15" s="37"/>
      <c r="S15" s="33"/>
      <c r="T15" s="34"/>
      <c r="U15" s="35" t="str">
        <f t="shared" si="6"/>
        <v/>
      </c>
      <c r="V15" s="36" t="str">
        <f t="shared" si="7"/>
        <v/>
      </c>
      <c r="W15" s="37"/>
      <c r="X15" s="33"/>
      <c r="Y15" s="34"/>
      <c r="Z15" s="35" t="str">
        <f t="shared" si="8"/>
        <v/>
      </c>
      <c r="AA15" s="36" t="str">
        <f t="shared" si="9"/>
        <v/>
      </c>
      <c r="AB15" s="37"/>
      <c r="AC15" s="33"/>
      <c r="AD15" s="34"/>
      <c r="AE15" s="35" t="str">
        <f t="shared" si="10"/>
        <v/>
      </c>
      <c r="AF15" s="36" t="str">
        <f t="shared" si="11"/>
        <v/>
      </c>
      <c r="AG15" s="37"/>
      <c r="AH15" s="33"/>
      <c r="AI15" s="34"/>
      <c r="AJ15" s="35" t="str">
        <f t="shared" si="12"/>
        <v/>
      </c>
      <c r="AK15" s="36" t="str">
        <f t="shared" si="13"/>
        <v/>
      </c>
      <c r="AL15" s="37"/>
      <c r="AM15" s="33"/>
      <c r="AN15" s="34"/>
      <c r="AO15" s="35" t="str">
        <f t="shared" si="14"/>
        <v/>
      </c>
      <c r="AP15" s="36" t="str">
        <f t="shared" si="15"/>
        <v/>
      </c>
      <c r="AQ15" s="37"/>
      <c r="AR15" s="33"/>
      <c r="AS15" s="34"/>
      <c r="AT15" s="35" t="str">
        <f t="shared" si="16"/>
        <v/>
      </c>
      <c r="AU15" s="36" t="str">
        <f t="shared" si="17"/>
        <v/>
      </c>
      <c r="AV15" s="37"/>
      <c r="AW15" s="33"/>
      <c r="AX15" s="34"/>
      <c r="AY15" s="35" t="str">
        <f t="shared" si="18"/>
        <v/>
      </c>
      <c r="AZ15" s="36" t="str">
        <f t="shared" si="19"/>
        <v/>
      </c>
      <c r="BA15" s="37"/>
      <c r="BB15" s="33"/>
      <c r="BC15" s="34"/>
      <c r="BD15" s="35" t="str">
        <f t="shared" si="20"/>
        <v/>
      </c>
      <c r="BE15" s="36" t="str">
        <f t="shared" si="21"/>
        <v/>
      </c>
      <c r="BF15" s="37"/>
      <c r="BG15" s="33"/>
      <c r="BH15" s="34"/>
      <c r="BI15" s="35" t="str">
        <f t="shared" si="22"/>
        <v/>
      </c>
      <c r="BJ15" s="36" t="str">
        <f t="shared" si="23"/>
        <v/>
      </c>
      <c r="BK15" s="37"/>
      <c r="BL15" s="33"/>
      <c r="BM15" s="34"/>
      <c r="BN15" s="35" t="str">
        <f t="shared" si="24"/>
        <v/>
      </c>
      <c r="BO15" s="36" t="str">
        <f t="shared" si="25"/>
        <v/>
      </c>
      <c r="BP15" s="37"/>
      <c r="BQ15" s="33"/>
      <c r="BR15" s="34"/>
      <c r="BS15" s="35" t="str">
        <f t="shared" si="26"/>
        <v/>
      </c>
      <c r="BT15" s="36" t="str">
        <f t="shared" si="27"/>
        <v/>
      </c>
      <c r="BU15" s="37"/>
      <c r="BV15" s="33"/>
      <c r="BW15" s="34"/>
      <c r="BX15" s="35" t="str">
        <f t="shared" si="28"/>
        <v/>
      </c>
      <c r="BY15" s="36" t="str">
        <f t="shared" si="29"/>
        <v/>
      </c>
      <c r="BZ15" s="37"/>
      <c r="CA15" s="33"/>
      <c r="CB15" s="34"/>
      <c r="CC15" s="35" t="str">
        <f t="shared" si="30"/>
        <v/>
      </c>
      <c r="CD15" s="36" t="str">
        <f t="shared" si="31"/>
        <v/>
      </c>
      <c r="CE15" s="37"/>
      <c r="CF15" s="33"/>
      <c r="CG15" s="34"/>
      <c r="CH15" s="35" t="str">
        <f t="shared" si="32"/>
        <v/>
      </c>
      <c r="CI15" s="36" t="str">
        <f t="shared" si="33"/>
        <v/>
      </c>
      <c r="CJ15" s="37"/>
      <c r="CK15" s="33"/>
      <c r="CL15" s="34"/>
      <c r="CM15" s="35" t="str">
        <f t="shared" si="34"/>
        <v/>
      </c>
      <c r="CN15" s="36" t="str">
        <f t="shared" si="35"/>
        <v/>
      </c>
      <c r="CO15" s="37"/>
      <c r="CP15" s="33"/>
      <c r="CQ15" s="34"/>
      <c r="CR15" s="35" t="str">
        <f t="shared" si="36"/>
        <v/>
      </c>
      <c r="CS15" s="36" t="str">
        <f t="shared" si="37"/>
        <v/>
      </c>
      <c r="CT15" s="37"/>
      <c r="CU15" s="33"/>
      <c r="CV15" s="34"/>
      <c r="CW15" s="35" t="str">
        <f t="shared" si="38"/>
        <v/>
      </c>
      <c r="CX15" s="36" t="str">
        <f t="shared" si="39"/>
        <v/>
      </c>
      <c r="CY15" s="37"/>
      <c r="CZ15" s="33"/>
      <c r="DA15" s="34"/>
      <c r="DB15" s="35" t="str">
        <f t="shared" si="40"/>
        <v/>
      </c>
      <c r="DC15" s="36" t="str">
        <f t="shared" si="41"/>
        <v/>
      </c>
      <c r="DD15" s="37"/>
      <c r="DE15" s="33"/>
      <c r="DF15" s="34"/>
      <c r="DG15" s="35" t="str">
        <f t="shared" si="42"/>
        <v/>
      </c>
      <c r="DH15" s="36" t="str">
        <f t="shared" si="43"/>
        <v/>
      </c>
      <c r="DI15" s="37"/>
      <c r="DJ15" s="33"/>
      <c r="DK15" s="34"/>
      <c r="DL15" s="35" t="str">
        <f t="shared" si="44"/>
        <v/>
      </c>
      <c r="DM15" s="36" t="str">
        <f t="shared" si="45"/>
        <v/>
      </c>
      <c r="DN15" s="37"/>
      <c r="DO15" s="33"/>
      <c r="DP15" s="34"/>
      <c r="DQ15" s="35" t="str">
        <f t="shared" si="46"/>
        <v/>
      </c>
      <c r="DR15" s="36" t="str">
        <f t="shared" si="47"/>
        <v/>
      </c>
      <c r="DS15" s="37"/>
      <c r="DT15" s="33"/>
      <c r="DU15" s="34"/>
      <c r="DV15" s="35" t="str">
        <f t="shared" si="48"/>
        <v/>
      </c>
      <c r="DW15" s="36" t="str">
        <f t="shared" si="49"/>
        <v/>
      </c>
      <c r="DX15" s="37"/>
      <c r="DY15" s="33"/>
      <c r="DZ15" s="34"/>
      <c r="EA15" s="35" t="str">
        <f t="shared" si="50"/>
        <v/>
      </c>
      <c r="EB15" s="36" t="str">
        <f t="shared" si="51"/>
        <v/>
      </c>
      <c r="EC15" s="37"/>
      <c r="ED15" s="33"/>
      <c r="EE15" s="34"/>
      <c r="EF15" s="35" t="str">
        <f t="shared" si="52"/>
        <v/>
      </c>
      <c r="EG15" s="36" t="str">
        <f t="shared" si="53"/>
        <v/>
      </c>
      <c r="EH15" s="37"/>
      <c r="EI15" s="33"/>
      <c r="EJ15" s="34"/>
      <c r="EK15" s="35" t="str">
        <f t="shared" si="54"/>
        <v/>
      </c>
      <c r="EL15" s="36" t="str">
        <f t="shared" si="55"/>
        <v/>
      </c>
      <c r="EM15" s="37"/>
      <c r="EN15" s="33"/>
      <c r="EO15" s="34"/>
      <c r="EP15" s="35" t="str">
        <f t="shared" si="56"/>
        <v/>
      </c>
      <c r="EQ15" s="36" t="str">
        <f t="shared" si="57"/>
        <v/>
      </c>
      <c r="ER15" s="37"/>
      <c r="ES15" s="33"/>
      <c r="ET15" s="34"/>
      <c r="EU15" s="35" t="str">
        <f t="shared" si="58"/>
        <v/>
      </c>
      <c r="EV15" s="36" t="str">
        <f t="shared" si="59"/>
        <v/>
      </c>
      <c r="EW15" s="37"/>
    </row>
    <row r="16" spans="1:153" ht="19.5" customHeight="1">
      <c r="A16" s="32">
        <f>IF(DAY(DATE(対象年度,8,13))&lt;&gt;13,"",13)</f>
        <v>13</v>
      </c>
      <c r="B16" s="32" t="str">
        <f>IF(DAY(DATE(対象年度,8,13))&lt;&gt;13,"",CHOOSE(WEEKDAY(DATE(対象年度,8,13),2),"月","火","水","木","金","土","日"))</f>
        <v>木</v>
      </c>
      <c r="C16" s="32" t="str">
        <f>IF(DAY(DATE(対象年度,8,13))&lt;&gt;13,"",IF(ISNUMBER(MATCH(DATE(対象年度,8,13),祝日リスト,0)),"祝",""))</f>
        <v/>
      </c>
      <c r="D16" s="33"/>
      <c r="E16" s="34"/>
      <c r="F16" s="35" t="str">
        <f t="shared" si="0"/>
        <v/>
      </c>
      <c r="G16" s="36" t="str">
        <f t="shared" si="1"/>
        <v/>
      </c>
      <c r="H16" s="37"/>
      <c r="I16" s="33"/>
      <c r="J16" s="34"/>
      <c r="K16" s="35" t="str">
        <f t="shared" si="2"/>
        <v/>
      </c>
      <c r="L16" s="36" t="str">
        <f t="shared" si="3"/>
        <v/>
      </c>
      <c r="M16" s="37"/>
      <c r="N16" s="33"/>
      <c r="O16" s="34"/>
      <c r="P16" s="35" t="str">
        <f t="shared" si="4"/>
        <v/>
      </c>
      <c r="Q16" s="36" t="str">
        <f t="shared" si="5"/>
        <v/>
      </c>
      <c r="R16" s="37"/>
      <c r="S16" s="33"/>
      <c r="T16" s="34"/>
      <c r="U16" s="35" t="str">
        <f t="shared" si="6"/>
        <v/>
      </c>
      <c r="V16" s="36" t="str">
        <f t="shared" si="7"/>
        <v/>
      </c>
      <c r="W16" s="37"/>
      <c r="X16" s="33"/>
      <c r="Y16" s="34"/>
      <c r="Z16" s="35" t="str">
        <f t="shared" si="8"/>
        <v/>
      </c>
      <c r="AA16" s="36" t="str">
        <f t="shared" si="9"/>
        <v/>
      </c>
      <c r="AB16" s="37"/>
      <c r="AC16" s="33"/>
      <c r="AD16" s="34"/>
      <c r="AE16" s="35" t="str">
        <f t="shared" si="10"/>
        <v/>
      </c>
      <c r="AF16" s="36" t="str">
        <f t="shared" si="11"/>
        <v/>
      </c>
      <c r="AG16" s="37"/>
      <c r="AH16" s="33"/>
      <c r="AI16" s="34"/>
      <c r="AJ16" s="35" t="str">
        <f t="shared" si="12"/>
        <v/>
      </c>
      <c r="AK16" s="36" t="str">
        <f t="shared" si="13"/>
        <v/>
      </c>
      <c r="AL16" s="37"/>
      <c r="AM16" s="33"/>
      <c r="AN16" s="34"/>
      <c r="AO16" s="35" t="str">
        <f t="shared" si="14"/>
        <v/>
      </c>
      <c r="AP16" s="36" t="str">
        <f t="shared" si="15"/>
        <v/>
      </c>
      <c r="AQ16" s="37"/>
      <c r="AR16" s="33"/>
      <c r="AS16" s="34"/>
      <c r="AT16" s="35" t="str">
        <f t="shared" si="16"/>
        <v/>
      </c>
      <c r="AU16" s="36" t="str">
        <f t="shared" si="17"/>
        <v/>
      </c>
      <c r="AV16" s="37"/>
      <c r="AW16" s="33"/>
      <c r="AX16" s="34"/>
      <c r="AY16" s="35" t="str">
        <f t="shared" si="18"/>
        <v/>
      </c>
      <c r="AZ16" s="36" t="str">
        <f t="shared" si="19"/>
        <v/>
      </c>
      <c r="BA16" s="37"/>
      <c r="BB16" s="33"/>
      <c r="BC16" s="34"/>
      <c r="BD16" s="35" t="str">
        <f t="shared" si="20"/>
        <v/>
      </c>
      <c r="BE16" s="36" t="str">
        <f t="shared" si="21"/>
        <v/>
      </c>
      <c r="BF16" s="37"/>
      <c r="BG16" s="33"/>
      <c r="BH16" s="34"/>
      <c r="BI16" s="35" t="str">
        <f t="shared" si="22"/>
        <v/>
      </c>
      <c r="BJ16" s="36" t="str">
        <f t="shared" si="23"/>
        <v/>
      </c>
      <c r="BK16" s="37"/>
      <c r="BL16" s="33"/>
      <c r="BM16" s="34"/>
      <c r="BN16" s="35" t="str">
        <f t="shared" si="24"/>
        <v/>
      </c>
      <c r="BO16" s="36" t="str">
        <f t="shared" si="25"/>
        <v/>
      </c>
      <c r="BP16" s="37"/>
      <c r="BQ16" s="33"/>
      <c r="BR16" s="34"/>
      <c r="BS16" s="35" t="str">
        <f t="shared" si="26"/>
        <v/>
      </c>
      <c r="BT16" s="36" t="str">
        <f t="shared" si="27"/>
        <v/>
      </c>
      <c r="BU16" s="37"/>
      <c r="BV16" s="33"/>
      <c r="BW16" s="34"/>
      <c r="BX16" s="35" t="str">
        <f t="shared" si="28"/>
        <v/>
      </c>
      <c r="BY16" s="36" t="str">
        <f t="shared" si="29"/>
        <v/>
      </c>
      <c r="BZ16" s="37"/>
      <c r="CA16" s="33"/>
      <c r="CB16" s="34"/>
      <c r="CC16" s="35" t="str">
        <f t="shared" si="30"/>
        <v/>
      </c>
      <c r="CD16" s="36" t="str">
        <f t="shared" si="31"/>
        <v/>
      </c>
      <c r="CE16" s="37"/>
      <c r="CF16" s="33"/>
      <c r="CG16" s="34"/>
      <c r="CH16" s="35" t="str">
        <f t="shared" si="32"/>
        <v/>
      </c>
      <c r="CI16" s="36" t="str">
        <f t="shared" si="33"/>
        <v/>
      </c>
      <c r="CJ16" s="37"/>
      <c r="CK16" s="33"/>
      <c r="CL16" s="34"/>
      <c r="CM16" s="35" t="str">
        <f t="shared" si="34"/>
        <v/>
      </c>
      <c r="CN16" s="36" t="str">
        <f t="shared" si="35"/>
        <v/>
      </c>
      <c r="CO16" s="37"/>
      <c r="CP16" s="33"/>
      <c r="CQ16" s="34"/>
      <c r="CR16" s="35" t="str">
        <f t="shared" si="36"/>
        <v/>
      </c>
      <c r="CS16" s="36" t="str">
        <f t="shared" si="37"/>
        <v/>
      </c>
      <c r="CT16" s="37"/>
      <c r="CU16" s="33"/>
      <c r="CV16" s="34"/>
      <c r="CW16" s="35" t="str">
        <f t="shared" si="38"/>
        <v/>
      </c>
      <c r="CX16" s="36" t="str">
        <f t="shared" si="39"/>
        <v/>
      </c>
      <c r="CY16" s="37"/>
      <c r="CZ16" s="33"/>
      <c r="DA16" s="34"/>
      <c r="DB16" s="35" t="str">
        <f t="shared" si="40"/>
        <v/>
      </c>
      <c r="DC16" s="36" t="str">
        <f t="shared" si="41"/>
        <v/>
      </c>
      <c r="DD16" s="37"/>
      <c r="DE16" s="33"/>
      <c r="DF16" s="34"/>
      <c r="DG16" s="35" t="str">
        <f t="shared" si="42"/>
        <v/>
      </c>
      <c r="DH16" s="36" t="str">
        <f t="shared" si="43"/>
        <v/>
      </c>
      <c r="DI16" s="37"/>
      <c r="DJ16" s="33"/>
      <c r="DK16" s="34"/>
      <c r="DL16" s="35" t="str">
        <f t="shared" si="44"/>
        <v/>
      </c>
      <c r="DM16" s="36" t="str">
        <f t="shared" si="45"/>
        <v/>
      </c>
      <c r="DN16" s="37"/>
      <c r="DO16" s="33"/>
      <c r="DP16" s="34"/>
      <c r="DQ16" s="35" t="str">
        <f t="shared" si="46"/>
        <v/>
      </c>
      <c r="DR16" s="36" t="str">
        <f t="shared" si="47"/>
        <v/>
      </c>
      <c r="DS16" s="37"/>
      <c r="DT16" s="33"/>
      <c r="DU16" s="34"/>
      <c r="DV16" s="35" t="str">
        <f t="shared" si="48"/>
        <v/>
      </c>
      <c r="DW16" s="36" t="str">
        <f t="shared" si="49"/>
        <v/>
      </c>
      <c r="DX16" s="37"/>
      <c r="DY16" s="33"/>
      <c r="DZ16" s="34"/>
      <c r="EA16" s="35" t="str">
        <f t="shared" si="50"/>
        <v/>
      </c>
      <c r="EB16" s="36" t="str">
        <f t="shared" si="51"/>
        <v/>
      </c>
      <c r="EC16" s="37"/>
      <c r="ED16" s="33"/>
      <c r="EE16" s="34"/>
      <c r="EF16" s="35" t="str">
        <f t="shared" si="52"/>
        <v/>
      </c>
      <c r="EG16" s="36" t="str">
        <f t="shared" si="53"/>
        <v/>
      </c>
      <c r="EH16" s="37"/>
      <c r="EI16" s="33"/>
      <c r="EJ16" s="34"/>
      <c r="EK16" s="35" t="str">
        <f t="shared" si="54"/>
        <v/>
      </c>
      <c r="EL16" s="36" t="str">
        <f t="shared" si="55"/>
        <v/>
      </c>
      <c r="EM16" s="37"/>
      <c r="EN16" s="33"/>
      <c r="EO16" s="34"/>
      <c r="EP16" s="35" t="str">
        <f t="shared" si="56"/>
        <v/>
      </c>
      <c r="EQ16" s="36" t="str">
        <f t="shared" si="57"/>
        <v/>
      </c>
      <c r="ER16" s="37"/>
      <c r="ES16" s="33"/>
      <c r="ET16" s="34"/>
      <c r="EU16" s="35" t="str">
        <f t="shared" si="58"/>
        <v/>
      </c>
      <c r="EV16" s="36" t="str">
        <f t="shared" si="59"/>
        <v/>
      </c>
      <c r="EW16" s="37"/>
    </row>
    <row r="17" spans="1:153" ht="19.5" customHeight="1">
      <c r="A17" s="32">
        <f>IF(DAY(DATE(対象年度,8,14))&lt;&gt;14,"",14)</f>
        <v>14</v>
      </c>
      <c r="B17" s="32" t="str">
        <f>IF(DAY(DATE(対象年度,8,14))&lt;&gt;14,"",CHOOSE(WEEKDAY(DATE(対象年度,8,14),2),"月","火","水","木","金","土","日"))</f>
        <v>金</v>
      </c>
      <c r="C17" s="32" t="str">
        <f>IF(DAY(DATE(対象年度,8,14))&lt;&gt;14,"",IF(ISNUMBER(MATCH(DATE(対象年度,8,14),祝日リスト,0)),"祝",""))</f>
        <v/>
      </c>
      <c r="D17" s="33"/>
      <c r="E17" s="34"/>
      <c r="F17" s="35" t="str">
        <f t="shared" si="0"/>
        <v/>
      </c>
      <c r="G17" s="36" t="str">
        <f t="shared" si="1"/>
        <v/>
      </c>
      <c r="H17" s="37"/>
      <c r="I17" s="33"/>
      <c r="J17" s="34"/>
      <c r="K17" s="35" t="str">
        <f t="shared" si="2"/>
        <v/>
      </c>
      <c r="L17" s="36" t="str">
        <f t="shared" si="3"/>
        <v/>
      </c>
      <c r="M17" s="37"/>
      <c r="N17" s="33"/>
      <c r="O17" s="34"/>
      <c r="P17" s="35" t="str">
        <f t="shared" si="4"/>
        <v/>
      </c>
      <c r="Q17" s="36" t="str">
        <f t="shared" si="5"/>
        <v/>
      </c>
      <c r="R17" s="37"/>
      <c r="S17" s="33"/>
      <c r="T17" s="34"/>
      <c r="U17" s="35" t="str">
        <f t="shared" si="6"/>
        <v/>
      </c>
      <c r="V17" s="36" t="str">
        <f t="shared" si="7"/>
        <v/>
      </c>
      <c r="W17" s="37"/>
      <c r="X17" s="33"/>
      <c r="Y17" s="34"/>
      <c r="Z17" s="35" t="str">
        <f t="shared" si="8"/>
        <v/>
      </c>
      <c r="AA17" s="36" t="str">
        <f t="shared" si="9"/>
        <v/>
      </c>
      <c r="AB17" s="37"/>
      <c r="AC17" s="33"/>
      <c r="AD17" s="34"/>
      <c r="AE17" s="35" t="str">
        <f t="shared" si="10"/>
        <v/>
      </c>
      <c r="AF17" s="36" t="str">
        <f t="shared" si="11"/>
        <v/>
      </c>
      <c r="AG17" s="37"/>
      <c r="AH17" s="33"/>
      <c r="AI17" s="34"/>
      <c r="AJ17" s="35" t="str">
        <f t="shared" si="12"/>
        <v/>
      </c>
      <c r="AK17" s="36" t="str">
        <f t="shared" si="13"/>
        <v/>
      </c>
      <c r="AL17" s="37"/>
      <c r="AM17" s="33"/>
      <c r="AN17" s="34"/>
      <c r="AO17" s="35" t="str">
        <f t="shared" si="14"/>
        <v/>
      </c>
      <c r="AP17" s="36" t="str">
        <f t="shared" si="15"/>
        <v/>
      </c>
      <c r="AQ17" s="37"/>
      <c r="AR17" s="33"/>
      <c r="AS17" s="34"/>
      <c r="AT17" s="35" t="str">
        <f t="shared" si="16"/>
        <v/>
      </c>
      <c r="AU17" s="36" t="str">
        <f t="shared" si="17"/>
        <v/>
      </c>
      <c r="AV17" s="37"/>
      <c r="AW17" s="33"/>
      <c r="AX17" s="34"/>
      <c r="AY17" s="35" t="str">
        <f t="shared" si="18"/>
        <v/>
      </c>
      <c r="AZ17" s="36" t="str">
        <f t="shared" si="19"/>
        <v/>
      </c>
      <c r="BA17" s="37"/>
      <c r="BB17" s="33"/>
      <c r="BC17" s="34"/>
      <c r="BD17" s="35" t="str">
        <f t="shared" si="20"/>
        <v/>
      </c>
      <c r="BE17" s="36" t="str">
        <f t="shared" si="21"/>
        <v/>
      </c>
      <c r="BF17" s="37"/>
      <c r="BG17" s="33"/>
      <c r="BH17" s="34"/>
      <c r="BI17" s="35" t="str">
        <f t="shared" si="22"/>
        <v/>
      </c>
      <c r="BJ17" s="36" t="str">
        <f t="shared" si="23"/>
        <v/>
      </c>
      <c r="BK17" s="37"/>
      <c r="BL17" s="33"/>
      <c r="BM17" s="34"/>
      <c r="BN17" s="35" t="str">
        <f t="shared" si="24"/>
        <v/>
      </c>
      <c r="BO17" s="36" t="str">
        <f t="shared" si="25"/>
        <v/>
      </c>
      <c r="BP17" s="37"/>
      <c r="BQ17" s="33"/>
      <c r="BR17" s="34"/>
      <c r="BS17" s="35" t="str">
        <f t="shared" si="26"/>
        <v/>
      </c>
      <c r="BT17" s="36" t="str">
        <f t="shared" si="27"/>
        <v/>
      </c>
      <c r="BU17" s="37"/>
      <c r="BV17" s="33"/>
      <c r="BW17" s="34"/>
      <c r="BX17" s="35" t="str">
        <f t="shared" si="28"/>
        <v/>
      </c>
      <c r="BY17" s="36" t="str">
        <f t="shared" si="29"/>
        <v/>
      </c>
      <c r="BZ17" s="37"/>
      <c r="CA17" s="33"/>
      <c r="CB17" s="34"/>
      <c r="CC17" s="35" t="str">
        <f t="shared" si="30"/>
        <v/>
      </c>
      <c r="CD17" s="36" t="str">
        <f t="shared" si="31"/>
        <v/>
      </c>
      <c r="CE17" s="37"/>
      <c r="CF17" s="33"/>
      <c r="CG17" s="34"/>
      <c r="CH17" s="35" t="str">
        <f t="shared" si="32"/>
        <v/>
      </c>
      <c r="CI17" s="36" t="str">
        <f t="shared" si="33"/>
        <v/>
      </c>
      <c r="CJ17" s="37"/>
      <c r="CK17" s="33"/>
      <c r="CL17" s="34"/>
      <c r="CM17" s="35" t="str">
        <f t="shared" si="34"/>
        <v/>
      </c>
      <c r="CN17" s="36" t="str">
        <f t="shared" si="35"/>
        <v/>
      </c>
      <c r="CO17" s="37"/>
      <c r="CP17" s="33"/>
      <c r="CQ17" s="34"/>
      <c r="CR17" s="35" t="str">
        <f t="shared" si="36"/>
        <v/>
      </c>
      <c r="CS17" s="36" t="str">
        <f t="shared" si="37"/>
        <v/>
      </c>
      <c r="CT17" s="37"/>
      <c r="CU17" s="33"/>
      <c r="CV17" s="34"/>
      <c r="CW17" s="35" t="str">
        <f t="shared" si="38"/>
        <v/>
      </c>
      <c r="CX17" s="36" t="str">
        <f t="shared" si="39"/>
        <v/>
      </c>
      <c r="CY17" s="37"/>
      <c r="CZ17" s="33"/>
      <c r="DA17" s="34"/>
      <c r="DB17" s="35" t="str">
        <f t="shared" si="40"/>
        <v/>
      </c>
      <c r="DC17" s="36" t="str">
        <f t="shared" si="41"/>
        <v/>
      </c>
      <c r="DD17" s="37"/>
      <c r="DE17" s="33"/>
      <c r="DF17" s="34"/>
      <c r="DG17" s="35" t="str">
        <f t="shared" si="42"/>
        <v/>
      </c>
      <c r="DH17" s="36" t="str">
        <f t="shared" si="43"/>
        <v/>
      </c>
      <c r="DI17" s="37"/>
      <c r="DJ17" s="33"/>
      <c r="DK17" s="34"/>
      <c r="DL17" s="35" t="str">
        <f t="shared" si="44"/>
        <v/>
      </c>
      <c r="DM17" s="36" t="str">
        <f t="shared" si="45"/>
        <v/>
      </c>
      <c r="DN17" s="37"/>
      <c r="DO17" s="33"/>
      <c r="DP17" s="34"/>
      <c r="DQ17" s="35" t="str">
        <f t="shared" si="46"/>
        <v/>
      </c>
      <c r="DR17" s="36" t="str">
        <f t="shared" si="47"/>
        <v/>
      </c>
      <c r="DS17" s="37"/>
      <c r="DT17" s="33"/>
      <c r="DU17" s="34"/>
      <c r="DV17" s="35" t="str">
        <f t="shared" si="48"/>
        <v/>
      </c>
      <c r="DW17" s="36" t="str">
        <f t="shared" si="49"/>
        <v/>
      </c>
      <c r="DX17" s="37"/>
      <c r="DY17" s="33"/>
      <c r="DZ17" s="34"/>
      <c r="EA17" s="35" t="str">
        <f t="shared" si="50"/>
        <v/>
      </c>
      <c r="EB17" s="36" t="str">
        <f t="shared" si="51"/>
        <v/>
      </c>
      <c r="EC17" s="37"/>
      <c r="ED17" s="33"/>
      <c r="EE17" s="34"/>
      <c r="EF17" s="35" t="str">
        <f t="shared" si="52"/>
        <v/>
      </c>
      <c r="EG17" s="36" t="str">
        <f t="shared" si="53"/>
        <v/>
      </c>
      <c r="EH17" s="37"/>
      <c r="EI17" s="33"/>
      <c r="EJ17" s="34"/>
      <c r="EK17" s="35" t="str">
        <f t="shared" si="54"/>
        <v/>
      </c>
      <c r="EL17" s="36" t="str">
        <f t="shared" si="55"/>
        <v/>
      </c>
      <c r="EM17" s="37"/>
      <c r="EN17" s="33"/>
      <c r="EO17" s="34"/>
      <c r="EP17" s="35" t="str">
        <f t="shared" si="56"/>
        <v/>
      </c>
      <c r="EQ17" s="36" t="str">
        <f t="shared" si="57"/>
        <v/>
      </c>
      <c r="ER17" s="37"/>
      <c r="ES17" s="33"/>
      <c r="ET17" s="34"/>
      <c r="EU17" s="35" t="str">
        <f t="shared" si="58"/>
        <v/>
      </c>
      <c r="EV17" s="36" t="str">
        <f t="shared" si="59"/>
        <v/>
      </c>
      <c r="EW17" s="37"/>
    </row>
    <row r="18" spans="1:153" ht="19.5" customHeight="1">
      <c r="A18" s="32">
        <f>IF(DAY(DATE(対象年度,8,15))&lt;&gt;15,"",15)</f>
        <v>15</v>
      </c>
      <c r="B18" s="32" t="str">
        <f>IF(DAY(DATE(対象年度,8,15))&lt;&gt;15,"",CHOOSE(WEEKDAY(DATE(対象年度,8,15),2),"月","火","水","木","金","土","日"))</f>
        <v>土</v>
      </c>
      <c r="C18" s="32" t="str">
        <f>IF(DAY(DATE(対象年度,8,15))&lt;&gt;15,"",IF(ISNUMBER(MATCH(DATE(対象年度,8,15),祝日リスト,0)),"祝",""))</f>
        <v/>
      </c>
      <c r="D18" s="33"/>
      <c r="E18" s="34"/>
      <c r="F18" s="35" t="str">
        <f t="shared" si="0"/>
        <v/>
      </c>
      <c r="G18" s="36" t="str">
        <f t="shared" si="1"/>
        <v/>
      </c>
      <c r="H18" s="37"/>
      <c r="I18" s="33"/>
      <c r="J18" s="34"/>
      <c r="K18" s="35" t="str">
        <f t="shared" si="2"/>
        <v/>
      </c>
      <c r="L18" s="36" t="str">
        <f t="shared" si="3"/>
        <v/>
      </c>
      <c r="M18" s="37"/>
      <c r="N18" s="33"/>
      <c r="O18" s="34"/>
      <c r="P18" s="35" t="str">
        <f t="shared" si="4"/>
        <v/>
      </c>
      <c r="Q18" s="36" t="str">
        <f t="shared" si="5"/>
        <v/>
      </c>
      <c r="R18" s="37"/>
      <c r="S18" s="33"/>
      <c r="T18" s="34"/>
      <c r="U18" s="35" t="str">
        <f t="shared" si="6"/>
        <v/>
      </c>
      <c r="V18" s="36" t="str">
        <f t="shared" si="7"/>
        <v/>
      </c>
      <c r="W18" s="37"/>
      <c r="X18" s="33"/>
      <c r="Y18" s="34"/>
      <c r="Z18" s="35" t="str">
        <f t="shared" si="8"/>
        <v/>
      </c>
      <c r="AA18" s="36" t="str">
        <f t="shared" si="9"/>
        <v/>
      </c>
      <c r="AB18" s="37"/>
      <c r="AC18" s="33"/>
      <c r="AD18" s="34"/>
      <c r="AE18" s="35" t="str">
        <f t="shared" si="10"/>
        <v/>
      </c>
      <c r="AF18" s="36" t="str">
        <f t="shared" si="11"/>
        <v/>
      </c>
      <c r="AG18" s="37"/>
      <c r="AH18" s="33"/>
      <c r="AI18" s="34"/>
      <c r="AJ18" s="35" t="str">
        <f t="shared" si="12"/>
        <v/>
      </c>
      <c r="AK18" s="36" t="str">
        <f t="shared" si="13"/>
        <v/>
      </c>
      <c r="AL18" s="37"/>
      <c r="AM18" s="33"/>
      <c r="AN18" s="34"/>
      <c r="AO18" s="35" t="str">
        <f t="shared" si="14"/>
        <v/>
      </c>
      <c r="AP18" s="36" t="str">
        <f t="shared" si="15"/>
        <v/>
      </c>
      <c r="AQ18" s="37"/>
      <c r="AR18" s="33"/>
      <c r="AS18" s="34"/>
      <c r="AT18" s="35" t="str">
        <f t="shared" si="16"/>
        <v/>
      </c>
      <c r="AU18" s="36" t="str">
        <f t="shared" si="17"/>
        <v/>
      </c>
      <c r="AV18" s="37"/>
      <c r="AW18" s="33"/>
      <c r="AX18" s="34"/>
      <c r="AY18" s="35" t="str">
        <f t="shared" si="18"/>
        <v/>
      </c>
      <c r="AZ18" s="36" t="str">
        <f t="shared" si="19"/>
        <v/>
      </c>
      <c r="BA18" s="37"/>
      <c r="BB18" s="33"/>
      <c r="BC18" s="34"/>
      <c r="BD18" s="35" t="str">
        <f t="shared" si="20"/>
        <v/>
      </c>
      <c r="BE18" s="36" t="str">
        <f t="shared" si="21"/>
        <v/>
      </c>
      <c r="BF18" s="37"/>
      <c r="BG18" s="33"/>
      <c r="BH18" s="34"/>
      <c r="BI18" s="35" t="str">
        <f t="shared" si="22"/>
        <v/>
      </c>
      <c r="BJ18" s="36" t="str">
        <f t="shared" si="23"/>
        <v/>
      </c>
      <c r="BK18" s="37"/>
      <c r="BL18" s="33"/>
      <c r="BM18" s="34"/>
      <c r="BN18" s="35" t="str">
        <f t="shared" si="24"/>
        <v/>
      </c>
      <c r="BO18" s="36" t="str">
        <f t="shared" si="25"/>
        <v/>
      </c>
      <c r="BP18" s="37"/>
      <c r="BQ18" s="33"/>
      <c r="BR18" s="34"/>
      <c r="BS18" s="35" t="str">
        <f t="shared" si="26"/>
        <v/>
      </c>
      <c r="BT18" s="36" t="str">
        <f t="shared" si="27"/>
        <v/>
      </c>
      <c r="BU18" s="37"/>
      <c r="BV18" s="33"/>
      <c r="BW18" s="34"/>
      <c r="BX18" s="35" t="str">
        <f t="shared" si="28"/>
        <v/>
      </c>
      <c r="BY18" s="36" t="str">
        <f t="shared" si="29"/>
        <v/>
      </c>
      <c r="BZ18" s="37"/>
      <c r="CA18" s="33"/>
      <c r="CB18" s="34"/>
      <c r="CC18" s="35" t="str">
        <f t="shared" si="30"/>
        <v/>
      </c>
      <c r="CD18" s="36" t="str">
        <f t="shared" si="31"/>
        <v/>
      </c>
      <c r="CE18" s="37"/>
      <c r="CF18" s="33"/>
      <c r="CG18" s="34"/>
      <c r="CH18" s="35" t="str">
        <f t="shared" si="32"/>
        <v/>
      </c>
      <c r="CI18" s="36" t="str">
        <f t="shared" si="33"/>
        <v/>
      </c>
      <c r="CJ18" s="37"/>
      <c r="CK18" s="33"/>
      <c r="CL18" s="34"/>
      <c r="CM18" s="35" t="str">
        <f t="shared" si="34"/>
        <v/>
      </c>
      <c r="CN18" s="36" t="str">
        <f t="shared" si="35"/>
        <v/>
      </c>
      <c r="CO18" s="37"/>
      <c r="CP18" s="33"/>
      <c r="CQ18" s="34"/>
      <c r="CR18" s="35" t="str">
        <f t="shared" si="36"/>
        <v/>
      </c>
      <c r="CS18" s="36" t="str">
        <f t="shared" si="37"/>
        <v/>
      </c>
      <c r="CT18" s="37"/>
      <c r="CU18" s="33"/>
      <c r="CV18" s="34"/>
      <c r="CW18" s="35" t="str">
        <f t="shared" si="38"/>
        <v/>
      </c>
      <c r="CX18" s="36" t="str">
        <f t="shared" si="39"/>
        <v/>
      </c>
      <c r="CY18" s="37"/>
      <c r="CZ18" s="33"/>
      <c r="DA18" s="34"/>
      <c r="DB18" s="35" t="str">
        <f t="shared" si="40"/>
        <v/>
      </c>
      <c r="DC18" s="36" t="str">
        <f t="shared" si="41"/>
        <v/>
      </c>
      <c r="DD18" s="37"/>
      <c r="DE18" s="33"/>
      <c r="DF18" s="34"/>
      <c r="DG18" s="35" t="str">
        <f t="shared" si="42"/>
        <v/>
      </c>
      <c r="DH18" s="36" t="str">
        <f t="shared" si="43"/>
        <v/>
      </c>
      <c r="DI18" s="37"/>
      <c r="DJ18" s="33"/>
      <c r="DK18" s="34"/>
      <c r="DL18" s="35" t="str">
        <f t="shared" si="44"/>
        <v/>
      </c>
      <c r="DM18" s="36" t="str">
        <f t="shared" si="45"/>
        <v/>
      </c>
      <c r="DN18" s="37"/>
      <c r="DO18" s="33"/>
      <c r="DP18" s="34"/>
      <c r="DQ18" s="35" t="str">
        <f t="shared" si="46"/>
        <v/>
      </c>
      <c r="DR18" s="36" t="str">
        <f t="shared" si="47"/>
        <v/>
      </c>
      <c r="DS18" s="37"/>
      <c r="DT18" s="33"/>
      <c r="DU18" s="34"/>
      <c r="DV18" s="35" t="str">
        <f t="shared" si="48"/>
        <v/>
      </c>
      <c r="DW18" s="36" t="str">
        <f t="shared" si="49"/>
        <v/>
      </c>
      <c r="DX18" s="37"/>
      <c r="DY18" s="33"/>
      <c r="DZ18" s="34"/>
      <c r="EA18" s="35" t="str">
        <f t="shared" si="50"/>
        <v/>
      </c>
      <c r="EB18" s="36" t="str">
        <f t="shared" si="51"/>
        <v/>
      </c>
      <c r="EC18" s="37"/>
      <c r="ED18" s="33"/>
      <c r="EE18" s="34"/>
      <c r="EF18" s="35" t="str">
        <f t="shared" si="52"/>
        <v/>
      </c>
      <c r="EG18" s="36" t="str">
        <f t="shared" si="53"/>
        <v/>
      </c>
      <c r="EH18" s="37"/>
      <c r="EI18" s="33"/>
      <c r="EJ18" s="34"/>
      <c r="EK18" s="35" t="str">
        <f t="shared" si="54"/>
        <v/>
      </c>
      <c r="EL18" s="36" t="str">
        <f t="shared" si="55"/>
        <v/>
      </c>
      <c r="EM18" s="37"/>
      <c r="EN18" s="33"/>
      <c r="EO18" s="34"/>
      <c r="EP18" s="35" t="str">
        <f t="shared" si="56"/>
        <v/>
      </c>
      <c r="EQ18" s="36" t="str">
        <f t="shared" si="57"/>
        <v/>
      </c>
      <c r="ER18" s="37"/>
      <c r="ES18" s="33"/>
      <c r="ET18" s="34"/>
      <c r="EU18" s="35" t="str">
        <f t="shared" si="58"/>
        <v/>
      </c>
      <c r="EV18" s="36" t="str">
        <f t="shared" si="59"/>
        <v/>
      </c>
      <c r="EW18" s="37"/>
    </row>
    <row r="19" spans="1:153" ht="19.5" customHeight="1">
      <c r="A19" s="32">
        <f>IF(DAY(DATE(対象年度,8,16))&lt;&gt;16,"",16)</f>
        <v>16</v>
      </c>
      <c r="B19" s="32" t="str">
        <f>IF(DAY(DATE(対象年度,8,16))&lt;&gt;16,"",CHOOSE(WEEKDAY(DATE(対象年度,8,16),2),"月","火","水","木","金","土","日"))</f>
        <v>日</v>
      </c>
      <c r="C19" s="32" t="str">
        <f>IF(DAY(DATE(対象年度,8,16))&lt;&gt;16,"",IF(ISNUMBER(MATCH(DATE(対象年度,8,16),祝日リスト,0)),"祝",""))</f>
        <v/>
      </c>
      <c r="D19" s="33"/>
      <c r="E19" s="34"/>
      <c r="F19" s="35" t="str">
        <f t="shared" si="0"/>
        <v/>
      </c>
      <c r="G19" s="36" t="str">
        <f t="shared" si="1"/>
        <v/>
      </c>
      <c r="H19" s="37"/>
      <c r="I19" s="33"/>
      <c r="J19" s="34"/>
      <c r="K19" s="35" t="str">
        <f t="shared" si="2"/>
        <v/>
      </c>
      <c r="L19" s="36" t="str">
        <f t="shared" si="3"/>
        <v/>
      </c>
      <c r="M19" s="37"/>
      <c r="N19" s="33"/>
      <c r="O19" s="34"/>
      <c r="P19" s="35" t="str">
        <f t="shared" si="4"/>
        <v/>
      </c>
      <c r="Q19" s="36" t="str">
        <f t="shared" si="5"/>
        <v/>
      </c>
      <c r="R19" s="37"/>
      <c r="S19" s="33"/>
      <c r="T19" s="34"/>
      <c r="U19" s="35" t="str">
        <f t="shared" si="6"/>
        <v/>
      </c>
      <c r="V19" s="36" t="str">
        <f t="shared" si="7"/>
        <v/>
      </c>
      <c r="W19" s="37"/>
      <c r="X19" s="33"/>
      <c r="Y19" s="34"/>
      <c r="Z19" s="35" t="str">
        <f t="shared" si="8"/>
        <v/>
      </c>
      <c r="AA19" s="36" t="str">
        <f t="shared" si="9"/>
        <v/>
      </c>
      <c r="AB19" s="37"/>
      <c r="AC19" s="33"/>
      <c r="AD19" s="34"/>
      <c r="AE19" s="35" t="str">
        <f t="shared" si="10"/>
        <v/>
      </c>
      <c r="AF19" s="36" t="str">
        <f t="shared" si="11"/>
        <v/>
      </c>
      <c r="AG19" s="37"/>
      <c r="AH19" s="33"/>
      <c r="AI19" s="34"/>
      <c r="AJ19" s="35" t="str">
        <f t="shared" si="12"/>
        <v/>
      </c>
      <c r="AK19" s="36" t="str">
        <f t="shared" si="13"/>
        <v/>
      </c>
      <c r="AL19" s="37"/>
      <c r="AM19" s="33"/>
      <c r="AN19" s="34"/>
      <c r="AO19" s="35" t="str">
        <f t="shared" si="14"/>
        <v/>
      </c>
      <c r="AP19" s="36" t="str">
        <f t="shared" si="15"/>
        <v/>
      </c>
      <c r="AQ19" s="37"/>
      <c r="AR19" s="33"/>
      <c r="AS19" s="34"/>
      <c r="AT19" s="35" t="str">
        <f t="shared" si="16"/>
        <v/>
      </c>
      <c r="AU19" s="36" t="str">
        <f t="shared" si="17"/>
        <v/>
      </c>
      <c r="AV19" s="37"/>
      <c r="AW19" s="33"/>
      <c r="AX19" s="34"/>
      <c r="AY19" s="35" t="str">
        <f t="shared" si="18"/>
        <v/>
      </c>
      <c r="AZ19" s="36" t="str">
        <f t="shared" si="19"/>
        <v/>
      </c>
      <c r="BA19" s="37"/>
      <c r="BB19" s="33"/>
      <c r="BC19" s="34"/>
      <c r="BD19" s="35" t="str">
        <f t="shared" si="20"/>
        <v/>
      </c>
      <c r="BE19" s="36" t="str">
        <f t="shared" si="21"/>
        <v/>
      </c>
      <c r="BF19" s="37"/>
      <c r="BG19" s="33"/>
      <c r="BH19" s="34"/>
      <c r="BI19" s="35" t="str">
        <f t="shared" si="22"/>
        <v/>
      </c>
      <c r="BJ19" s="36" t="str">
        <f t="shared" si="23"/>
        <v/>
      </c>
      <c r="BK19" s="37"/>
      <c r="BL19" s="33"/>
      <c r="BM19" s="34"/>
      <c r="BN19" s="35" t="str">
        <f t="shared" si="24"/>
        <v/>
      </c>
      <c r="BO19" s="36" t="str">
        <f t="shared" si="25"/>
        <v/>
      </c>
      <c r="BP19" s="37"/>
      <c r="BQ19" s="33"/>
      <c r="BR19" s="34"/>
      <c r="BS19" s="35" t="str">
        <f t="shared" si="26"/>
        <v/>
      </c>
      <c r="BT19" s="36" t="str">
        <f t="shared" si="27"/>
        <v/>
      </c>
      <c r="BU19" s="37"/>
      <c r="BV19" s="33"/>
      <c r="BW19" s="34"/>
      <c r="BX19" s="35" t="str">
        <f t="shared" si="28"/>
        <v/>
      </c>
      <c r="BY19" s="36" t="str">
        <f t="shared" si="29"/>
        <v/>
      </c>
      <c r="BZ19" s="37"/>
      <c r="CA19" s="33"/>
      <c r="CB19" s="34"/>
      <c r="CC19" s="35" t="str">
        <f t="shared" si="30"/>
        <v/>
      </c>
      <c r="CD19" s="36" t="str">
        <f t="shared" si="31"/>
        <v/>
      </c>
      <c r="CE19" s="37"/>
      <c r="CF19" s="33"/>
      <c r="CG19" s="34"/>
      <c r="CH19" s="35" t="str">
        <f t="shared" si="32"/>
        <v/>
      </c>
      <c r="CI19" s="36" t="str">
        <f t="shared" si="33"/>
        <v/>
      </c>
      <c r="CJ19" s="37"/>
      <c r="CK19" s="33"/>
      <c r="CL19" s="34"/>
      <c r="CM19" s="35" t="str">
        <f t="shared" si="34"/>
        <v/>
      </c>
      <c r="CN19" s="36" t="str">
        <f t="shared" si="35"/>
        <v/>
      </c>
      <c r="CO19" s="37"/>
      <c r="CP19" s="33"/>
      <c r="CQ19" s="34"/>
      <c r="CR19" s="35" t="str">
        <f t="shared" si="36"/>
        <v/>
      </c>
      <c r="CS19" s="36" t="str">
        <f t="shared" si="37"/>
        <v/>
      </c>
      <c r="CT19" s="37"/>
      <c r="CU19" s="33"/>
      <c r="CV19" s="34"/>
      <c r="CW19" s="35" t="str">
        <f t="shared" si="38"/>
        <v/>
      </c>
      <c r="CX19" s="36" t="str">
        <f t="shared" si="39"/>
        <v/>
      </c>
      <c r="CY19" s="37"/>
      <c r="CZ19" s="33"/>
      <c r="DA19" s="34"/>
      <c r="DB19" s="35" t="str">
        <f t="shared" si="40"/>
        <v/>
      </c>
      <c r="DC19" s="36" t="str">
        <f t="shared" si="41"/>
        <v/>
      </c>
      <c r="DD19" s="37"/>
      <c r="DE19" s="33"/>
      <c r="DF19" s="34"/>
      <c r="DG19" s="35" t="str">
        <f t="shared" si="42"/>
        <v/>
      </c>
      <c r="DH19" s="36" t="str">
        <f t="shared" si="43"/>
        <v/>
      </c>
      <c r="DI19" s="37"/>
      <c r="DJ19" s="33"/>
      <c r="DK19" s="34"/>
      <c r="DL19" s="35" t="str">
        <f t="shared" si="44"/>
        <v/>
      </c>
      <c r="DM19" s="36" t="str">
        <f t="shared" si="45"/>
        <v/>
      </c>
      <c r="DN19" s="37"/>
      <c r="DO19" s="33"/>
      <c r="DP19" s="34"/>
      <c r="DQ19" s="35" t="str">
        <f t="shared" si="46"/>
        <v/>
      </c>
      <c r="DR19" s="36" t="str">
        <f t="shared" si="47"/>
        <v/>
      </c>
      <c r="DS19" s="37"/>
      <c r="DT19" s="33"/>
      <c r="DU19" s="34"/>
      <c r="DV19" s="35" t="str">
        <f t="shared" si="48"/>
        <v/>
      </c>
      <c r="DW19" s="36" t="str">
        <f t="shared" si="49"/>
        <v/>
      </c>
      <c r="DX19" s="37"/>
      <c r="DY19" s="33"/>
      <c r="DZ19" s="34"/>
      <c r="EA19" s="35" t="str">
        <f t="shared" si="50"/>
        <v/>
      </c>
      <c r="EB19" s="36" t="str">
        <f t="shared" si="51"/>
        <v/>
      </c>
      <c r="EC19" s="37"/>
      <c r="ED19" s="33"/>
      <c r="EE19" s="34"/>
      <c r="EF19" s="35" t="str">
        <f t="shared" si="52"/>
        <v/>
      </c>
      <c r="EG19" s="36" t="str">
        <f t="shared" si="53"/>
        <v/>
      </c>
      <c r="EH19" s="37"/>
      <c r="EI19" s="33"/>
      <c r="EJ19" s="34"/>
      <c r="EK19" s="35" t="str">
        <f t="shared" si="54"/>
        <v/>
      </c>
      <c r="EL19" s="36" t="str">
        <f t="shared" si="55"/>
        <v/>
      </c>
      <c r="EM19" s="37"/>
      <c r="EN19" s="33"/>
      <c r="EO19" s="34"/>
      <c r="EP19" s="35" t="str">
        <f t="shared" si="56"/>
        <v/>
      </c>
      <c r="EQ19" s="36" t="str">
        <f t="shared" si="57"/>
        <v/>
      </c>
      <c r="ER19" s="37"/>
      <c r="ES19" s="33"/>
      <c r="ET19" s="34"/>
      <c r="EU19" s="35" t="str">
        <f t="shared" si="58"/>
        <v/>
      </c>
      <c r="EV19" s="36" t="str">
        <f t="shared" si="59"/>
        <v/>
      </c>
      <c r="EW19" s="37"/>
    </row>
    <row r="20" spans="1:153" ht="19.5" customHeight="1">
      <c r="A20" s="32">
        <f>IF(DAY(DATE(対象年度,8,17))&lt;&gt;17,"",17)</f>
        <v>17</v>
      </c>
      <c r="B20" s="32" t="str">
        <f>IF(DAY(DATE(対象年度,8,17))&lt;&gt;17,"",CHOOSE(WEEKDAY(DATE(対象年度,8,17),2),"月","火","水","木","金","土","日"))</f>
        <v>月</v>
      </c>
      <c r="C20" s="32" t="str">
        <f>IF(DAY(DATE(対象年度,8,17))&lt;&gt;17,"",IF(ISNUMBER(MATCH(DATE(対象年度,8,17),祝日リスト,0)),"祝",""))</f>
        <v/>
      </c>
      <c r="D20" s="33"/>
      <c r="E20" s="34"/>
      <c r="F20" s="35" t="str">
        <f t="shared" si="0"/>
        <v/>
      </c>
      <c r="G20" s="36" t="str">
        <f t="shared" si="1"/>
        <v/>
      </c>
      <c r="H20" s="37"/>
      <c r="I20" s="33"/>
      <c r="J20" s="34"/>
      <c r="K20" s="35" t="str">
        <f t="shared" si="2"/>
        <v/>
      </c>
      <c r="L20" s="36" t="str">
        <f t="shared" si="3"/>
        <v/>
      </c>
      <c r="M20" s="37"/>
      <c r="N20" s="33"/>
      <c r="O20" s="34"/>
      <c r="P20" s="35" t="str">
        <f t="shared" si="4"/>
        <v/>
      </c>
      <c r="Q20" s="36" t="str">
        <f t="shared" si="5"/>
        <v/>
      </c>
      <c r="R20" s="37"/>
      <c r="S20" s="33"/>
      <c r="T20" s="34"/>
      <c r="U20" s="35" t="str">
        <f t="shared" si="6"/>
        <v/>
      </c>
      <c r="V20" s="36" t="str">
        <f t="shared" si="7"/>
        <v/>
      </c>
      <c r="W20" s="37"/>
      <c r="X20" s="33"/>
      <c r="Y20" s="34"/>
      <c r="Z20" s="35" t="str">
        <f t="shared" si="8"/>
        <v/>
      </c>
      <c r="AA20" s="36" t="str">
        <f t="shared" si="9"/>
        <v/>
      </c>
      <c r="AB20" s="37"/>
      <c r="AC20" s="33"/>
      <c r="AD20" s="34"/>
      <c r="AE20" s="35" t="str">
        <f t="shared" si="10"/>
        <v/>
      </c>
      <c r="AF20" s="36" t="str">
        <f t="shared" si="11"/>
        <v/>
      </c>
      <c r="AG20" s="37"/>
      <c r="AH20" s="33"/>
      <c r="AI20" s="34"/>
      <c r="AJ20" s="35" t="str">
        <f t="shared" si="12"/>
        <v/>
      </c>
      <c r="AK20" s="36" t="str">
        <f t="shared" si="13"/>
        <v/>
      </c>
      <c r="AL20" s="37"/>
      <c r="AM20" s="33"/>
      <c r="AN20" s="34"/>
      <c r="AO20" s="35" t="str">
        <f t="shared" si="14"/>
        <v/>
      </c>
      <c r="AP20" s="36" t="str">
        <f t="shared" si="15"/>
        <v/>
      </c>
      <c r="AQ20" s="37"/>
      <c r="AR20" s="33"/>
      <c r="AS20" s="34"/>
      <c r="AT20" s="35" t="str">
        <f t="shared" si="16"/>
        <v/>
      </c>
      <c r="AU20" s="36" t="str">
        <f t="shared" si="17"/>
        <v/>
      </c>
      <c r="AV20" s="37"/>
      <c r="AW20" s="33"/>
      <c r="AX20" s="34"/>
      <c r="AY20" s="35" t="str">
        <f t="shared" si="18"/>
        <v/>
      </c>
      <c r="AZ20" s="36" t="str">
        <f t="shared" si="19"/>
        <v/>
      </c>
      <c r="BA20" s="37"/>
      <c r="BB20" s="33"/>
      <c r="BC20" s="34"/>
      <c r="BD20" s="35" t="str">
        <f t="shared" si="20"/>
        <v/>
      </c>
      <c r="BE20" s="36" t="str">
        <f t="shared" si="21"/>
        <v/>
      </c>
      <c r="BF20" s="37"/>
      <c r="BG20" s="33"/>
      <c r="BH20" s="34"/>
      <c r="BI20" s="35" t="str">
        <f t="shared" si="22"/>
        <v/>
      </c>
      <c r="BJ20" s="36" t="str">
        <f t="shared" si="23"/>
        <v/>
      </c>
      <c r="BK20" s="37"/>
      <c r="BL20" s="33"/>
      <c r="BM20" s="34"/>
      <c r="BN20" s="35" t="str">
        <f t="shared" si="24"/>
        <v/>
      </c>
      <c r="BO20" s="36" t="str">
        <f t="shared" si="25"/>
        <v/>
      </c>
      <c r="BP20" s="37"/>
      <c r="BQ20" s="33"/>
      <c r="BR20" s="34"/>
      <c r="BS20" s="35" t="str">
        <f t="shared" si="26"/>
        <v/>
      </c>
      <c r="BT20" s="36" t="str">
        <f t="shared" si="27"/>
        <v/>
      </c>
      <c r="BU20" s="37"/>
      <c r="BV20" s="33"/>
      <c r="BW20" s="34"/>
      <c r="BX20" s="35" t="str">
        <f t="shared" si="28"/>
        <v/>
      </c>
      <c r="BY20" s="36" t="str">
        <f t="shared" si="29"/>
        <v/>
      </c>
      <c r="BZ20" s="37"/>
      <c r="CA20" s="33"/>
      <c r="CB20" s="34"/>
      <c r="CC20" s="35" t="str">
        <f t="shared" si="30"/>
        <v/>
      </c>
      <c r="CD20" s="36" t="str">
        <f t="shared" si="31"/>
        <v/>
      </c>
      <c r="CE20" s="37"/>
      <c r="CF20" s="33"/>
      <c r="CG20" s="34"/>
      <c r="CH20" s="35" t="str">
        <f t="shared" si="32"/>
        <v/>
      </c>
      <c r="CI20" s="36" t="str">
        <f t="shared" si="33"/>
        <v/>
      </c>
      <c r="CJ20" s="37"/>
      <c r="CK20" s="33"/>
      <c r="CL20" s="34"/>
      <c r="CM20" s="35" t="str">
        <f t="shared" si="34"/>
        <v/>
      </c>
      <c r="CN20" s="36" t="str">
        <f t="shared" si="35"/>
        <v/>
      </c>
      <c r="CO20" s="37"/>
      <c r="CP20" s="33"/>
      <c r="CQ20" s="34"/>
      <c r="CR20" s="35" t="str">
        <f t="shared" si="36"/>
        <v/>
      </c>
      <c r="CS20" s="36" t="str">
        <f t="shared" si="37"/>
        <v/>
      </c>
      <c r="CT20" s="37"/>
      <c r="CU20" s="33"/>
      <c r="CV20" s="34"/>
      <c r="CW20" s="35" t="str">
        <f t="shared" si="38"/>
        <v/>
      </c>
      <c r="CX20" s="36" t="str">
        <f t="shared" si="39"/>
        <v/>
      </c>
      <c r="CY20" s="37"/>
      <c r="CZ20" s="33"/>
      <c r="DA20" s="34"/>
      <c r="DB20" s="35" t="str">
        <f t="shared" si="40"/>
        <v/>
      </c>
      <c r="DC20" s="36" t="str">
        <f t="shared" si="41"/>
        <v/>
      </c>
      <c r="DD20" s="37"/>
      <c r="DE20" s="33"/>
      <c r="DF20" s="34"/>
      <c r="DG20" s="35" t="str">
        <f t="shared" si="42"/>
        <v/>
      </c>
      <c r="DH20" s="36" t="str">
        <f t="shared" si="43"/>
        <v/>
      </c>
      <c r="DI20" s="37"/>
      <c r="DJ20" s="33"/>
      <c r="DK20" s="34"/>
      <c r="DL20" s="35" t="str">
        <f t="shared" si="44"/>
        <v/>
      </c>
      <c r="DM20" s="36" t="str">
        <f t="shared" si="45"/>
        <v/>
      </c>
      <c r="DN20" s="37"/>
      <c r="DO20" s="33"/>
      <c r="DP20" s="34"/>
      <c r="DQ20" s="35" t="str">
        <f t="shared" si="46"/>
        <v/>
      </c>
      <c r="DR20" s="36" t="str">
        <f t="shared" si="47"/>
        <v/>
      </c>
      <c r="DS20" s="37"/>
      <c r="DT20" s="33"/>
      <c r="DU20" s="34"/>
      <c r="DV20" s="35" t="str">
        <f t="shared" si="48"/>
        <v/>
      </c>
      <c r="DW20" s="36" t="str">
        <f t="shared" si="49"/>
        <v/>
      </c>
      <c r="DX20" s="37"/>
      <c r="DY20" s="33"/>
      <c r="DZ20" s="34"/>
      <c r="EA20" s="35" t="str">
        <f t="shared" si="50"/>
        <v/>
      </c>
      <c r="EB20" s="36" t="str">
        <f t="shared" si="51"/>
        <v/>
      </c>
      <c r="EC20" s="37"/>
      <c r="ED20" s="33"/>
      <c r="EE20" s="34"/>
      <c r="EF20" s="35" t="str">
        <f t="shared" si="52"/>
        <v/>
      </c>
      <c r="EG20" s="36" t="str">
        <f t="shared" si="53"/>
        <v/>
      </c>
      <c r="EH20" s="37"/>
      <c r="EI20" s="33"/>
      <c r="EJ20" s="34"/>
      <c r="EK20" s="35" t="str">
        <f t="shared" si="54"/>
        <v/>
      </c>
      <c r="EL20" s="36" t="str">
        <f t="shared" si="55"/>
        <v/>
      </c>
      <c r="EM20" s="37"/>
      <c r="EN20" s="33"/>
      <c r="EO20" s="34"/>
      <c r="EP20" s="35" t="str">
        <f t="shared" si="56"/>
        <v/>
      </c>
      <c r="EQ20" s="36" t="str">
        <f t="shared" si="57"/>
        <v/>
      </c>
      <c r="ER20" s="37"/>
      <c r="ES20" s="33"/>
      <c r="ET20" s="34"/>
      <c r="EU20" s="35" t="str">
        <f t="shared" si="58"/>
        <v/>
      </c>
      <c r="EV20" s="36" t="str">
        <f t="shared" si="59"/>
        <v/>
      </c>
      <c r="EW20" s="37"/>
    </row>
    <row r="21" spans="1:153" ht="19.5" customHeight="1">
      <c r="A21" s="32">
        <f>IF(DAY(DATE(対象年度,8,18))&lt;&gt;18,"",18)</f>
        <v>18</v>
      </c>
      <c r="B21" s="32" t="str">
        <f>IF(DAY(DATE(対象年度,8,18))&lt;&gt;18,"",CHOOSE(WEEKDAY(DATE(対象年度,8,18),2),"月","火","水","木","金","土","日"))</f>
        <v>火</v>
      </c>
      <c r="C21" s="32" t="str">
        <f>IF(DAY(DATE(対象年度,8,18))&lt;&gt;18,"",IF(ISNUMBER(MATCH(DATE(対象年度,8,18),祝日リスト,0)),"祝",""))</f>
        <v/>
      </c>
      <c r="D21" s="33"/>
      <c r="E21" s="34"/>
      <c r="F21" s="35" t="str">
        <f t="shared" si="0"/>
        <v/>
      </c>
      <c r="G21" s="36" t="str">
        <f t="shared" si="1"/>
        <v/>
      </c>
      <c r="H21" s="37"/>
      <c r="I21" s="33"/>
      <c r="J21" s="34"/>
      <c r="K21" s="35" t="str">
        <f t="shared" si="2"/>
        <v/>
      </c>
      <c r="L21" s="36" t="str">
        <f t="shared" si="3"/>
        <v/>
      </c>
      <c r="M21" s="37"/>
      <c r="N21" s="33"/>
      <c r="O21" s="34"/>
      <c r="P21" s="35" t="str">
        <f t="shared" si="4"/>
        <v/>
      </c>
      <c r="Q21" s="36" t="str">
        <f t="shared" si="5"/>
        <v/>
      </c>
      <c r="R21" s="37"/>
      <c r="S21" s="33"/>
      <c r="T21" s="34"/>
      <c r="U21" s="35" t="str">
        <f t="shared" si="6"/>
        <v/>
      </c>
      <c r="V21" s="36" t="str">
        <f t="shared" si="7"/>
        <v/>
      </c>
      <c r="W21" s="37"/>
      <c r="X21" s="33"/>
      <c r="Y21" s="34"/>
      <c r="Z21" s="35" t="str">
        <f t="shared" si="8"/>
        <v/>
      </c>
      <c r="AA21" s="36" t="str">
        <f t="shared" si="9"/>
        <v/>
      </c>
      <c r="AB21" s="37"/>
      <c r="AC21" s="33"/>
      <c r="AD21" s="34"/>
      <c r="AE21" s="35" t="str">
        <f t="shared" si="10"/>
        <v/>
      </c>
      <c r="AF21" s="36" t="str">
        <f t="shared" si="11"/>
        <v/>
      </c>
      <c r="AG21" s="37"/>
      <c r="AH21" s="33"/>
      <c r="AI21" s="34"/>
      <c r="AJ21" s="35" t="str">
        <f t="shared" si="12"/>
        <v/>
      </c>
      <c r="AK21" s="36" t="str">
        <f t="shared" si="13"/>
        <v/>
      </c>
      <c r="AL21" s="37"/>
      <c r="AM21" s="33"/>
      <c r="AN21" s="34"/>
      <c r="AO21" s="35" t="str">
        <f t="shared" si="14"/>
        <v/>
      </c>
      <c r="AP21" s="36" t="str">
        <f t="shared" si="15"/>
        <v/>
      </c>
      <c r="AQ21" s="37"/>
      <c r="AR21" s="33"/>
      <c r="AS21" s="34"/>
      <c r="AT21" s="35" t="str">
        <f t="shared" si="16"/>
        <v/>
      </c>
      <c r="AU21" s="36" t="str">
        <f t="shared" si="17"/>
        <v/>
      </c>
      <c r="AV21" s="37"/>
      <c r="AW21" s="33"/>
      <c r="AX21" s="34"/>
      <c r="AY21" s="35" t="str">
        <f t="shared" si="18"/>
        <v/>
      </c>
      <c r="AZ21" s="36" t="str">
        <f t="shared" si="19"/>
        <v/>
      </c>
      <c r="BA21" s="37"/>
      <c r="BB21" s="33"/>
      <c r="BC21" s="34"/>
      <c r="BD21" s="35" t="str">
        <f t="shared" si="20"/>
        <v/>
      </c>
      <c r="BE21" s="36" t="str">
        <f t="shared" si="21"/>
        <v/>
      </c>
      <c r="BF21" s="37"/>
      <c r="BG21" s="33"/>
      <c r="BH21" s="34"/>
      <c r="BI21" s="35" t="str">
        <f t="shared" si="22"/>
        <v/>
      </c>
      <c r="BJ21" s="36" t="str">
        <f t="shared" si="23"/>
        <v/>
      </c>
      <c r="BK21" s="37"/>
      <c r="BL21" s="33"/>
      <c r="BM21" s="34"/>
      <c r="BN21" s="35" t="str">
        <f t="shared" si="24"/>
        <v/>
      </c>
      <c r="BO21" s="36" t="str">
        <f t="shared" si="25"/>
        <v/>
      </c>
      <c r="BP21" s="37"/>
      <c r="BQ21" s="33"/>
      <c r="BR21" s="34"/>
      <c r="BS21" s="35" t="str">
        <f t="shared" si="26"/>
        <v/>
      </c>
      <c r="BT21" s="36" t="str">
        <f t="shared" si="27"/>
        <v/>
      </c>
      <c r="BU21" s="37"/>
      <c r="BV21" s="33"/>
      <c r="BW21" s="34"/>
      <c r="BX21" s="35" t="str">
        <f t="shared" si="28"/>
        <v/>
      </c>
      <c r="BY21" s="36" t="str">
        <f t="shared" si="29"/>
        <v/>
      </c>
      <c r="BZ21" s="37"/>
      <c r="CA21" s="33"/>
      <c r="CB21" s="34"/>
      <c r="CC21" s="35" t="str">
        <f t="shared" si="30"/>
        <v/>
      </c>
      <c r="CD21" s="36" t="str">
        <f t="shared" si="31"/>
        <v/>
      </c>
      <c r="CE21" s="37"/>
      <c r="CF21" s="33"/>
      <c r="CG21" s="34"/>
      <c r="CH21" s="35" t="str">
        <f t="shared" si="32"/>
        <v/>
      </c>
      <c r="CI21" s="36" t="str">
        <f t="shared" si="33"/>
        <v/>
      </c>
      <c r="CJ21" s="37"/>
      <c r="CK21" s="33"/>
      <c r="CL21" s="34"/>
      <c r="CM21" s="35" t="str">
        <f t="shared" si="34"/>
        <v/>
      </c>
      <c r="CN21" s="36" t="str">
        <f t="shared" si="35"/>
        <v/>
      </c>
      <c r="CO21" s="37"/>
      <c r="CP21" s="33"/>
      <c r="CQ21" s="34"/>
      <c r="CR21" s="35" t="str">
        <f t="shared" si="36"/>
        <v/>
      </c>
      <c r="CS21" s="36" t="str">
        <f t="shared" si="37"/>
        <v/>
      </c>
      <c r="CT21" s="37"/>
      <c r="CU21" s="33"/>
      <c r="CV21" s="34"/>
      <c r="CW21" s="35" t="str">
        <f t="shared" si="38"/>
        <v/>
      </c>
      <c r="CX21" s="36" t="str">
        <f t="shared" si="39"/>
        <v/>
      </c>
      <c r="CY21" s="37"/>
      <c r="CZ21" s="33"/>
      <c r="DA21" s="34"/>
      <c r="DB21" s="35" t="str">
        <f t="shared" si="40"/>
        <v/>
      </c>
      <c r="DC21" s="36" t="str">
        <f t="shared" si="41"/>
        <v/>
      </c>
      <c r="DD21" s="37"/>
      <c r="DE21" s="33"/>
      <c r="DF21" s="34"/>
      <c r="DG21" s="35" t="str">
        <f t="shared" si="42"/>
        <v/>
      </c>
      <c r="DH21" s="36" t="str">
        <f t="shared" si="43"/>
        <v/>
      </c>
      <c r="DI21" s="37"/>
      <c r="DJ21" s="33"/>
      <c r="DK21" s="34"/>
      <c r="DL21" s="35" t="str">
        <f t="shared" si="44"/>
        <v/>
      </c>
      <c r="DM21" s="36" t="str">
        <f t="shared" si="45"/>
        <v/>
      </c>
      <c r="DN21" s="37"/>
      <c r="DO21" s="33"/>
      <c r="DP21" s="34"/>
      <c r="DQ21" s="35" t="str">
        <f t="shared" si="46"/>
        <v/>
      </c>
      <c r="DR21" s="36" t="str">
        <f t="shared" si="47"/>
        <v/>
      </c>
      <c r="DS21" s="37"/>
      <c r="DT21" s="33"/>
      <c r="DU21" s="34"/>
      <c r="DV21" s="35" t="str">
        <f t="shared" si="48"/>
        <v/>
      </c>
      <c r="DW21" s="36" t="str">
        <f t="shared" si="49"/>
        <v/>
      </c>
      <c r="DX21" s="37"/>
      <c r="DY21" s="33"/>
      <c r="DZ21" s="34"/>
      <c r="EA21" s="35" t="str">
        <f t="shared" si="50"/>
        <v/>
      </c>
      <c r="EB21" s="36" t="str">
        <f t="shared" si="51"/>
        <v/>
      </c>
      <c r="EC21" s="37"/>
      <c r="ED21" s="33"/>
      <c r="EE21" s="34"/>
      <c r="EF21" s="35" t="str">
        <f t="shared" si="52"/>
        <v/>
      </c>
      <c r="EG21" s="36" t="str">
        <f t="shared" si="53"/>
        <v/>
      </c>
      <c r="EH21" s="37"/>
      <c r="EI21" s="33"/>
      <c r="EJ21" s="34"/>
      <c r="EK21" s="35" t="str">
        <f t="shared" si="54"/>
        <v/>
      </c>
      <c r="EL21" s="36" t="str">
        <f t="shared" si="55"/>
        <v/>
      </c>
      <c r="EM21" s="37"/>
      <c r="EN21" s="33"/>
      <c r="EO21" s="34"/>
      <c r="EP21" s="35" t="str">
        <f t="shared" si="56"/>
        <v/>
      </c>
      <c r="EQ21" s="36" t="str">
        <f t="shared" si="57"/>
        <v/>
      </c>
      <c r="ER21" s="37"/>
      <c r="ES21" s="33"/>
      <c r="ET21" s="34"/>
      <c r="EU21" s="35" t="str">
        <f t="shared" si="58"/>
        <v/>
      </c>
      <c r="EV21" s="36" t="str">
        <f t="shared" si="59"/>
        <v/>
      </c>
      <c r="EW21" s="37"/>
    </row>
    <row r="22" spans="1:153" ht="19.5" customHeight="1">
      <c r="A22" s="32">
        <f>IF(DAY(DATE(対象年度,8,19))&lt;&gt;19,"",19)</f>
        <v>19</v>
      </c>
      <c r="B22" s="32" t="str">
        <f>IF(DAY(DATE(対象年度,8,19))&lt;&gt;19,"",CHOOSE(WEEKDAY(DATE(対象年度,8,19),2),"月","火","水","木","金","土","日"))</f>
        <v>水</v>
      </c>
      <c r="C22" s="32" t="str">
        <f>IF(DAY(DATE(対象年度,8,19))&lt;&gt;19,"",IF(ISNUMBER(MATCH(DATE(対象年度,8,19),祝日リスト,0)),"祝",""))</f>
        <v/>
      </c>
      <c r="D22" s="33"/>
      <c r="E22" s="34"/>
      <c r="F22" s="35" t="str">
        <f t="shared" si="0"/>
        <v/>
      </c>
      <c r="G22" s="36" t="str">
        <f t="shared" si="1"/>
        <v/>
      </c>
      <c r="H22" s="37"/>
      <c r="I22" s="33"/>
      <c r="J22" s="34"/>
      <c r="K22" s="35" t="str">
        <f t="shared" si="2"/>
        <v/>
      </c>
      <c r="L22" s="36" t="str">
        <f t="shared" si="3"/>
        <v/>
      </c>
      <c r="M22" s="37"/>
      <c r="N22" s="33"/>
      <c r="O22" s="34"/>
      <c r="P22" s="35" t="str">
        <f t="shared" si="4"/>
        <v/>
      </c>
      <c r="Q22" s="36" t="str">
        <f t="shared" si="5"/>
        <v/>
      </c>
      <c r="R22" s="37"/>
      <c r="S22" s="33"/>
      <c r="T22" s="34"/>
      <c r="U22" s="35" t="str">
        <f t="shared" si="6"/>
        <v/>
      </c>
      <c r="V22" s="36" t="str">
        <f t="shared" si="7"/>
        <v/>
      </c>
      <c r="W22" s="37"/>
      <c r="X22" s="33"/>
      <c r="Y22" s="34"/>
      <c r="Z22" s="35" t="str">
        <f t="shared" si="8"/>
        <v/>
      </c>
      <c r="AA22" s="36" t="str">
        <f t="shared" si="9"/>
        <v/>
      </c>
      <c r="AB22" s="37"/>
      <c r="AC22" s="33"/>
      <c r="AD22" s="34"/>
      <c r="AE22" s="35" t="str">
        <f t="shared" si="10"/>
        <v/>
      </c>
      <c r="AF22" s="36" t="str">
        <f t="shared" si="11"/>
        <v/>
      </c>
      <c r="AG22" s="37"/>
      <c r="AH22" s="33"/>
      <c r="AI22" s="34"/>
      <c r="AJ22" s="35" t="str">
        <f t="shared" si="12"/>
        <v/>
      </c>
      <c r="AK22" s="36" t="str">
        <f t="shared" si="13"/>
        <v/>
      </c>
      <c r="AL22" s="37"/>
      <c r="AM22" s="33"/>
      <c r="AN22" s="34"/>
      <c r="AO22" s="35" t="str">
        <f t="shared" si="14"/>
        <v/>
      </c>
      <c r="AP22" s="36" t="str">
        <f t="shared" si="15"/>
        <v/>
      </c>
      <c r="AQ22" s="37"/>
      <c r="AR22" s="33"/>
      <c r="AS22" s="34"/>
      <c r="AT22" s="35" t="str">
        <f t="shared" si="16"/>
        <v/>
      </c>
      <c r="AU22" s="36" t="str">
        <f t="shared" si="17"/>
        <v/>
      </c>
      <c r="AV22" s="37"/>
      <c r="AW22" s="33"/>
      <c r="AX22" s="34"/>
      <c r="AY22" s="35" t="str">
        <f t="shared" si="18"/>
        <v/>
      </c>
      <c r="AZ22" s="36" t="str">
        <f t="shared" si="19"/>
        <v/>
      </c>
      <c r="BA22" s="37"/>
      <c r="BB22" s="33"/>
      <c r="BC22" s="34"/>
      <c r="BD22" s="35" t="str">
        <f t="shared" si="20"/>
        <v/>
      </c>
      <c r="BE22" s="36" t="str">
        <f t="shared" si="21"/>
        <v/>
      </c>
      <c r="BF22" s="37"/>
      <c r="BG22" s="33"/>
      <c r="BH22" s="34"/>
      <c r="BI22" s="35" t="str">
        <f t="shared" si="22"/>
        <v/>
      </c>
      <c r="BJ22" s="36" t="str">
        <f t="shared" si="23"/>
        <v/>
      </c>
      <c r="BK22" s="37"/>
      <c r="BL22" s="33"/>
      <c r="BM22" s="34"/>
      <c r="BN22" s="35" t="str">
        <f t="shared" si="24"/>
        <v/>
      </c>
      <c r="BO22" s="36" t="str">
        <f t="shared" si="25"/>
        <v/>
      </c>
      <c r="BP22" s="37"/>
      <c r="BQ22" s="33"/>
      <c r="BR22" s="34"/>
      <c r="BS22" s="35" t="str">
        <f t="shared" si="26"/>
        <v/>
      </c>
      <c r="BT22" s="36" t="str">
        <f t="shared" si="27"/>
        <v/>
      </c>
      <c r="BU22" s="37"/>
      <c r="BV22" s="33"/>
      <c r="BW22" s="34"/>
      <c r="BX22" s="35" t="str">
        <f t="shared" si="28"/>
        <v/>
      </c>
      <c r="BY22" s="36" t="str">
        <f t="shared" si="29"/>
        <v/>
      </c>
      <c r="BZ22" s="37"/>
      <c r="CA22" s="33"/>
      <c r="CB22" s="34"/>
      <c r="CC22" s="35" t="str">
        <f t="shared" si="30"/>
        <v/>
      </c>
      <c r="CD22" s="36" t="str">
        <f t="shared" si="31"/>
        <v/>
      </c>
      <c r="CE22" s="37"/>
      <c r="CF22" s="33"/>
      <c r="CG22" s="34"/>
      <c r="CH22" s="35" t="str">
        <f t="shared" si="32"/>
        <v/>
      </c>
      <c r="CI22" s="36" t="str">
        <f t="shared" si="33"/>
        <v/>
      </c>
      <c r="CJ22" s="37"/>
      <c r="CK22" s="33"/>
      <c r="CL22" s="34"/>
      <c r="CM22" s="35" t="str">
        <f t="shared" si="34"/>
        <v/>
      </c>
      <c r="CN22" s="36" t="str">
        <f t="shared" si="35"/>
        <v/>
      </c>
      <c r="CO22" s="37"/>
      <c r="CP22" s="33"/>
      <c r="CQ22" s="34"/>
      <c r="CR22" s="35" t="str">
        <f t="shared" si="36"/>
        <v/>
      </c>
      <c r="CS22" s="36" t="str">
        <f t="shared" si="37"/>
        <v/>
      </c>
      <c r="CT22" s="37"/>
      <c r="CU22" s="33"/>
      <c r="CV22" s="34"/>
      <c r="CW22" s="35" t="str">
        <f t="shared" si="38"/>
        <v/>
      </c>
      <c r="CX22" s="36" t="str">
        <f t="shared" si="39"/>
        <v/>
      </c>
      <c r="CY22" s="37"/>
      <c r="CZ22" s="33"/>
      <c r="DA22" s="34"/>
      <c r="DB22" s="35" t="str">
        <f t="shared" si="40"/>
        <v/>
      </c>
      <c r="DC22" s="36" t="str">
        <f t="shared" si="41"/>
        <v/>
      </c>
      <c r="DD22" s="37"/>
      <c r="DE22" s="33"/>
      <c r="DF22" s="34"/>
      <c r="DG22" s="35" t="str">
        <f t="shared" si="42"/>
        <v/>
      </c>
      <c r="DH22" s="36" t="str">
        <f t="shared" si="43"/>
        <v/>
      </c>
      <c r="DI22" s="37"/>
      <c r="DJ22" s="33"/>
      <c r="DK22" s="34"/>
      <c r="DL22" s="35" t="str">
        <f t="shared" si="44"/>
        <v/>
      </c>
      <c r="DM22" s="36" t="str">
        <f t="shared" si="45"/>
        <v/>
      </c>
      <c r="DN22" s="37"/>
      <c r="DO22" s="33"/>
      <c r="DP22" s="34"/>
      <c r="DQ22" s="35" t="str">
        <f t="shared" si="46"/>
        <v/>
      </c>
      <c r="DR22" s="36" t="str">
        <f t="shared" si="47"/>
        <v/>
      </c>
      <c r="DS22" s="37"/>
      <c r="DT22" s="33"/>
      <c r="DU22" s="34"/>
      <c r="DV22" s="35" t="str">
        <f t="shared" si="48"/>
        <v/>
      </c>
      <c r="DW22" s="36" t="str">
        <f t="shared" si="49"/>
        <v/>
      </c>
      <c r="DX22" s="37"/>
      <c r="DY22" s="33"/>
      <c r="DZ22" s="34"/>
      <c r="EA22" s="35" t="str">
        <f t="shared" si="50"/>
        <v/>
      </c>
      <c r="EB22" s="36" t="str">
        <f t="shared" si="51"/>
        <v/>
      </c>
      <c r="EC22" s="37"/>
      <c r="ED22" s="33"/>
      <c r="EE22" s="34"/>
      <c r="EF22" s="35" t="str">
        <f t="shared" si="52"/>
        <v/>
      </c>
      <c r="EG22" s="36" t="str">
        <f t="shared" si="53"/>
        <v/>
      </c>
      <c r="EH22" s="37"/>
      <c r="EI22" s="33"/>
      <c r="EJ22" s="34"/>
      <c r="EK22" s="35" t="str">
        <f t="shared" si="54"/>
        <v/>
      </c>
      <c r="EL22" s="36" t="str">
        <f t="shared" si="55"/>
        <v/>
      </c>
      <c r="EM22" s="37"/>
      <c r="EN22" s="33"/>
      <c r="EO22" s="34"/>
      <c r="EP22" s="35" t="str">
        <f t="shared" si="56"/>
        <v/>
      </c>
      <c r="EQ22" s="36" t="str">
        <f t="shared" si="57"/>
        <v/>
      </c>
      <c r="ER22" s="37"/>
      <c r="ES22" s="33"/>
      <c r="ET22" s="34"/>
      <c r="EU22" s="35" t="str">
        <f t="shared" si="58"/>
        <v/>
      </c>
      <c r="EV22" s="36" t="str">
        <f t="shared" si="59"/>
        <v/>
      </c>
      <c r="EW22" s="37"/>
    </row>
    <row r="23" spans="1:153" ht="19.5" customHeight="1">
      <c r="A23" s="32">
        <f>IF(DAY(DATE(対象年度,8,20))&lt;&gt;20,"",20)</f>
        <v>20</v>
      </c>
      <c r="B23" s="32" t="str">
        <f>IF(DAY(DATE(対象年度,8,20))&lt;&gt;20,"",CHOOSE(WEEKDAY(DATE(対象年度,8,20),2),"月","火","水","木","金","土","日"))</f>
        <v>木</v>
      </c>
      <c r="C23" s="32" t="str">
        <f>IF(DAY(DATE(対象年度,8,20))&lt;&gt;20,"",IF(ISNUMBER(MATCH(DATE(対象年度,8,20),祝日リスト,0)),"祝",""))</f>
        <v/>
      </c>
      <c r="D23" s="33"/>
      <c r="E23" s="34"/>
      <c r="F23" s="35" t="str">
        <f t="shared" si="0"/>
        <v/>
      </c>
      <c r="G23" s="36" t="str">
        <f t="shared" si="1"/>
        <v/>
      </c>
      <c r="H23" s="37"/>
      <c r="I23" s="33"/>
      <c r="J23" s="34"/>
      <c r="K23" s="35" t="str">
        <f t="shared" si="2"/>
        <v/>
      </c>
      <c r="L23" s="36" t="str">
        <f t="shared" si="3"/>
        <v/>
      </c>
      <c r="M23" s="37"/>
      <c r="N23" s="33"/>
      <c r="O23" s="34"/>
      <c r="P23" s="35" t="str">
        <f t="shared" si="4"/>
        <v/>
      </c>
      <c r="Q23" s="36" t="str">
        <f t="shared" si="5"/>
        <v/>
      </c>
      <c r="R23" s="37"/>
      <c r="S23" s="33"/>
      <c r="T23" s="34"/>
      <c r="U23" s="35" t="str">
        <f t="shared" si="6"/>
        <v/>
      </c>
      <c r="V23" s="36" t="str">
        <f t="shared" si="7"/>
        <v/>
      </c>
      <c r="W23" s="37"/>
      <c r="X23" s="33"/>
      <c r="Y23" s="34"/>
      <c r="Z23" s="35" t="str">
        <f t="shared" si="8"/>
        <v/>
      </c>
      <c r="AA23" s="36" t="str">
        <f t="shared" si="9"/>
        <v/>
      </c>
      <c r="AB23" s="37"/>
      <c r="AC23" s="33"/>
      <c r="AD23" s="34"/>
      <c r="AE23" s="35" t="str">
        <f t="shared" si="10"/>
        <v/>
      </c>
      <c r="AF23" s="36" t="str">
        <f t="shared" si="11"/>
        <v/>
      </c>
      <c r="AG23" s="37"/>
      <c r="AH23" s="33"/>
      <c r="AI23" s="34"/>
      <c r="AJ23" s="35" t="str">
        <f t="shared" si="12"/>
        <v/>
      </c>
      <c r="AK23" s="36" t="str">
        <f t="shared" si="13"/>
        <v/>
      </c>
      <c r="AL23" s="37"/>
      <c r="AM23" s="33"/>
      <c r="AN23" s="34"/>
      <c r="AO23" s="35" t="str">
        <f t="shared" si="14"/>
        <v/>
      </c>
      <c r="AP23" s="36" t="str">
        <f t="shared" si="15"/>
        <v/>
      </c>
      <c r="AQ23" s="37"/>
      <c r="AR23" s="33"/>
      <c r="AS23" s="34"/>
      <c r="AT23" s="35" t="str">
        <f t="shared" si="16"/>
        <v/>
      </c>
      <c r="AU23" s="36" t="str">
        <f t="shared" si="17"/>
        <v/>
      </c>
      <c r="AV23" s="37"/>
      <c r="AW23" s="33"/>
      <c r="AX23" s="34"/>
      <c r="AY23" s="35" t="str">
        <f t="shared" si="18"/>
        <v/>
      </c>
      <c r="AZ23" s="36" t="str">
        <f t="shared" si="19"/>
        <v/>
      </c>
      <c r="BA23" s="37"/>
      <c r="BB23" s="33"/>
      <c r="BC23" s="34"/>
      <c r="BD23" s="35" t="str">
        <f t="shared" si="20"/>
        <v/>
      </c>
      <c r="BE23" s="36" t="str">
        <f t="shared" si="21"/>
        <v/>
      </c>
      <c r="BF23" s="37"/>
      <c r="BG23" s="33"/>
      <c r="BH23" s="34"/>
      <c r="BI23" s="35" t="str">
        <f t="shared" si="22"/>
        <v/>
      </c>
      <c r="BJ23" s="36" t="str">
        <f t="shared" si="23"/>
        <v/>
      </c>
      <c r="BK23" s="37"/>
      <c r="BL23" s="33"/>
      <c r="BM23" s="34"/>
      <c r="BN23" s="35" t="str">
        <f t="shared" si="24"/>
        <v/>
      </c>
      <c r="BO23" s="36" t="str">
        <f t="shared" si="25"/>
        <v/>
      </c>
      <c r="BP23" s="37"/>
      <c r="BQ23" s="33"/>
      <c r="BR23" s="34"/>
      <c r="BS23" s="35" t="str">
        <f t="shared" si="26"/>
        <v/>
      </c>
      <c r="BT23" s="36" t="str">
        <f t="shared" si="27"/>
        <v/>
      </c>
      <c r="BU23" s="37"/>
      <c r="BV23" s="33"/>
      <c r="BW23" s="34"/>
      <c r="BX23" s="35" t="str">
        <f t="shared" si="28"/>
        <v/>
      </c>
      <c r="BY23" s="36" t="str">
        <f t="shared" si="29"/>
        <v/>
      </c>
      <c r="BZ23" s="37"/>
      <c r="CA23" s="33"/>
      <c r="CB23" s="34"/>
      <c r="CC23" s="35" t="str">
        <f t="shared" si="30"/>
        <v/>
      </c>
      <c r="CD23" s="36" t="str">
        <f t="shared" si="31"/>
        <v/>
      </c>
      <c r="CE23" s="37"/>
      <c r="CF23" s="33"/>
      <c r="CG23" s="34"/>
      <c r="CH23" s="35" t="str">
        <f t="shared" si="32"/>
        <v/>
      </c>
      <c r="CI23" s="36" t="str">
        <f t="shared" si="33"/>
        <v/>
      </c>
      <c r="CJ23" s="37"/>
      <c r="CK23" s="33"/>
      <c r="CL23" s="34"/>
      <c r="CM23" s="35" t="str">
        <f t="shared" si="34"/>
        <v/>
      </c>
      <c r="CN23" s="36" t="str">
        <f t="shared" si="35"/>
        <v/>
      </c>
      <c r="CO23" s="37"/>
      <c r="CP23" s="33"/>
      <c r="CQ23" s="34"/>
      <c r="CR23" s="35" t="str">
        <f t="shared" si="36"/>
        <v/>
      </c>
      <c r="CS23" s="36" t="str">
        <f t="shared" si="37"/>
        <v/>
      </c>
      <c r="CT23" s="37"/>
      <c r="CU23" s="33"/>
      <c r="CV23" s="34"/>
      <c r="CW23" s="35" t="str">
        <f t="shared" si="38"/>
        <v/>
      </c>
      <c r="CX23" s="36" t="str">
        <f t="shared" si="39"/>
        <v/>
      </c>
      <c r="CY23" s="37"/>
      <c r="CZ23" s="33"/>
      <c r="DA23" s="34"/>
      <c r="DB23" s="35" t="str">
        <f t="shared" si="40"/>
        <v/>
      </c>
      <c r="DC23" s="36" t="str">
        <f t="shared" si="41"/>
        <v/>
      </c>
      <c r="DD23" s="37"/>
      <c r="DE23" s="33"/>
      <c r="DF23" s="34"/>
      <c r="DG23" s="35" t="str">
        <f t="shared" si="42"/>
        <v/>
      </c>
      <c r="DH23" s="36" t="str">
        <f t="shared" si="43"/>
        <v/>
      </c>
      <c r="DI23" s="37"/>
      <c r="DJ23" s="33"/>
      <c r="DK23" s="34"/>
      <c r="DL23" s="35" t="str">
        <f t="shared" si="44"/>
        <v/>
      </c>
      <c r="DM23" s="36" t="str">
        <f t="shared" si="45"/>
        <v/>
      </c>
      <c r="DN23" s="37"/>
      <c r="DO23" s="33"/>
      <c r="DP23" s="34"/>
      <c r="DQ23" s="35" t="str">
        <f t="shared" si="46"/>
        <v/>
      </c>
      <c r="DR23" s="36" t="str">
        <f t="shared" si="47"/>
        <v/>
      </c>
      <c r="DS23" s="37"/>
      <c r="DT23" s="33"/>
      <c r="DU23" s="34"/>
      <c r="DV23" s="35" t="str">
        <f t="shared" si="48"/>
        <v/>
      </c>
      <c r="DW23" s="36" t="str">
        <f t="shared" si="49"/>
        <v/>
      </c>
      <c r="DX23" s="37"/>
      <c r="DY23" s="33"/>
      <c r="DZ23" s="34"/>
      <c r="EA23" s="35" t="str">
        <f t="shared" si="50"/>
        <v/>
      </c>
      <c r="EB23" s="36" t="str">
        <f t="shared" si="51"/>
        <v/>
      </c>
      <c r="EC23" s="37"/>
      <c r="ED23" s="33"/>
      <c r="EE23" s="34"/>
      <c r="EF23" s="35" t="str">
        <f t="shared" si="52"/>
        <v/>
      </c>
      <c r="EG23" s="36" t="str">
        <f t="shared" si="53"/>
        <v/>
      </c>
      <c r="EH23" s="37"/>
      <c r="EI23" s="33"/>
      <c r="EJ23" s="34"/>
      <c r="EK23" s="35" t="str">
        <f t="shared" si="54"/>
        <v/>
      </c>
      <c r="EL23" s="36" t="str">
        <f t="shared" si="55"/>
        <v/>
      </c>
      <c r="EM23" s="37"/>
      <c r="EN23" s="33"/>
      <c r="EO23" s="34"/>
      <c r="EP23" s="35" t="str">
        <f t="shared" si="56"/>
        <v/>
      </c>
      <c r="EQ23" s="36" t="str">
        <f t="shared" si="57"/>
        <v/>
      </c>
      <c r="ER23" s="37"/>
      <c r="ES23" s="33"/>
      <c r="ET23" s="34"/>
      <c r="EU23" s="35" t="str">
        <f t="shared" si="58"/>
        <v/>
      </c>
      <c r="EV23" s="36" t="str">
        <f t="shared" si="59"/>
        <v/>
      </c>
      <c r="EW23" s="37"/>
    </row>
    <row r="24" spans="1:153" ht="19.5" customHeight="1">
      <c r="A24" s="32">
        <f>IF(DAY(DATE(対象年度,8,21))&lt;&gt;21,"",21)</f>
        <v>21</v>
      </c>
      <c r="B24" s="32" t="str">
        <f>IF(DAY(DATE(対象年度,8,21))&lt;&gt;21,"",CHOOSE(WEEKDAY(DATE(対象年度,8,21),2),"月","火","水","木","金","土","日"))</f>
        <v>金</v>
      </c>
      <c r="C24" s="32" t="str">
        <f>IF(DAY(DATE(対象年度,8,21))&lt;&gt;21,"",IF(ISNUMBER(MATCH(DATE(対象年度,8,21),祝日リスト,0)),"祝",""))</f>
        <v/>
      </c>
      <c r="D24" s="33"/>
      <c r="E24" s="34"/>
      <c r="F24" s="35" t="str">
        <f t="shared" si="0"/>
        <v/>
      </c>
      <c r="G24" s="36" t="str">
        <f t="shared" si="1"/>
        <v/>
      </c>
      <c r="H24" s="37"/>
      <c r="I24" s="33"/>
      <c r="J24" s="34"/>
      <c r="K24" s="35" t="str">
        <f t="shared" si="2"/>
        <v/>
      </c>
      <c r="L24" s="36" t="str">
        <f t="shared" si="3"/>
        <v/>
      </c>
      <c r="M24" s="37"/>
      <c r="N24" s="33"/>
      <c r="O24" s="34"/>
      <c r="P24" s="35" t="str">
        <f t="shared" si="4"/>
        <v/>
      </c>
      <c r="Q24" s="36" t="str">
        <f t="shared" si="5"/>
        <v/>
      </c>
      <c r="R24" s="37"/>
      <c r="S24" s="33"/>
      <c r="T24" s="34"/>
      <c r="U24" s="35" t="str">
        <f t="shared" si="6"/>
        <v/>
      </c>
      <c r="V24" s="36" t="str">
        <f t="shared" si="7"/>
        <v/>
      </c>
      <c r="W24" s="37"/>
      <c r="X24" s="33"/>
      <c r="Y24" s="34"/>
      <c r="Z24" s="35" t="str">
        <f t="shared" si="8"/>
        <v/>
      </c>
      <c r="AA24" s="36" t="str">
        <f t="shared" si="9"/>
        <v/>
      </c>
      <c r="AB24" s="37"/>
      <c r="AC24" s="33"/>
      <c r="AD24" s="34"/>
      <c r="AE24" s="35" t="str">
        <f t="shared" si="10"/>
        <v/>
      </c>
      <c r="AF24" s="36" t="str">
        <f t="shared" si="11"/>
        <v/>
      </c>
      <c r="AG24" s="37"/>
      <c r="AH24" s="33"/>
      <c r="AI24" s="34"/>
      <c r="AJ24" s="35" t="str">
        <f t="shared" si="12"/>
        <v/>
      </c>
      <c r="AK24" s="36" t="str">
        <f t="shared" si="13"/>
        <v/>
      </c>
      <c r="AL24" s="37"/>
      <c r="AM24" s="33"/>
      <c r="AN24" s="34"/>
      <c r="AO24" s="35" t="str">
        <f t="shared" si="14"/>
        <v/>
      </c>
      <c r="AP24" s="36" t="str">
        <f t="shared" si="15"/>
        <v/>
      </c>
      <c r="AQ24" s="37"/>
      <c r="AR24" s="33"/>
      <c r="AS24" s="34"/>
      <c r="AT24" s="35" t="str">
        <f t="shared" si="16"/>
        <v/>
      </c>
      <c r="AU24" s="36" t="str">
        <f t="shared" si="17"/>
        <v/>
      </c>
      <c r="AV24" s="37"/>
      <c r="AW24" s="33"/>
      <c r="AX24" s="34"/>
      <c r="AY24" s="35" t="str">
        <f t="shared" si="18"/>
        <v/>
      </c>
      <c r="AZ24" s="36" t="str">
        <f t="shared" si="19"/>
        <v/>
      </c>
      <c r="BA24" s="37"/>
      <c r="BB24" s="33"/>
      <c r="BC24" s="34"/>
      <c r="BD24" s="35" t="str">
        <f t="shared" si="20"/>
        <v/>
      </c>
      <c r="BE24" s="36" t="str">
        <f t="shared" si="21"/>
        <v/>
      </c>
      <c r="BF24" s="37"/>
      <c r="BG24" s="33"/>
      <c r="BH24" s="34"/>
      <c r="BI24" s="35" t="str">
        <f t="shared" si="22"/>
        <v/>
      </c>
      <c r="BJ24" s="36" t="str">
        <f t="shared" si="23"/>
        <v/>
      </c>
      <c r="BK24" s="37"/>
      <c r="BL24" s="33"/>
      <c r="BM24" s="34"/>
      <c r="BN24" s="35" t="str">
        <f t="shared" si="24"/>
        <v/>
      </c>
      <c r="BO24" s="36" t="str">
        <f t="shared" si="25"/>
        <v/>
      </c>
      <c r="BP24" s="37"/>
      <c r="BQ24" s="33"/>
      <c r="BR24" s="34"/>
      <c r="BS24" s="35" t="str">
        <f t="shared" si="26"/>
        <v/>
      </c>
      <c r="BT24" s="36" t="str">
        <f t="shared" si="27"/>
        <v/>
      </c>
      <c r="BU24" s="37"/>
      <c r="BV24" s="33"/>
      <c r="BW24" s="34"/>
      <c r="BX24" s="35" t="str">
        <f t="shared" si="28"/>
        <v/>
      </c>
      <c r="BY24" s="36" t="str">
        <f t="shared" si="29"/>
        <v/>
      </c>
      <c r="BZ24" s="37"/>
      <c r="CA24" s="33"/>
      <c r="CB24" s="34"/>
      <c r="CC24" s="35" t="str">
        <f t="shared" si="30"/>
        <v/>
      </c>
      <c r="CD24" s="36" t="str">
        <f t="shared" si="31"/>
        <v/>
      </c>
      <c r="CE24" s="37"/>
      <c r="CF24" s="33"/>
      <c r="CG24" s="34"/>
      <c r="CH24" s="35" t="str">
        <f t="shared" si="32"/>
        <v/>
      </c>
      <c r="CI24" s="36" t="str">
        <f t="shared" si="33"/>
        <v/>
      </c>
      <c r="CJ24" s="37"/>
      <c r="CK24" s="33"/>
      <c r="CL24" s="34"/>
      <c r="CM24" s="35" t="str">
        <f t="shared" si="34"/>
        <v/>
      </c>
      <c r="CN24" s="36" t="str">
        <f t="shared" si="35"/>
        <v/>
      </c>
      <c r="CO24" s="37"/>
      <c r="CP24" s="33"/>
      <c r="CQ24" s="34"/>
      <c r="CR24" s="35" t="str">
        <f t="shared" si="36"/>
        <v/>
      </c>
      <c r="CS24" s="36" t="str">
        <f t="shared" si="37"/>
        <v/>
      </c>
      <c r="CT24" s="37"/>
      <c r="CU24" s="33"/>
      <c r="CV24" s="34"/>
      <c r="CW24" s="35" t="str">
        <f t="shared" si="38"/>
        <v/>
      </c>
      <c r="CX24" s="36" t="str">
        <f t="shared" si="39"/>
        <v/>
      </c>
      <c r="CY24" s="37"/>
      <c r="CZ24" s="33"/>
      <c r="DA24" s="34"/>
      <c r="DB24" s="35" t="str">
        <f t="shared" si="40"/>
        <v/>
      </c>
      <c r="DC24" s="36" t="str">
        <f t="shared" si="41"/>
        <v/>
      </c>
      <c r="DD24" s="37"/>
      <c r="DE24" s="33"/>
      <c r="DF24" s="34"/>
      <c r="DG24" s="35" t="str">
        <f t="shared" si="42"/>
        <v/>
      </c>
      <c r="DH24" s="36" t="str">
        <f t="shared" si="43"/>
        <v/>
      </c>
      <c r="DI24" s="37"/>
      <c r="DJ24" s="33"/>
      <c r="DK24" s="34"/>
      <c r="DL24" s="35" t="str">
        <f t="shared" si="44"/>
        <v/>
      </c>
      <c r="DM24" s="36" t="str">
        <f t="shared" si="45"/>
        <v/>
      </c>
      <c r="DN24" s="37"/>
      <c r="DO24" s="33"/>
      <c r="DP24" s="34"/>
      <c r="DQ24" s="35" t="str">
        <f t="shared" si="46"/>
        <v/>
      </c>
      <c r="DR24" s="36" t="str">
        <f t="shared" si="47"/>
        <v/>
      </c>
      <c r="DS24" s="37"/>
      <c r="DT24" s="33"/>
      <c r="DU24" s="34"/>
      <c r="DV24" s="35" t="str">
        <f t="shared" si="48"/>
        <v/>
      </c>
      <c r="DW24" s="36" t="str">
        <f t="shared" si="49"/>
        <v/>
      </c>
      <c r="DX24" s="37"/>
      <c r="DY24" s="33"/>
      <c r="DZ24" s="34"/>
      <c r="EA24" s="35" t="str">
        <f t="shared" si="50"/>
        <v/>
      </c>
      <c r="EB24" s="36" t="str">
        <f t="shared" si="51"/>
        <v/>
      </c>
      <c r="EC24" s="37"/>
      <c r="ED24" s="33"/>
      <c r="EE24" s="34"/>
      <c r="EF24" s="35" t="str">
        <f t="shared" si="52"/>
        <v/>
      </c>
      <c r="EG24" s="36" t="str">
        <f t="shared" si="53"/>
        <v/>
      </c>
      <c r="EH24" s="37"/>
      <c r="EI24" s="33"/>
      <c r="EJ24" s="34"/>
      <c r="EK24" s="35" t="str">
        <f t="shared" si="54"/>
        <v/>
      </c>
      <c r="EL24" s="36" t="str">
        <f t="shared" si="55"/>
        <v/>
      </c>
      <c r="EM24" s="37"/>
      <c r="EN24" s="33"/>
      <c r="EO24" s="34"/>
      <c r="EP24" s="35" t="str">
        <f t="shared" si="56"/>
        <v/>
      </c>
      <c r="EQ24" s="36" t="str">
        <f t="shared" si="57"/>
        <v/>
      </c>
      <c r="ER24" s="37"/>
      <c r="ES24" s="33"/>
      <c r="ET24" s="34"/>
      <c r="EU24" s="35" t="str">
        <f t="shared" si="58"/>
        <v/>
      </c>
      <c r="EV24" s="36" t="str">
        <f t="shared" si="59"/>
        <v/>
      </c>
      <c r="EW24" s="37"/>
    </row>
    <row r="25" spans="1:153" ht="19.5" customHeight="1">
      <c r="A25" s="32">
        <f>IF(DAY(DATE(対象年度,8,22))&lt;&gt;22,"",22)</f>
        <v>22</v>
      </c>
      <c r="B25" s="32" t="str">
        <f>IF(DAY(DATE(対象年度,8,22))&lt;&gt;22,"",CHOOSE(WEEKDAY(DATE(対象年度,8,22),2),"月","火","水","木","金","土","日"))</f>
        <v>土</v>
      </c>
      <c r="C25" s="32" t="str">
        <f>IF(DAY(DATE(対象年度,8,22))&lt;&gt;22,"",IF(ISNUMBER(MATCH(DATE(対象年度,8,22),祝日リスト,0)),"祝",""))</f>
        <v/>
      </c>
      <c r="D25" s="33"/>
      <c r="E25" s="34"/>
      <c r="F25" s="35" t="str">
        <f t="shared" si="0"/>
        <v/>
      </c>
      <c r="G25" s="36" t="str">
        <f t="shared" si="1"/>
        <v/>
      </c>
      <c r="H25" s="37"/>
      <c r="I25" s="33"/>
      <c r="J25" s="34"/>
      <c r="K25" s="35" t="str">
        <f t="shared" si="2"/>
        <v/>
      </c>
      <c r="L25" s="36" t="str">
        <f t="shared" si="3"/>
        <v/>
      </c>
      <c r="M25" s="37"/>
      <c r="N25" s="33"/>
      <c r="O25" s="34"/>
      <c r="P25" s="35" t="str">
        <f t="shared" si="4"/>
        <v/>
      </c>
      <c r="Q25" s="36" t="str">
        <f t="shared" si="5"/>
        <v/>
      </c>
      <c r="R25" s="37"/>
      <c r="S25" s="33"/>
      <c r="T25" s="34"/>
      <c r="U25" s="35" t="str">
        <f t="shared" si="6"/>
        <v/>
      </c>
      <c r="V25" s="36" t="str">
        <f t="shared" si="7"/>
        <v/>
      </c>
      <c r="W25" s="37"/>
      <c r="X25" s="33"/>
      <c r="Y25" s="34"/>
      <c r="Z25" s="35" t="str">
        <f t="shared" si="8"/>
        <v/>
      </c>
      <c r="AA25" s="36" t="str">
        <f t="shared" si="9"/>
        <v/>
      </c>
      <c r="AB25" s="37"/>
      <c r="AC25" s="33"/>
      <c r="AD25" s="34"/>
      <c r="AE25" s="35" t="str">
        <f t="shared" si="10"/>
        <v/>
      </c>
      <c r="AF25" s="36" t="str">
        <f t="shared" si="11"/>
        <v/>
      </c>
      <c r="AG25" s="37"/>
      <c r="AH25" s="33"/>
      <c r="AI25" s="34"/>
      <c r="AJ25" s="35" t="str">
        <f t="shared" si="12"/>
        <v/>
      </c>
      <c r="AK25" s="36" t="str">
        <f t="shared" si="13"/>
        <v/>
      </c>
      <c r="AL25" s="37"/>
      <c r="AM25" s="33"/>
      <c r="AN25" s="34"/>
      <c r="AO25" s="35" t="str">
        <f t="shared" si="14"/>
        <v/>
      </c>
      <c r="AP25" s="36" t="str">
        <f t="shared" si="15"/>
        <v/>
      </c>
      <c r="AQ25" s="37"/>
      <c r="AR25" s="33"/>
      <c r="AS25" s="34"/>
      <c r="AT25" s="35" t="str">
        <f t="shared" si="16"/>
        <v/>
      </c>
      <c r="AU25" s="36" t="str">
        <f t="shared" si="17"/>
        <v/>
      </c>
      <c r="AV25" s="37"/>
      <c r="AW25" s="33"/>
      <c r="AX25" s="34"/>
      <c r="AY25" s="35" t="str">
        <f t="shared" si="18"/>
        <v/>
      </c>
      <c r="AZ25" s="36" t="str">
        <f t="shared" si="19"/>
        <v/>
      </c>
      <c r="BA25" s="37"/>
      <c r="BB25" s="33"/>
      <c r="BC25" s="34"/>
      <c r="BD25" s="35" t="str">
        <f t="shared" si="20"/>
        <v/>
      </c>
      <c r="BE25" s="36" t="str">
        <f t="shared" si="21"/>
        <v/>
      </c>
      <c r="BF25" s="37"/>
      <c r="BG25" s="33"/>
      <c r="BH25" s="34"/>
      <c r="BI25" s="35" t="str">
        <f t="shared" si="22"/>
        <v/>
      </c>
      <c r="BJ25" s="36" t="str">
        <f t="shared" si="23"/>
        <v/>
      </c>
      <c r="BK25" s="37"/>
      <c r="BL25" s="33"/>
      <c r="BM25" s="34"/>
      <c r="BN25" s="35" t="str">
        <f t="shared" si="24"/>
        <v/>
      </c>
      <c r="BO25" s="36" t="str">
        <f t="shared" si="25"/>
        <v/>
      </c>
      <c r="BP25" s="37"/>
      <c r="BQ25" s="33"/>
      <c r="BR25" s="34"/>
      <c r="BS25" s="35" t="str">
        <f t="shared" si="26"/>
        <v/>
      </c>
      <c r="BT25" s="36" t="str">
        <f t="shared" si="27"/>
        <v/>
      </c>
      <c r="BU25" s="37"/>
      <c r="BV25" s="33"/>
      <c r="BW25" s="34"/>
      <c r="BX25" s="35" t="str">
        <f t="shared" si="28"/>
        <v/>
      </c>
      <c r="BY25" s="36" t="str">
        <f t="shared" si="29"/>
        <v/>
      </c>
      <c r="BZ25" s="37"/>
      <c r="CA25" s="33"/>
      <c r="CB25" s="34"/>
      <c r="CC25" s="35" t="str">
        <f t="shared" si="30"/>
        <v/>
      </c>
      <c r="CD25" s="36" t="str">
        <f t="shared" si="31"/>
        <v/>
      </c>
      <c r="CE25" s="37"/>
      <c r="CF25" s="33"/>
      <c r="CG25" s="34"/>
      <c r="CH25" s="35" t="str">
        <f t="shared" si="32"/>
        <v/>
      </c>
      <c r="CI25" s="36" t="str">
        <f t="shared" si="33"/>
        <v/>
      </c>
      <c r="CJ25" s="37"/>
      <c r="CK25" s="33"/>
      <c r="CL25" s="34"/>
      <c r="CM25" s="35" t="str">
        <f t="shared" si="34"/>
        <v/>
      </c>
      <c r="CN25" s="36" t="str">
        <f t="shared" si="35"/>
        <v/>
      </c>
      <c r="CO25" s="37"/>
      <c r="CP25" s="33"/>
      <c r="CQ25" s="34"/>
      <c r="CR25" s="35" t="str">
        <f t="shared" si="36"/>
        <v/>
      </c>
      <c r="CS25" s="36" t="str">
        <f t="shared" si="37"/>
        <v/>
      </c>
      <c r="CT25" s="37"/>
      <c r="CU25" s="33"/>
      <c r="CV25" s="34"/>
      <c r="CW25" s="35" t="str">
        <f t="shared" si="38"/>
        <v/>
      </c>
      <c r="CX25" s="36" t="str">
        <f t="shared" si="39"/>
        <v/>
      </c>
      <c r="CY25" s="37"/>
      <c r="CZ25" s="33"/>
      <c r="DA25" s="34"/>
      <c r="DB25" s="35" t="str">
        <f t="shared" si="40"/>
        <v/>
      </c>
      <c r="DC25" s="36" t="str">
        <f t="shared" si="41"/>
        <v/>
      </c>
      <c r="DD25" s="37"/>
      <c r="DE25" s="33"/>
      <c r="DF25" s="34"/>
      <c r="DG25" s="35" t="str">
        <f t="shared" si="42"/>
        <v/>
      </c>
      <c r="DH25" s="36" t="str">
        <f t="shared" si="43"/>
        <v/>
      </c>
      <c r="DI25" s="37"/>
      <c r="DJ25" s="33"/>
      <c r="DK25" s="34"/>
      <c r="DL25" s="35" t="str">
        <f t="shared" si="44"/>
        <v/>
      </c>
      <c r="DM25" s="36" t="str">
        <f t="shared" si="45"/>
        <v/>
      </c>
      <c r="DN25" s="37"/>
      <c r="DO25" s="33"/>
      <c r="DP25" s="34"/>
      <c r="DQ25" s="35" t="str">
        <f t="shared" si="46"/>
        <v/>
      </c>
      <c r="DR25" s="36" t="str">
        <f t="shared" si="47"/>
        <v/>
      </c>
      <c r="DS25" s="37"/>
      <c r="DT25" s="33"/>
      <c r="DU25" s="34"/>
      <c r="DV25" s="35" t="str">
        <f t="shared" si="48"/>
        <v/>
      </c>
      <c r="DW25" s="36" t="str">
        <f t="shared" si="49"/>
        <v/>
      </c>
      <c r="DX25" s="37"/>
      <c r="DY25" s="33"/>
      <c r="DZ25" s="34"/>
      <c r="EA25" s="35" t="str">
        <f t="shared" si="50"/>
        <v/>
      </c>
      <c r="EB25" s="36" t="str">
        <f t="shared" si="51"/>
        <v/>
      </c>
      <c r="EC25" s="37"/>
      <c r="ED25" s="33"/>
      <c r="EE25" s="34"/>
      <c r="EF25" s="35" t="str">
        <f t="shared" si="52"/>
        <v/>
      </c>
      <c r="EG25" s="36" t="str">
        <f t="shared" si="53"/>
        <v/>
      </c>
      <c r="EH25" s="37"/>
      <c r="EI25" s="33"/>
      <c r="EJ25" s="34"/>
      <c r="EK25" s="35" t="str">
        <f t="shared" si="54"/>
        <v/>
      </c>
      <c r="EL25" s="36" t="str">
        <f t="shared" si="55"/>
        <v/>
      </c>
      <c r="EM25" s="37"/>
      <c r="EN25" s="33"/>
      <c r="EO25" s="34"/>
      <c r="EP25" s="35" t="str">
        <f t="shared" si="56"/>
        <v/>
      </c>
      <c r="EQ25" s="36" t="str">
        <f t="shared" si="57"/>
        <v/>
      </c>
      <c r="ER25" s="37"/>
      <c r="ES25" s="33"/>
      <c r="ET25" s="34"/>
      <c r="EU25" s="35" t="str">
        <f t="shared" si="58"/>
        <v/>
      </c>
      <c r="EV25" s="36" t="str">
        <f t="shared" si="59"/>
        <v/>
      </c>
      <c r="EW25" s="37"/>
    </row>
    <row r="26" spans="1:153" ht="19.5" customHeight="1">
      <c r="A26" s="32">
        <f>IF(DAY(DATE(対象年度,8,23))&lt;&gt;23,"",23)</f>
        <v>23</v>
      </c>
      <c r="B26" s="32" t="str">
        <f>IF(DAY(DATE(対象年度,8,23))&lt;&gt;23,"",CHOOSE(WEEKDAY(DATE(対象年度,8,23),2),"月","火","水","木","金","土","日"))</f>
        <v>日</v>
      </c>
      <c r="C26" s="32" t="str">
        <f>IF(DAY(DATE(対象年度,8,23))&lt;&gt;23,"",IF(ISNUMBER(MATCH(DATE(対象年度,8,23),祝日リスト,0)),"祝",""))</f>
        <v/>
      </c>
      <c r="D26" s="33"/>
      <c r="E26" s="34"/>
      <c r="F26" s="35" t="str">
        <f t="shared" si="0"/>
        <v/>
      </c>
      <c r="G26" s="36" t="str">
        <f t="shared" si="1"/>
        <v/>
      </c>
      <c r="H26" s="37"/>
      <c r="I26" s="33"/>
      <c r="J26" s="34"/>
      <c r="K26" s="35" t="str">
        <f t="shared" si="2"/>
        <v/>
      </c>
      <c r="L26" s="36" t="str">
        <f t="shared" si="3"/>
        <v/>
      </c>
      <c r="M26" s="37"/>
      <c r="N26" s="33"/>
      <c r="O26" s="34"/>
      <c r="P26" s="35" t="str">
        <f t="shared" si="4"/>
        <v/>
      </c>
      <c r="Q26" s="36" t="str">
        <f t="shared" si="5"/>
        <v/>
      </c>
      <c r="R26" s="37"/>
      <c r="S26" s="33"/>
      <c r="T26" s="34"/>
      <c r="U26" s="35" t="str">
        <f t="shared" si="6"/>
        <v/>
      </c>
      <c r="V26" s="36" t="str">
        <f t="shared" si="7"/>
        <v/>
      </c>
      <c r="W26" s="37"/>
      <c r="X26" s="33"/>
      <c r="Y26" s="34"/>
      <c r="Z26" s="35" t="str">
        <f t="shared" si="8"/>
        <v/>
      </c>
      <c r="AA26" s="36" t="str">
        <f t="shared" si="9"/>
        <v/>
      </c>
      <c r="AB26" s="37"/>
      <c r="AC26" s="33"/>
      <c r="AD26" s="34"/>
      <c r="AE26" s="35" t="str">
        <f t="shared" si="10"/>
        <v/>
      </c>
      <c r="AF26" s="36" t="str">
        <f t="shared" si="11"/>
        <v/>
      </c>
      <c r="AG26" s="37"/>
      <c r="AH26" s="33"/>
      <c r="AI26" s="34"/>
      <c r="AJ26" s="35" t="str">
        <f t="shared" si="12"/>
        <v/>
      </c>
      <c r="AK26" s="36" t="str">
        <f t="shared" si="13"/>
        <v/>
      </c>
      <c r="AL26" s="37"/>
      <c r="AM26" s="33"/>
      <c r="AN26" s="34"/>
      <c r="AO26" s="35" t="str">
        <f t="shared" si="14"/>
        <v/>
      </c>
      <c r="AP26" s="36" t="str">
        <f t="shared" si="15"/>
        <v/>
      </c>
      <c r="AQ26" s="37"/>
      <c r="AR26" s="33"/>
      <c r="AS26" s="34"/>
      <c r="AT26" s="35" t="str">
        <f t="shared" si="16"/>
        <v/>
      </c>
      <c r="AU26" s="36" t="str">
        <f t="shared" si="17"/>
        <v/>
      </c>
      <c r="AV26" s="37"/>
      <c r="AW26" s="33"/>
      <c r="AX26" s="34"/>
      <c r="AY26" s="35" t="str">
        <f t="shared" si="18"/>
        <v/>
      </c>
      <c r="AZ26" s="36" t="str">
        <f t="shared" si="19"/>
        <v/>
      </c>
      <c r="BA26" s="37"/>
      <c r="BB26" s="33"/>
      <c r="BC26" s="34"/>
      <c r="BD26" s="35" t="str">
        <f t="shared" si="20"/>
        <v/>
      </c>
      <c r="BE26" s="36" t="str">
        <f t="shared" si="21"/>
        <v/>
      </c>
      <c r="BF26" s="37"/>
      <c r="BG26" s="33"/>
      <c r="BH26" s="34"/>
      <c r="BI26" s="35" t="str">
        <f t="shared" si="22"/>
        <v/>
      </c>
      <c r="BJ26" s="36" t="str">
        <f t="shared" si="23"/>
        <v/>
      </c>
      <c r="BK26" s="37"/>
      <c r="BL26" s="33"/>
      <c r="BM26" s="34"/>
      <c r="BN26" s="35" t="str">
        <f t="shared" si="24"/>
        <v/>
      </c>
      <c r="BO26" s="36" t="str">
        <f t="shared" si="25"/>
        <v/>
      </c>
      <c r="BP26" s="37"/>
      <c r="BQ26" s="33"/>
      <c r="BR26" s="34"/>
      <c r="BS26" s="35" t="str">
        <f t="shared" si="26"/>
        <v/>
      </c>
      <c r="BT26" s="36" t="str">
        <f t="shared" si="27"/>
        <v/>
      </c>
      <c r="BU26" s="37"/>
      <c r="BV26" s="33"/>
      <c r="BW26" s="34"/>
      <c r="BX26" s="35" t="str">
        <f t="shared" si="28"/>
        <v/>
      </c>
      <c r="BY26" s="36" t="str">
        <f t="shared" si="29"/>
        <v/>
      </c>
      <c r="BZ26" s="37"/>
      <c r="CA26" s="33"/>
      <c r="CB26" s="34"/>
      <c r="CC26" s="35" t="str">
        <f t="shared" si="30"/>
        <v/>
      </c>
      <c r="CD26" s="36" t="str">
        <f t="shared" si="31"/>
        <v/>
      </c>
      <c r="CE26" s="37"/>
      <c r="CF26" s="33"/>
      <c r="CG26" s="34"/>
      <c r="CH26" s="35" t="str">
        <f t="shared" si="32"/>
        <v/>
      </c>
      <c r="CI26" s="36" t="str">
        <f t="shared" si="33"/>
        <v/>
      </c>
      <c r="CJ26" s="37"/>
      <c r="CK26" s="33"/>
      <c r="CL26" s="34"/>
      <c r="CM26" s="35" t="str">
        <f t="shared" si="34"/>
        <v/>
      </c>
      <c r="CN26" s="36" t="str">
        <f t="shared" si="35"/>
        <v/>
      </c>
      <c r="CO26" s="37"/>
      <c r="CP26" s="33"/>
      <c r="CQ26" s="34"/>
      <c r="CR26" s="35" t="str">
        <f t="shared" si="36"/>
        <v/>
      </c>
      <c r="CS26" s="36" t="str">
        <f t="shared" si="37"/>
        <v/>
      </c>
      <c r="CT26" s="37"/>
      <c r="CU26" s="33"/>
      <c r="CV26" s="34"/>
      <c r="CW26" s="35" t="str">
        <f t="shared" si="38"/>
        <v/>
      </c>
      <c r="CX26" s="36" t="str">
        <f t="shared" si="39"/>
        <v/>
      </c>
      <c r="CY26" s="37"/>
      <c r="CZ26" s="33"/>
      <c r="DA26" s="34"/>
      <c r="DB26" s="35" t="str">
        <f t="shared" si="40"/>
        <v/>
      </c>
      <c r="DC26" s="36" t="str">
        <f t="shared" si="41"/>
        <v/>
      </c>
      <c r="DD26" s="37"/>
      <c r="DE26" s="33"/>
      <c r="DF26" s="34"/>
      <c r="DG26" s="35" t="str">
        <f t="shared" si="42"/>
        <v/>
      </c>
      <c r="DH26" s="36" t="str">
        <f t="shared" si="43"/>
        <v/>
      </c>
      <c r="DI26" s="37"/>
      <c r="DJ26" s="33"/>
      <c r="DK26" s="34"/>
      <c r="DL26" s="35" t="str">
        <f t="shared" si="44"/>
        <v/>
      </c>
      <c r="DM26" s="36" t="str">
        <f t="shared" si="45"/>
        <v/>
      </c>
      <c r="DN26" s="37"/>
      <c r="DO26" s="33"/>
      <c r="DP26" s="34"/>
      <c r="DQ26" s="35" t="str">
        <f t="shared" si="46"/>
        <v/>
      </c>
      <c r="DR26" s="36" t="str">
        <f t="shared" si="47"/>
        <v/>
      </c>
      <c r="DS26" s="37"/>
      <c r="DT26" s="33"/>
      <c r="DU26" s="34"/>
      <c r="DV26" s="35" t="str">
        <f t="shared" si="48"/>
        <v/>
      </c>
      <c r="DW26" s="36" t="str">
        <f t="shared" si="49"/>
        <v/>
      </c>
      <c r="DX26" s="37"/>
      <c r="DY26" s="33"/>
      <c r="DZ26" s="34"/>
      <c r="EA26" s="35" t="str">
        <f t="shared" si="50"/>
        <v/>
      </c>
      <c r="EB26" s="36" t="str">
        <f t="shared" si="51"/>
        <v/>
      </c>
      <c r="EC26" s="37"/>
      <c r="ED26" s="33"/>
      <c r="EE26" s="34"/>
      <c r="EF26" s="35" t="str">
        <f t="shared" si="52"/>
        <v/>
      </c>
      <c r="EG26" s="36" t="str">
        <f t="shared" si="53"/>
        <v/>
      </c>
      <c r="EH26" s="37"/>
      <c r="EI26" s="33"/>
      <c r="EJ26" s="34"/>
      <c r="EK26" s="35" t="str">
        <f t="shared" si="54"/>
        <v/>
      </c>
      <c r="EL26" s="36" t="str">
        <f t="shared" si="55"/>
        <v/>
      </c>
      <c r="EM26" s="37"/>
      <c r="EN26" s="33"/>
      <c r="EO26" s="34"/>
      <c r="EP26" s="35" t="str">
        <f t="shared" si="56"/>
        <v/>
      </c>
      <c r="EQ26" s="36" t="str">
        <f t="shared" si="57"/>
        <v/>
      </c>
      <c r="ER26" s="37"/>
      <c r="ES26" s="33"/>
      <c r="ET26" s="34"/>
      <c r="EU26" s="35" t="str">
        <f t="shared" si="58"/>
        <v/>
      </c>
      <c r="EV26" s="36" t="str">
        <f t="shared" si="59"/>
        <v/>
      </c>
      <c r="EW26" s="37"/>
    </row>
    <row r="27" spans="1:153" ht="19.5" customHeight="1">
      <c r="A27" s="32">
        <f>IF(DAY(DATE(対象年度,8,24))&lt;&gt;24,"",24)</f>
        <v>24</v>
      </c>
      <c r="B27" s="32" t="str">
        <f>IF(DAY(DATE(対象年度,8,24))&lt;&gt;24,"",CHOOSE(WEEKDAY(DATE(対象年度,8,24),2),"月","火","水","木","金","土","日"))</f>
        <v>月</v>
      </c>
      <c r="C27" s="32" t="str">
        <f>IF(DAY(DATE(対象年度,8,24))&lt;&gt;24,"",IF(ISNUMBER(MATCH(DATE(対象年度,8,24),祝日リスト,0)),"祝",""))</f>
        <v/>
      </c>
      <c r="D27" s="33"/>
      <c r="E27" s="34"/>
      <c r="F27" s="35" t="str">
        <f t="shared" si="0"/>
        <v/>
      </c>
      <c r="G27" s="36" t="str">
        <f t="shared" si="1"/>
        <v/>
      </c>
      <c r="H27" s="37"/>
      <c r="I27" s="33"/>
      <c r="J27" s="34"/>
      <c r="K27" s="35" t="str">
        <f t="shared" si="2"/>
        <v/>
      </c>
      <c r="L27" s="36" t="str">
        <f t="shared" si="3"/>
        <v/>
      </c>
      <c r="M27" s="37"/>
      <c r="N27" s="33"/>
      <c r="O27" s="34"/>
      <c r="P27" s="35" t="str">
        <f t="shared" si="4"/>
        <v/>
      </c>
      <c r="Q27" s="36" t="str">
        <f t="shared" si="5"/>
        <v/>
      </c>
      <c r="R27" s="37"/>
      <c r="S27" s="33"/>
      <c r="T27" s="34"/>
      <c r="U27" s="35" t="str">
        <f t="shared" si="6"/>
        <v/>
      </c>
      <c r="V27" s="36" t="str">
        <f t="shared" si="7"/>
        <v/>
      </c>
      <c r="W27" s="37"/>
      <c r="X27" s="33"/>
      <c r="Y27" s="34"/>
      <c r="Z27" s="35" t="str">
        <f t="shared" si="8"/>
        <v/>
      </c>
      <c r="AA27" s="36" t="str">
        <f t="shared" si="9"/>
        <v/>
      </c>
      <c r="AB27" s="37"/>
      <c r="AC27" s="33"/>
      <c r="AD27" s="34"/>
      <c r="AE27" s="35" t="str">
        <f t="shared" si="10"/>
        <v/>
      </c>
      <c r="AF27" s="36" t="str">
        <f t="shared" si="11"/>
        <v/>
      </c>
      <c r="AG27" s="37"/>
      <c r="AH27" s="33"/>
      <c r="AI27" s="34"/>
      <c r="AJ27" s="35" t="str">
        <f t="shared" si="12"/>
        <v/>
      </c>
      <c r="AK27" s="36" t="str">
        <f t="shared" si="13"/>
        <v/>
      </c>
      <c r="AL27" s="37"/>
      <c r="AM27" s="33"/>
      <c r="AN27" s="34"/>
      <c r="AO27" s="35" t="str">
        <f t="shared" si="14"/>
        <v/>
      </c>
      <c r="AP27" s="36" t="str">
        <f t="shared" si="15"/>
        <v/>
      </c>
      <c r="AQ27" s="37"/>
      <c r="AR27" s="33"/>
      <c r="AS27" s="34"/>
      <c r="AT27" s="35" t="str">
        <f t="shared" si="16"/>
        <v/>
      </c>
      <c r="AU27" s="36" t="str">
        <f t="shared" si="17"/>
        <v/>
      </c>
      <c r="AV27" s="37"/>
      <c r="AW27" s="33"/>
      <c r="AX27" s="34"/>
      <c r="AY27" s="35" t="str">
        <f t="shared" si="18"/>
        <v/>
      </c>
      <c r="AZ27" s="36" t="str">
        <f t="shared" si="19"/>
        <v/>
      </c>
      <c r="BA27" s="37"/>
      <c r="BB27" s="33"/>
      <c r="BC27" s="34"/>
      <c r="BD27" s="35" t="str">
        <f t="shared" si="20"/>
        <v/>
      </c>
      <c r="BE27" s="36" t="str">
        <f t="shared" si="21"/>
        <v/>
      </c>
      <c r="BF27" s="37"/>
      <c r="BG27" s="33"/>
      <c r="BH27" s="34"/>
      <c r="BI27" s="35" t="str">
        <f t="shared" si="22"/>
        <v/>
      </c>
      <c r="BJ27" s="36" t="str">
        <f t="shared" si="23"/>
        <v/>
      </c>
      <c r="BK27" s="37"/>
      <c r="BL27" s="33"/>
      <c r="BM27" s="34"/>
      <c r="BN27" s="35" t="str">
        <f t="shared" si="24"/>
        <v/>
      </c>
      <c r="BO27" s="36" t="str">
        <f t="shared" si="25"/>
        <v/>
      </c>
      <c r="BP27" s="37"/>
      <c r="BQ27" s="33"/>
      <c r="BR27" s="34"/>
      <c r="BS27" s="35" t="str">
        <f t="shared" si="26"/>
        <v/>
      </c>
      <c r="BT27" s="36" t="str">
        <f t="shared" si="27"/>
        <v/>
      </c>
      <c r="BU27" s="37"/>
      <c r="BV27" s="33"/>
      <c r="BW27" s="34"/>
      <c r="BX27" s="35" t="str">
        <f t="shared" si="28"/>
        <v/>
      </c>
      <c r="BY27" s="36" t="str">
        <f t="shared" si="29"/>
        <v/>
      </c>
      <c r="BZ27" s="37"/>
      <c r="CA27" s="33"/>
      <c r="CB27" s="34"/>
      <c r="CC27" s="35" t="str">
        <f t="shared" si="30"/>
        <v/>
      </c>
      <c r="CD27" s="36" t="str">
        <f t="shared" si="31"/>
        <v/>
      </c>
      <c r="CE27" s="37"/>
      <c r="CF27" s="33"/>
      <c r="CG27" s="34"/>
      <c r="CH27" s="35" t="str">
        <f t="shared" si="32"/>
        <v/>
      </c>
      <c r="CI27" s="36" t="str">
        <f t="shared" si="33"/>
        <v/>
      </c>
      <c r="CJ27" s="37"/>
      <c r="CK27" s="33"/>
      <c r="CL27" s="34"/>
      <c r="CM27" s="35" t="str">
        <f t="shared" si="34"/>
        <v/>
      </c>
      <c r="CN27" s="36" t="str">
        <f t="shared" si="35"/>
        <v/>
      </c>
      <c r="CO27" s="37"/>
      <c r="CP27" s="33"/>
      <c r="CQ27" s="34"/>
      <c r="CR27" s="35" t="str">
        <f t="shared" si="36"/>
        <v/>
      </c>
      <c r="CS27" s="36" t="str">
        <f t="shared" si="37"/>
        <v/>
      </c>
      <c r="CT27" s="37"/>
      <c r="CU27" s="33"/>
      <c r="CV27" s="34"/>
      <c r="CW27" s="35" t="str">
        <f t="shared" si="38"/>
        <v/>
      </c>
      <c r="CX27" s="36" t="str">
        <f t="shared" si="39"/>
        <v/>
      </c>
      <c r="CY27" s="37"/>
      <c r="CZ27" s="33"/>
      <c r="DA27" s="34"/>
      <c r="DB27" s="35" t="str">
        <f t="shared" si="40"/>
        <v/>
      </c>
      <c r="DC27" s="36" t="str">
        <f t="shared" si="41"/>
        <v/>
      </c>
      <c r="DD27" s="37"/>
      <c r="DE27" s="33"/>
      <c r="DF27" s="34"/>
      <c r="DG27" s="35" t="str">
        <f t="shared" si="42"/>
        <v/>
      </c>
      <c r="DH27" s="36" t="str">
        <f t="shared" si="43"/>
        <v/>
      </c>
      <c r="DI27" s="37"/>
      <c r="DJ27" s="33"/>
      <c r="DK27" s="34"/>
      <c r="DL27" s="35" t="str">
        <f t="shared" si="44"/>
        <v/>
      </c>
      <c r="DM27" s="36" t="str">
        <f t="shared" si="45"/>
        <v/>
      </c>
      <c r="DN27" s="37"/>
      <c r="DO27" s="33"/>
      <c r="DP27" s="34"/>
      <c r="DQ27" s="35" t="str">
        <f t="shared" si="46"/>
        <v/>
      </c>
      <c r="DR27" s="36" t="str">
        <f t="shared" si="47"/>
        <v/>
      </c>
      <c r="DS27" s="37"/>
      <c r="DT27" s="33"/>
      <c r="DU27" s="34"/>
      <c r="DV27" s="35" t="str">
        <f t="shared" si="48"/>
        <v/>
      </c>
      <c r="DW27" s="36" t="str">
        <f t="shared" si="49"/>
        <v/>
      </c>
      <c r="DX27" s="37"/>
      <c r="DY27" s="33"/>
      <c r="DZ27" s="34"/>
      <c r="EA27" s="35" t="str">
        <f t="shared" si="50"/>
        <v/>
      </c>
      <c r="EB27" s="36" t="str">
        <f t="shared" si="51"/>
        <v/>
      </c>
      <c r="EC27" s="37"/>
      <c r="ED27" s="33"/>
      <c r="EE27" s="34"/>
      <c r="EF27" s="35" t="str">
        <f t="shared" si="52"/>
        <v/>
      </c>
      <c r="EG27" s="36" t="str">
        <f t="shared" si="53"/>
        <v/>
      </c>
      <c r="EH27" s="37"/>
      <c r="EI27" s="33"/>
      <c r="EJ27" s="34"/>
      <c r="EK27" s="35" t="str">
        <f t="shared" si="54"/>
        <v/>
      </c>
      <c r="EL27" s="36" t="str">
        <f t="shared" si="55"/>
        <v/>
      </c>
      <c r="EM27" s="37"/>
      <c r="EN27" s="33"/>
      <c r="EO27" s="34"/>
      <c r="EP27" s="35" t="str">
        <f t="shared" si="56"/>
        <v/>
      </c>
      <c r="EQ27" s="36" t="str">
        <f t="shared" si="57"/>
        <v/>
      </c>
      <c r="ER27" s="37"/>
      <c r="ES27" s="33"/>
      <c r="ET27" s="34"/>
      <c r="EU27" s="35" t="str">
        <f t="shared" si="58"/>
        <v/>
      </c>
      <c r="EV27" s="36" t="str">
        <f t="shared" si="59"/>
        <v/>
      </c>
      <c r="EW27" s="37"/>
    </row>
    <row r="28" spans="1:153" ht="19.5" customHeight="1">
      <c r="A28" s="32">
        <f>IF(DAY(DATE(対象年度,8,25))&lt;&gt;25,"",25)</f>
        <v>25</v>
      </c>
      <c r="B28" s="32" t="str">
        <f>IF(DAY(DATE(対象年度,8,25))&lt;&gt;25,"",CHOOSE(WEEKDAY(DATE(対象年度,8,25),2),"月","火","水","木","金","土","日"))</f>
        <v>火</v>
      </c>
      <c r="C28" s="32" t="str">
        <f>IF(DAY(DATE(対象年度,8,25))&lt;&gt;25,"",IF(ISNUMBER(MATCH(DATE(対象年度,8,25),祝日リスト,0)),"祝",""))</f>
        <v/>
      </c>
      <c r="D28" s="33"/>
      <c r="E28" s="34"/>
      <c r="F28" s="35" t="str">
        <f t="shared" si="0"/>
        <v/>
      </c>
      <c r="G28" s="36" t="str">
        <f t="shared" si="1"/>
        <v/>
      </c>
      <c r="H28" s="37"/>
      <c r="I28" s="33"/>
      <c r="J28" s="34"/>
      <c r="K28" s="35" t="str">
        <f t="shared" si="2"/>
        <v/>
      </c>
      <c r="L28" s="36" t="str">
        <f t="shared" si="3"/>
        <v/>
      </c>
      <c r="M28" s="37"/>
      <c r="N28" s="33"/>
      <c r="O28" s="34"/>
      <c r="P28" s="35" t="str">
        <f t="shared" si="4"/>
        <v/>
      </c>
      <c r="Q28" s="36" t="str">
        <f t="shared" si="5"/>
        <v/>
      </c>
      <c r="R28" s="37"/>
      <c r="S28" s="33"/>
      <c r="T28" s="34"/>
      <c r="U28" s="35" t="str">
        <f t="shared" si="6"/>
        <v/>
      </c>
      <c r="V28" s="36" t="str">
        <f t="shared" si="7"/>
        <v/>
      </c>
      <c r="W28" s="37"/>
      <c r="X28" s="33"/>
      <c r="Y28" s="34"/>
      <c r="Z28" s="35" t="str">
        <f t="shared" si="8"/>
        <v/>
      </c>
      <c r="AA28" s="36" t="str">
        <f t="shared" si="9"/>
        <v/>
      </c>
      <c r="AB28" s="37"/>
      <c r="AC28" s="33"/>
      <c r="AD28" s="34"/>
      <c r="AE28" s="35" t="str">
        <f t="shared" si="10"/>
        <v/>
      </c>
      <c r="AF28" s="36" t="str">
        <f t="shared" si="11"/>
        <v/>
      </c>
      <c r="AG28" s="37"/>
      <c r="AH28" s="33"/>
      <c r="AI28" s="34"/>
      <c r="AJ28" s="35" t="str">
        <f t="shared" si="12"/>
        <v/>
      </c>
      <c r="AK28" s="36" t="str">
        <f t="shared" si="13"/>
        <v/>
      </c>
      <c r="AL28" s="37"/>
      <c r="AM28" s="33"/>
      <c r="AN28" s="34"/>
      <c r="AO28" s="35" t="str">
        <f t="shared" si="14"/>
        <v/>
      </c>
      <c r="AP28" s="36" t="str">
        <f t="shared" si="15"/>
        <v/>
      </c>
      <c r="AQ28" s="37"/>
      <c r="AR28" s="33"/>
      <c r="AS28" s="34"/>
      <c r="AT28" s="35" t="str">
        <f t="shared" si="16"/>
        <v/>
      </c>
      <c r="AU28" s="36" t="str">
        <f t="shared" si="17"/>
        <v/>
      </c>
      <c r="AV28" s="37"/>
      <c r="AW28" s="33"/>
      <c r="AX28" s="34"/>
      <c r="AY28" s="35" t="str">
        <f t="shared" si="18"/>
        <v/>
      </c>
      <c r="AZ28" s="36" t="str">
        <f t="shared" si="19"/>
        <v/>
      </c>
      <c r="BA28" s="37"/>
      <c r="BB28" s="33"/>
      <c r="BC28" s="34"/>
      <c r="BD28" s="35" t="str">
        <f t="shared" si="20"/>
        <v/>
      </c>
      <c r="BE28" s="36" t="str">
        <f t="shared" si="21"/>
        <v/>
      </c>
      <c r="BF28" s="37"/>
      <c r="BG28" s="33"/>
      <c r="BH28" s="34"/>
      <c r="BI28" s="35" t="str">
        <f t="shared" si="22"/>
        <v/>
      </c>
      <c r="BJ28" s="36" t="str">
        <f t="shared" si="23"/>
        <v/>
      </c>
      <c r="BK28" s="37"/>
      <c r="BL28" s="33"/>
      <c r="BM28" s="34"/>
      <c r="BN28" s="35" t="str">
        <f t="shared" si="24"/>
        <v/>
      </c>
      <c r="BO28" s="36" t="str">
        <f t="shared" si="25"/>
        <v/>
      </c>
      <c r="BP28" s="37"/>
      <c r="BQ28" s="33"/>
      <c r="BR28" s="34"/>
      <c r="BS28" s="35" t="str">
        <f t="shared" si="26"/>
        <v/>
      </c>
      <c r="BT28" s="36" t="str">
        <f t="shared" si="27"/>
        <v/>
      </c>
      <c r="BU28" s="37"/>
      <c r="BV28" s="33"/>
      <c r="BW28" s="34"/>
      <c r="BX28" s="35" t="str">
        <f t="shared" si="28"/>
        <v/>
      </c>
      <c r="BY28" s="36" t="str">
        <f t="shared" si="29"/>
        <v/>
      </c>
      <c r="BZ28" s="37"/>
      <c r="CA28" s="33"/>
      <c r="CB28" s="34"/>
      <c r="CC28" s="35" t="str">
        <f t="shared" si="30"/>
        <v/>
      </c>
      <c r="CD28" s="36" t="str">
        <f t="shared" si="31"/>
        <v/>
      </c>
      <c r="CE28" s="37"/>
      <c r="CF28" s="33"/>
      <c r="CG28" s="34"/>
      <c r="CH28" s="35" t="str">
        <f t="shared" si="32"/>
        <v/>
      </c>
      <c r="CI28" s="36" t="str">
        <f t="shared" si="33"/>
        <v/>
      </c>
      <c r="CJ28" s="37"/>
      <c r="CK28" s="33"/>
      <c r="CL28" s="34"/>
      <c r="CM28" s="35" t="str">
        <f t="shared" si="34"/>
        <v/>
      </c>
      <c r="CN28" s="36" t="str">
        <f t="shared" si="35"/>
        <v/>
      </c>
      <c r="CO28" s="37"/>
      <c r="CP28" s="33"/>
      <c r="CQ28" s="34"/>
      <c r="CR28" s="35" t="str">
        <f t="shared" si="36"/>
        <v/>
      </c>
      <c r="CS28" s="36" t="str">
        <f t="shared" si="37"/>
        <v/>
      </c>
      <c r="CT28" s="37"/>
      <c r="CU28" s="33"/>
      <c r="CV28" s="34"/>
      <c r="CW28" s="35" t="str">
        <f t="shared" si="38"/>
        <v/>
      </c>
      <c r="CX28" s="36" t="str">
        <f t="shared" si="39"/>
        <v/>
      </c>
      <c r="CY28" s="37"/>
      <c r="CZ28" s="33"/>
      <c r="DA28" s="34"/>
      <c r="DB28" s="35" t="str">
        <f t="shared" si="40"/>
        <v/>
      </c>
      <c r="DC28" s="36" t="str">
        <f t="shared" si="41"/>
        <v/>
      </c>
      <c r="DD28" s="37"/>
      <c r="DE28" s="33"/>
      <c r="DF28" s="34"/>
      <c r="DG28" s="35" t="str">
        <f t="shared" si="42"/>
        <v/>
      </c>
      <c r="DH28" s="36" t="str">
        <f t="shared" si="43"/>
        <v/>
      </c>
      <c r="DI28" s="37"/>
      <c r="DJ28" s="33"/>
      <c r="DK28" s="34"/>
      <c r="DL28" s="35" t="str">
        <f t="shared" si="44"/>
        <v/>
      </c>
      <c r="DM28" s="36" t="str">
        <f t="shared" si="45"/>
        <v/>
      </c>
      <c r="DN28" s="37"/>
      <c r="DO28" s="33"/>
      <c r="DP28" s="34"/>
      <c r="DQ28" s="35" t="str">
        <f t="shared" si="46"/>
        <v/>
      </c>
      <c r="DR28" s="36" t="str">
        <f t="shared" si="47"/>
        <v/>
      </c>
      <c r="DS28" s="37"/>
      <c r="DT28" s="33"/>
      <c r="DU28" s="34"/>
      <c r="DV28" s="35" t="str">
        <f t="shared" si="48"/>
        <v/>
      </c>
      <c r="DW28" s="36" t="str">
        <f t="shared" si="49"/>
        <v/>
      </c>
      <c r="DX28" s="37"/>
      <c r="DY28" s="33"/>
      <c r="DZ28" s="34"/>
      <c r="EA28" s="35" t="str">
        <f t="shared" si="50"/>
        <v/>
      </c>
      <c r="EB28" s="36" t="str">
        <f t="shared" si="51"/>
        <v/>
      </c>
      <c r="EC28" s="37"/>
      <c r="ED28" s="33"/>
      <c r="EE28" s="34"/>
      <c r="EF28" s="35" t="str">
        <f t="shared" si="52"/>
        <v/>
      </c>
      <c r="EG28" s="36" t="str">
        <f t="shared" si="53"/>
        <v/>
      </c>
      <c r="EH28" s="37"/>
      <c r="EI28" s="33"/>
      <c r="EJ28" s="34"/>
      <c r="EK28" s="35" t="str">
        <f t="shared" si="54"/>
        <v/>
      </c>
      <c r="EL28" s="36" t="str">
        <f t="shared" si="55"/>
        <v/>
      </c>
      <c r="EM28" s="37"/>
      <c r="EN28" s="33"/>
      <c r="EO28" s="34"/>
      <c r="EP28" s="35" t="str">
        <f t="shared" si="56"/>
        <v/>
      </c>
      <c r="EQ28" s="36" t="str">
        <f t="shared" si="57"/>
        <v/>
      </c>
      <c r="ER28" s="37"/>
      <c r="ES28" s="33"/>
      <c r="ET28" s="34"/>
      <c r="EU28" s="35" t="str">
        <f t="shared" si="58"/>
        <v/>
      </c>
      <c r="EV28" s="36" t="str">
        <f t="shared" si="59"/>
        <v/>
      </c>
      <c r="EW28" s="37"/>
    </row>
    <row r="29" spans="1:153" ht="19.5" customHeight="1">
      <c r="A29" s="32">
        <f>IF(DAY(DATE(対象年度,8,26))&lt;&gt;26,"",26)</f>
        <v>26</v>
      </c>
      <c r="B29" s="32" t="str">
        <f>IF(DAY(DATE(対象年度,8,26))&lt;&gt;26,"",CHOOSE(WEEKDAY(DATE(対象年度,8,26),2),"月","火","水","木","金","土","日"))</f>
        <v>水</v>
      </c>
      <c r="C29" s="32" t="str">
        <f>IF(DAY(DATE(対象年度,8,26))&lt;&gt;26,"",IF(ISNUMBER(MATCH(DATE(対象年度,8,26),祝日リスト,0)),"祝",""))</f>
        <v/>
      </c>
      <c r="D29" s="33"/>
      <c r="E29" s="34"/>
      <c r="F29" s="35" t="str">
        <f t="shared" si="0"/>
        <v/>
      </c>
      <c r="G29" s="36" t="str">
        <f t="shared" si="1"/>
        <v/>
      </c>
      <c r="H29" s="37"/>
      <c r="I29" s="33"/>
      <c r="J29" s="34"/>
      <c r="K29" s="35" t="str">
        <f t="shared" si="2"/>
        <v/>
      </c>
      <c r="L29" s="36" t="str">
        <f t="shared" si="3"/>
        <v/>
      </c>
      <c r="M29" s="37"/>
      <c r="N29" s="33"/>
      <c r="O29" s="34"/>
      <c r="P29" s="35" t="str">
        <f t="shared" si="4"/>
        <v/>
      </c>
      <c r="Q29" s="36" t="str">
        <f t="shared" si="5"/>
        <v/>
      </c>
      <c r="R29" s="37"/>
      <c r="S29" s="33"/>
      <c r="T29" s="34"/>
      <c r="U29" s="35" t="str">
        <f t="shared" si="6"/>
        <v/>
      </c>
      <c r="V29" s="36" t="str">
        <f t="shared" si="7"/>
        <v/>
      </c>
      <c r="W29" s="37"/>
      <c r="X29" s="33"/>
      <c r="Y29" s="34"/>
      <c r="Z29" s="35" t="str">
        <f t="shared" si="8"/>
        <v/>
      </c>
      <c r="AA29" s="36" t="str">
        <f t="shared" si="9"/>
        <v/>
      </c>
      <c r="AB29" s="37"/>
      <c r="AC29" s="33"/>
      <c r="AD29" s="34"/>
      <c r="AE29" s="35" t="str">
        <f t="shared" si="10"/>
        <v/>
      </c>
      <c r="AF29" s="36" t="str">
        <f t="shared" si="11"/>
        <v/>
      </c>
      <c r="AG29" s="37"/>
      <c r="AH29" s="33"/>
      <c r="AI29" s="34"/>
      <c r="AJ29" s="35" t="str">
        <f t="shared" si="12"/>
        <v/>
      </c>
      <c r="AK29" s="36" t="str">
        <f t="shared" si="13"/>
        <v/>
      </c>
      <c r="AL29" s="37"/>
      <c r="AM29" s="33"/>
      <c r="AN29" s="34"/>
      <c r="AO29" s="35" t="str">
        <f t="shared" si="14"/>
        <v/>
      </c>
      <c r="AP29" s="36" t="str">
        <f t="shared" si="15"/>
        <v/>
      </c>
      <c r="AQ29" s="37"/>
      <c r="AR29" s="33"/>
      <c r="AS29" s="34"/>
      <c r="AT29" s="35" t="str">
        <f t="shared" si="16"/>
        <v/>
      </c>
      <c r="AU29" s="36" t="str">
        <f t="shared" si="17"/>
        <v/>
      </c>
      <c r="AV29" s="37"/>
      <c r="AW29" s="33"/>
      <c r="AX29" s="34"/>
      <c r="AY29" s="35" t="str">
        <f t="shared" si="18"/>
        <v/>
      </c>
      <c r="AZ29" s="36" t="str">
        <f t="shared" si="19"/>
        <v/>
      </c>
      <c r="BA29" s="37"/>
      <c r="BB29" s="33"/>
      <c r="BC29" s="34"/>
      <c r="BD29" s="35" t="str">
        <f t="shared" si="20"/>
        <v/>
      </c>
      <c r="BE29" s="36" t="str">
        <f t="shared" si="21"/>
        <v/>
      </c>
      <c r="BF29" s="37"/>
      <c r="BG29" s="33"/>
      <c r="BH29" s="34"/>
      <c r="BI29" s="35" t="str">
        <f t="shared" si="22"/>
        <v/>
      </c>
      <c r="BJ29" s="36" t="str">
        <f t="shared" si="23"/>
        <v/>
      </c>
      <c r="BK29" s="37"/>
      <c r="BL29" s="33"/>
      <c r="BM29" s="34"/>
      <c r="BN29" s="35" t="str">
        <f t="shared" si="24"/>
        <v/>
      </c>
      <c r="BO29" s="36" t="str">
        <f t="shared" si="25"/>
        <v/>
      </c>
      <c r="BP29" s="37"/>
      <c r="BQ29" s="33"/>
      <c r="BR29" s="34"/>
      <c r="BS29" s="35" t="str">
        <f t="shared" si="26"/>
        <v/>
      </c>
      <c r="BT29" s="36" t="str">
        <f t="shared" si="27"/>
        <v/>
      </c>
      <c r="BU29" s="37"/>
      <c r="BV29" s="33"/>
      <c r="BW29" s="34"/>
      <c r="BX29" s="35" t="str">
        <f t="shared" si="28"/>
        <v/>
      </c>
      <c r="BY29" s="36" t="str">
        <f t="shared" si="29"/>
        <v/>
      </c>
      <c r="BZ29" s="37"/>
      <c r="CA29" s="33"/>
      <c r="CB29" s="34"/>
      <c r="CC29" s="35" t="str">
        <f t="shared" si="30"/>
        <v/>
      </c>
      <c r="CD29" s="36" t="str">
        <f t="shared" si="31"/>
        <v/>
      </c>
      <c r="CE29" s="37"/>
      <c r="CF29" s="33"/>
      <c r="CG29" s="34"/>
      <c r="CH29" s="35" t="str">
        <f t="shared" si="32"/>
        <v/>
      </c>
      <c r="CI29" s="36" t="str">
        <f t="shared" si="33"/>
        <v/>
      </c>
      <c r="CJ29" s="37"/>
      <c r="CK29" s="33"/>
      <c r="CL29" s="34"/>
      <c r="CM29" s="35" t="str">
        <f t="shared" si="34"/>
        <v/>
      </c>
      <c r="CN29" s="36" t="str">
        <f t="shared" si="35"/>
        <v/>
      </c>
      <c r="CO29" s="37"/>
      <c r="CP29" s="33"/>
      <c r="CQ29" s="34"/>
      <c r="CR29" s="35" t="str">
        <f t="shared" si="36"/>
        <v/>
      </c>
      <c r="CS29" s="36" t="str">
        <f t="shared" si="37"/>
        <v/>
      </c>
      <c r="CT29" s="37"/>
      <c r="CU29" s="33"/>
      <c r="CV29" s="34"/>
      <c r="CW29" s="35" t="str">
        <f t="shared" si="38"/>
        <v/>
      </c>
      <c r="CX29" s="36" t="str">
        <f t="shared" si="39"/>
        <v/>
      </c>
      <c r="CY29" s="37"/>
      <c r="CZ29" s="33"/>
      <c r="DA29" s="34"/>
      <c r="DB29" s="35" t="str">
        <f t="shared" si="40"/>
        <v/>
      </c>
      <c r="DC29" s="36" t="str">
        <f t="shared" si="41"/>
        <v/>
      </c>
      <c r="DD29" s="37"/>
      <c r="DE29" s="33"/>
      <c r="DF29" s="34"/>
      <c r="DG29" s="35" t="str">
        <f t="shared" si="42"/>
        <v/>
      </c>
      <c r="DH29" s="36" t="str">
        <f t="shared" si="43"/>
        <v/>
      </c>
      <c r="DI29" s="37"/>
      <c r="DJ29" s="33"/>
      <c r="DK29" s="34"/>
      <c r="DL29" s="35" t="str">
        <f t="shared" si="44"/>
        <v/>
      </c>
      <c r="DM29" s="36" t="str">
        <f t="shared" si="45"/>
        <v/>
      </c>
      <c r="DN29" s="37"/>
      <c r="DO29" s="33"/>
      <c r="DP29" s="34"/>
      <c r="DQ29" s="35" t="str">
        <f t="shared" si="46"/>
        <v/>
      </c>
      <c r="DR29" s="36" t="str">
        <f t="shared" si="47"/>
        <v/>
      </c>
      <c r="DS29" s="37"/>
      <c r="DT29" s="33"/>
      <c r="DU29" s="34"/>
      <c r="DV29" s="35" t="str">
        <f t="shared" si="48"/>
        <v/>
      </c>
      <c r="DW29" s="36" t="str">
        <f t="shared" si="49"/>
        <v/>
      </c>
      <c r="DX29" s="37"/>
      <c r="DY29" s="33"/>
      <c r="DZ29" s="34"/>
      <c r="EA29" s="35" t="str">
        <f t="shared" si="50"/>
        <v/>
      </c>
      <c r="EB29" s="36" t="str">
        <f t="shared" si="51"/>
        <v/>
      </c>
      <c r="EC29" s="37"/>
      <c r="ED29" s="33"/>
      <c r="EE29" s="34"/>
      <c r="EF29" s="35" t="str">
        <f t="shared" si="52"/>
        <v/>
      </c>
      <c r="EG29" s="36" t="str">
        <f t="shared" si="53"/>
        <v/>
      </c>
      <c r="EH29" s="37"/>
      <c r="EI29" s="33"/>
      <c r="EJ29" s="34"/>
      <c r="EK29" s="35" t="str">
        <f t="shared" si="54"/>
        <v/>
      </c>
      <c r="EL29" s="36" t="str">
        <f t="shared" si="55"/>
        <v/>
      </c>
      <c r="EM29" s="37"/>
      <c r="EN29" s="33"/>
      <c r="EO29" s="34"/>
      <c r="EP29" s="35" t="str">
        <f t="shared" si="56"/>
        <v/>
      </c>
      <c r="EQ29" s="36" t="str">
        <f t="shared" si="57"/>
        <v/>
      </c>
      <c r="ER29" s="37"/>
      <c r="ES29" s="33"/>
      <c r="ET29" s="34"/>
      <c r="EU29" s="35" t="str">
        <f t="shared" si="58"/>
        <v/>
      </c>
      <c r="EV29" s="36" t="str">
        <f t="shared" si="59"/>
        <v/>
      </c>
      <c r="EW29" s="37"/>
    </row>
    <row r="30" spans="1:153" ht="19.5" customHeight="1">
      <c r="A30" s="32">
        <f>IF(DAY(DATE(対象年度,8,27))&lt;&gt;27,"",27)</f>
        <v>27</v>
      </c>
      <c r="B30" s="32" t="str">
        <f>IF(DAY(DATE(対象年度,8,27))&lt;&gt;27,"",CHOOSE(WEEKDAY(DATE(対象年度,8,27),2),"月","火","水","木","金","土","日"))</f>
        <v>木</v>
      </c>
      <c r="C30" s="32" t="str">
        <f>IF(DAY(DATE(対象年度,8,27))&lt;&gt;27,"",IF(ISNUMBER(MATCH(DATE(対象年度,8,27),祝日リスト,0)),"祝",""))</f>
        <v/>
      </c>
      <c r="D30" s="33"/>
      <c r="E30" s="34"/>
      <c r="F30" s="35" t="str">
        <f t="shared" si="0"/>
        <v/>
      </c>
      <c r="G30" s="36" t="str">
        <f t="shared" si="1"/>
        <v/>
      </c>
      <c r="H30" s="37"/>
      <c r="I30" s="33"/>
      <c r="J30" s="34"/>
      <c r="K30" s="35" t="str">
        <f t="shared" si="2"/>
        <v/>
      </c>
      <c r="L30" s="36" t="str">
        <f t="shared" si="3"/>
        <v/>
      </c>
      <c r="M30" s="37"/>
      <c r="N30" s="33"/>
      <c r="O30" s="34"/>
      <c r="P30" s="35" t="str">
        <f t="shared" si="4"/>
        <v/>
      </c>
      <c r="Q30" s="36" t="str">
        <f t="shared" si="5"/>
        <v/>
      </c>
      <c r="R30" s="37"/>
      <c r="S30" s="33"/>
      <c r="T30" s="34"/>
      <c r="U30" s="35" t="str">
        <f t="shared" si="6"/>
        <v/>
      </c>
      <c r="V30" s="36" t="str">
        <f t="shared" si="7"/>
        <v/>
      </c>
      <c r="W30" s="37"/>
      <c r="X30" s="33"/>
      <c r="Y30" s="34"/>
      <c r="Z30" s="35" t="str">
        <f t="shared" si="8"/>
        <v/>
      </c>
      <c r="AA30" s="36" t="str">
        <f t="shared" si="9"/>
        <v/>
      </c>
      <c r="AB30" s="37"/>
      <c r="AC30" s="33"/>
      <c r="AD30" s="34"/>
      <c r="AE30" s="35" t="str">
        <f t="shared" si="10"/>
        <v/>
      </c>
      <c r="AF30" s="36" t="str">
        <f t="shared" si="11"/>
        <v/>
      </c>
      <c r="AG30" s="37"/>
      <c r="AH30" s="33"/>
      <c r="AI30" s="34"/>
      <c r="AJ30" s="35" t="str">
        <f t="shared" si="12"/>
        <v/>
      </c>
      <c r="AK30" s="36" t="str">
        <f t="shared" si="13"/>
        <v/>
      </c>
      <c r="AL30" s="37"/>
      <c r="AM30" s="33"/>
      <c r="AN30" s="34"/>
      <c r="AO30" s="35" t="str">
        <f t="shared" si="14"/>
        <v/>
      </c>
      <c r="AP30" s="36" t="str">
        <f t="shared" si="15"/>
        <v/>
      </c>
      <c r="AQ30" s="37"/>
      <c r="AR30" s="33"/>
      <c r="AS30" s="34"/>
      <c r="AT30" s="35" t="str">
        <f t="shared" si="16"/>
        <v/>
      </c>
      <c r="AU30" s="36" t="str">
        <f t="shared" si="17"/>
        <v/>
      </c>
      <c r="AV30" s="37"/>
      <c r="AW30" s="33"/>
      <c r="AX30" s="34"/>
      <c r="AY30" s="35" t="str">
        <f t="shared" si="18"/>
        <v/>
      </c>
      <c r="AZ30" s="36" t="str">
        <f t="shared" si="19"/>
        <v/>
      </c>
      <c r="BA30" s="37"/>
      <c r="BB30" s="33"/>
      <c r="BC30" s="34"/>
      <c r="BD30" s="35" t="str">
        <f t="shared" si="20"/>
        <v/>
      </c>
      <c r="BE30" s="36" t="str">
        <f t="shared" si="21"/>
        <v/>
      </c>
      <c r="BF30" s="37"/>
      <c r="BG30" s="33"/>
      <c r="BH30" s="34"/>
      <c r="BI30" s="35" t="str">
        <f t="shared" si="22"/>
        <v/>
      </c>
      <c r="BJ30" s="36" t="str">
        <f t="shared" si="23"/>
        <v/>
      </c>
      <c r="BK30" s="37"/>
      <c r="BL30" s="33"/>
      <c r="BM30" s="34"/>
      <c r="BN30" s="35" t="str">
        <f t="shared" si="24"/>
        <v/>
      </c>
      <c r="BO30" s="36" t="str">
        <f t="shared" si="25"/>
        <v/>
      </c>
      <c r="BP30" s="37"/>
      <c r="BQ30" s="33"/>
      <c r="BR30" s="34"/>
      <c r="BS30" s="35" t="str">
        <f t="shared" si="26"/>
        <v/>
      </c>
      <c r="BT30" s="36" t="str">
        <f t="shared" si="27"/>
        <v/>
      </c>
      <c r="BU30" s="37"/>
      <c r="BV30" s="33"/>
      <c r="BW30" s="34"/>
      <c r="BX30" s="35" t="str">
        <f t="shared" si="28"/>
        <v/>
      </c>
      <c r="BY30" s="36" t="str">
        <f t="shared" si="29"/>
        <v/>
      </c>
      <c r="BZ30" s="37"/>
      <c r="CA30" s="33"/>
      <c r="CB30" s="34"/>
      <c r="CC30" s="35" t="str">
        <f t="shared" si="30"/>
        <v/>
      </c>
      <c r="CD30" s="36" t="str">
        <f t="shared" si="31"/>
        <v/>
      </c>
      <c r="CE30" s="37"/>
      <c r="CF30" s="33"/>
      <c r="CG30" s="34"/>
      <c r="CH30" s="35" t="str">
        <f t="shared" si="32"/>
        <v/>
      </c>
      <c r="CI30" s="36" t="str">
        <f t="shared" si="33"/>
        <v/>
      </c>
      <c r="CJ30" s="37"/>
      <c r="CK30" s="33"/>
      <c r="CL30" s="34"/>
      <c r="CM30" s="35" t="str">
        <f t="shared" si="34"/>
        <v/>
      </c>
      <c r="CN30" s="36" t="str">
        <f t="shared" si="35"/>
        <v/>
      </c>
      <c r="CO30" s="37"/>
      <c r="CP30" s="33"/>
      <c r="CQ30" s="34"/>
      <c r="CR30" s="35" t="str">
        <f t="shared" si="36"/>
        <v/>
      </c>
      <c r="CS30" s="36" t="str">
        <f t="shared" si="37"/>
        <v/>
      </c>
      <c r="CT30" s="37"/>
      <c r="CU30" s="33"/>
      <c r="CV30" s="34"/>
      <c r="CW30" s="35" t="str">
        <f t="shared" si="38"/>
        <v/>
      </c>
      <c r="CX30" s="36" t="str">
        <f t="shared" si="39"/>
        <v/>
      </c>
      <c r="CY30" s="37"/>
      <c r="CZ30" s="33"/>
      <c r="DA30" s="34"/>
      <c r="DB30" s="35" t="str">
        <f t="shared" si="40"/>
        <v/>
      </c>
      <c r="DC30" s="36" t="str">
        <f t="shared" si="41"/>
        <v/>
      </c>
      <c r="DD30" s="37"/>
      <c r="DE30" s="33"/>
      <c r="DF30" s="34"/>
      <c r="DG30" s="35" t="str">
        <f t="shared" si="42"/>
        <v/>
      </c>
      <c r="DH30" s="36" t="str">
        <f t="shared" si="43"/>
        <v/>
      </c>
      <c r="DI30" s="37"/>
      <c r="DJ30" s="33"/>
      <c r="DK30" s="34"/>
      <c r="DL30" s="35" t="str">
        <f t="shared" si="44"/>
        <v/>
      </c>
      <c r="DM30" s="36" t="str">
        <f t="shared" si="45"/>
        <v/>
      </c>
      <c r="DN30" s="37"/>
      <c r="DO30" s="33"/>
      <c r="DP30" s="34"/>
      <c r="DQ30" s="35" t="str">
        <f t="shared" si="46"/>
        <v/>
      </c>
      <c r="DR30" s="36" t="str">
        <f t="shared" si="47"/>
        <v/>
      </c>
      <c r="DS30" s="37"/>
      <c r="DT30" s="33"/>
      <c r="DU30" s="34"/>
      <c r="DV30" s="35" t="str">
        <f t="shared" si="48"/>
        <v/>
      </c>
      <c r="DW30" s="36" t="str">
        <f t="shared" si="49"/>
        <v/>
      </c>
      <c r="DX30" s="37"/>
      <c r="DY30" s="33"/>
      <c r="DZ30" s="34"/>
      <c r="EA30" s="35" t="str">
        <f t="shared" si="50"/>
        <v/>
      </c>
      <c r="EB30" s="36" t="str">
        <f t="shared" si="51"/>
        <v/>
      </c>
      <c r="EC30" s="37"/>
      <c r="ED30" s="33"/>
      <c r="EE30" s="34"/>
      <c r="EF30" s="35" t="str">
        <f t="shared" si="52"/>
        <v/>
      </c>
      <c r="EG30" s="36" t="str">
        <f t="shared" si="53"/>
        <v/>
      </c>
      <c r="EH30" s="37"/>
      <c r="EI30" s="33"/>
      <c r="EJ30" s="34"/>
      <c r="EK30" s="35" t="str">
        <f t="shared" si="54"/>
        <v/>
      </c>
      <c r="EL30" s="36" t="str">
        <f t="shared" si="55"/>
        <v/>
      </c>
      <c r="EM30" s="37"/>
      <c r="EN30" s="33"/>
      <c r="EO30" s="34"/>
      <c r="EP30" s="35" t="str">
        <f t="shared" si="56"/>
        <v/>
      </c>
      <c r="EQ30" s="36" t="str">
        <f t="shared" si="57"/>
        <v/>
      </c>
      <c r="ER30" s="37"/>
      <c r="ES30" s="33"/>
      <c r="ET30" s="34"/>
      <c r="EU30" s="35" t="str">
        <f t="shared" si="58"/>
        <v/>
      </c>
      <c r="EV30" s="36" t="str">
        <f t="shared" si="59"/>
        <v/>
      </c>
      <c r="EW30" s="37"/>
    </row>
    <row r="31" spans="1:153" ht="19.5" customHeight="1">
      <c r="A31" s="32">
        <f>IF(DAY(DATE(対象年度,8,28))&lt;&gt;28,"",28)</f>
        <v>28</v>
      </c>
      <c r="B31" s="32" t="str">
        <f>IF(DAY(DATE(対象年度,8,28))&lt;&gt;28,"",CHOOSE(WEEKDAY(DATE(対象年度,8,28),2),"月","火","水","木","金","土","日"))</f>
        <v>金</v>
      </c>
      <c r="C31" s="32" t="str">
        <f>IF(DAY(DATE(対象年度,8,28))&lt;&gt;28,"",IF(ISNUMBER(MATCH(DATE(対象年度,8,28),祝日リスト,0)),"祝",""))</f>
        <v/>
      </c>
      <c r="D31" s="33"/>
      <c r="E31" s="34"/>
      <c r="F31" s="35" t="str">
        <f t="shared" si="0"/>
        <v/>
      </c>
      <c r="G31" s="36" t="str">
        <f t="shared" si="1"/>
        <v/>
      </c>
      <c r="H31" s="37"/>
      <c r="I31" s="33"/>
      <c r="J31" s="34"/>
      <c r="K31" s="35" t="str">
        <f t="shared" si="2"/>
        <v/>
      </c>
      <c r="L31" s="36" t="str">
        <f t="shared" si="3"/>
        <v/>
      </c>
      <c r="M31" s="37"/>
      <c r="N31" s="33"/>
      <c r="O31" s="34"/>
      <c r="P31" s="35" t="str">
        <f t="shared" si="4"/>
        <v/>
      </c>
      <c r="Q31" s="36" t="str">
        <f t="shared" si="5"/>
        <v/>
      </c>
      <c r="R31" s="37"/>
      <c r="S31" s="33"/>
      <c r="T31" s="34"/>
      <c r="U31" s="35" t="str">
        <f t="shared" si="6"/>
        <v/>
      </c>
      <c r="V31" s="36" t="str">
        <f t="shared" si="7"/>
        <v/>
      </c>
      <c r="W31" s="37"/>
      <c r="X31" s="33"/>
      <c r="Y31" s="34"/>
      <c r="Z31" s="35" t="str">
        <f t="shared" si="8"/>
        <v/>
      </c>
      <c r="AA31" s="36" t="str">
        <f t="shared" si="9"/>
        <v/>
      </c>
      <c r="AB31" s="37"/>
      <c r="AC31" s="33"/>
      <c r="AD31" s="34"/>
      <c r="AE31" s="35" t="str">
        <f t="shared" si="10"/>
        <v/>
      </c>
      <c r="AF31" s="36" t="str">
        <f t="shared" si="11"/>
        <v/>
      </c>
      <c r="AG31" s="37"/>
      <c r="AH31" s="33"/>
      <c r="AI31" s="34"/>
      <c r="AJ31" s="35" t="str">
        <f t="shared" si="12"/>
        <v/>
      </c>
      <c r="AK31" s="36" t="str">
        <f t="shared" si="13"/>
        <v/>
      </c>
      <c r="AL31" s="37"/>
      <c r="AM31" s="33"/>
      <c r="AN31" s="34"/>
      <c r="AO31" s="35" t="str">
        <f t="shared" si="14"/>
        <v/>
      </c>
      <c r="AP31" s="36" t="str">
        <f t="shared" si="15"/>
        <v/>
      </c>
      <c r="AQ31" s="37"/>
      <c r="AR31" s="33"/>
      <c r="AS31" s="34"/>
      <c r="AT31" s="35" t="str">
        <f t="shared" si="16"/>
        <v/>
      </c>
      <c r="AU31" s="36" t="str">
        <f t="shared" si="17"/>
        <v/>
      </c>
      <c r="AV31" s="37"/>
      <c r="AW31" s="33"/>
      <c r="AX31" s="34"/>
      <c r="AY31" s="35" t="str">
        <f t="shared" si="18"/>
        <v/>
      </c>
      <c r="AZ31" s="36" t="str">
        <f t="shared" si="19"/>
        <v/>
      </c>
      <c r="BA31" s="37"/>
      <c r="BB31" s="33"/>
      <c r="BC31" s="34"/>
      <c r="BD31" s="35" t="str">
        <f t="shared" si="20"/>
        <v/>
      </c>
      <c r="BE31" s="36" t="str">
        <f t="shared" si="21"/>
        <v/>
      </c>
      <c r="BF31" s="37"/>
      <c r="BG31" s="33"/>
      <c r="BH31" s="34"/>
      <c r="BI31" s="35" t="str">
        <f t="shared" si="22"/>
        <v/>
      </c>
      <c r="BJ31" s="36" t="str">
        <f t="shared" si="23"/>
        <v/>
      </c>
      <c r="BK31" s="37"/>
      <c r="BL31" s="33"/>
      <c r="BM31" s="34"/>
      <c r="BN31" s="35" t="str">
        <f t="shared" si="24"/>
        <v/>
      </c>
      <c r="BO31" s="36" t="str">
        <f t="shared" si="25"/>
        <v/>
      </c>
      <c r="BP31" s="37"/>
      <c r="BQ31" s="33"/>
      <c r="BR31" s="34"/>
      <c r="BS31" s="35" t="str">
        <f t="shared" si="26"/>
        <v/>
      </c>
      <c r="BT31" s="36" t="str">
        <f t="shared" si="27"/>
        <v/>
      </c>
      <c r="BU31" s="37"/>
      <c r="BV31" s="33"/>
      <c r="BW31" s="34"/>
      <c r="BX31" s="35" t="str">
        <f t="shared" si="28"/>
        <v/>
      </c>
      <c r="BY31" s="36" t="str">
        <f t="shared" si="29"/>
        <v/>
      </c>
      <c r="BZ31" s="37"/>
      <c r="CA31" s="33"/>
      <c r="CB31" s="34"/>
      <c r="CC31" s="35" t="str">
        <f t="shared" si="30"/>
        <v/>
      </c>
      <c r="CD31" s="36" t="str">
        <f t="shared" si="31"/>
        <v/>
      </c>
      <c r="CE31" s="37"/>
      <c r="CF31" s="33"/>
      <c r="CG31" s="34"/>
      <c r="CH31" s="35" t="str">
        <f t="shared" si="32"/>
        <v/>
      </c>
      <c r="CI31" s="36" t="str">
        <f t="shared" si="33"/>
        <v/>
      </c>
      <c r="CJ31" s="37"/>
      <c r="CK31" s="33"/>
      <c r="CL31" s="34"/>
      <c r="CM31" s="35" t="str">
        <f t="shared" si="34"/>
        <v/>
      </c>
      <c r="CN31" s="36" t="str">
        <f t="shared" si="35"/>
        <v/>
      </c>
      <c r="CO31" s="37"/>
      <c r="CP31" s="33"/>
      <c r="CQ31" s="34"/>
      <c r="CR31" s="35" t="str">
        <f t="shared" si="36"/>
        <v/>
      </c>
      <c r="CS31" s="36" t="str">
        <f t="shared" si="37"/>
        <v/>
      </c>
      <c r="CT31" s="37"/>
      <c r="CU31" s="33"/>
      <c r="CV31" s="34"/>
      <c r="CW31" s="35" t="str">
        <f t="shared" si="38"/>
        <v/>
      </c>
      <c r="CX31" s="36" t="str">
        <f t="shared" si="39"/>
        <v/>
      </c>
      <c r="CY31" s="37"/>
      <c r="CZ31" s="33"/>
      <c r="DA31" s="34"/>
      <c r="DB31" s="35" t="str">
        <f t="shared" si="40"/>
        <v/>
      </c>
      <c r="DC31" s="36" t="str">
        <f t="shared" si="41"/>
        <v/>
      </c>
      <c r="DD31" s="37"/>
      <c r="DE31" s="33"/>
      <c r="DF31" s="34"/>
      <c r="DG31" s="35" t="str">
        <f t="shared" si="42"/>
        <v/>
      </c>
      <c r="DH31" s="36" t="str">
        <f t="shared" si="43"/>
        <v/>
      </c>
      <c r="DI31" s="37"/>
      <c r="DJ31" s="33"/>
      <c r="DK31" s="34"/>
      <c r="DL31" s="35" t="str">
        <f t="shared" si="44"/>
        <v/>
      </c>
      <c r="DM31" s="36" t="str">
        <f t="shared" si="45"/>
        <v/>
      </c>
      <c r="DN31" s="37"/>
      <c r="DO31" s="33"/>
      <c r="DP31" s="34"/>
      <c r="DQ31" s="35" t="str">
        <f t="shared" si="46"/>
        <v/>
      </c>
      <c r="DR31" s="36" t="str">
        <f t="shared" si="47"/>
        <v/>
      </c>
      <c r="DS31" s="37"/>
      <c r="DT31" s="33"/>
      <c r="DU31" s="34"/>
      <c r="DV31" s="35" t="str">
        <f t="shared" si="48"/>
        <v/>
      </c>
      <c r="DW31" s="36" t="str">
        <f t="shared" si="49"/>
        <v/>
      </c>
      <c r="DX31" s="37"/>
      <c r="DY31" s="33"/>
      <c r="DZ31" s="34"/>
      <c r="EA31" s="35" t="str">
        <f t="shared" si="50"/>
        <v/>
      </c>
      <c r="EB31" s="36" t="str">
        <f t="shared" si="51"/>
        <v/>
      </c>
      <c r="EC31" s="37"/>
      <c r="ED31" s="33"/>
      <c r="EE31" s="34"/>
      <c r="EF31" s="35" t="str">
        <f t="shared" si="52"/>
        <v/>
      </c>
      <c r="EG31" s="36" t="str">
        <f t="shared" si="53"/>
        <v/>
      </c>
      <c r="EH31" s="37"/>
      <c r="EI31" s="33"/>
      <c r="EJ31" s="34"/>
      <c r="EK31" s="35" t="str">
        <f t="shared" si="54"/>
        <v/>
      </c>
      <c r="EL31" s="36" t="str">
        <f t="shared" si="55"/>
        <v/>
      </c>
      <c r="EM31" s="37"/>
      <c r="EN31" s="33"/>
      <c r="EO31" s="34"/>
      <c r="EP31" s="35" t="str">
        <f t="shared" si="56"/>
        <v/>
      </c>
      <c r="EQ31" s="36" t="str">
        <f t="shared" si="57"/>
        <v/>
      </c>
      <c r="ER31" s="37"/>
      <c r="ES31" s="33"/>
      <c r="ET31" s="34"/>
      <c r="EU31" s="35" t="str">
        <f t="shared" si="58"/>
        <v/>
      </c>
      <c r="EV31" s="36" t="str">
        <f t="shared" si="59"/>
        <v/>
      </c>
      <c r="EW31" s="37"/>
    </row>
    <row r="32" spans="1:153" ht="19.5" customHeight="1">
      <c r="A32" s="32">
        <f>IF(DAY(DATE(対象年度,8,29))&lt;&gt;29,"",29)</f>
        <v>29</v>
      </c>
      <c r="B32" s="32" t="str">
        <f>IF(DAY(DATE(対象年度,8,29))&lt;&gt;29,"",CHOOSE(WEEKDAY(DATE(対象年度,8,29),2),"月","火","水","木","金","土","日"))</f>
        <v>土</v>
      </c>
      <c r="C32" s="32" t="str">
        <f>IF(DAY(DATE(対象年度,8,29))&lt;&gt;29,"",IF(ISNUMBER(MATCH(DATE(対象年度,8,29),祝日リスト,0)),"祝",""))</f>
        <v/>
      </c>
      <c r="D32" s="33"/>
      <c r="E32" s="34"/>
      <c r="F32" s="35" t="str">
        <f t="shared" si="0"/>
        <v/>
      </c>
      <c r="G32" s="36" t="str">
        <f t="shared" si="1"/>
        <v/>
      </c>
      <c r="H32" s="37"/>
      <c r="I32" s="33"/>
      <c r="J32" s="34"/>
      <c r="K32" s="35" t="str">
        <f t="shared" si="2"/>
        <v/>
      </c>
      <c r="L32" s="36" t="str">
        <f t="shared" si="3"/>
        <v/>
      </c>
      <c r="M32" s="37"/>
      <c r="N32" s="33"/>
      <c r="O32" s="34"/>
      <c r="P32" s="35" t="str">
        <f t="shared" si="4"/>
        <v/>
      </c>
      <c r="Q32" s="36" t="str">
        <f t="shared" si="5"/>
        <v/>
      </c>
      <c r="R32" s="37"/>
      <c r="S32" s="33"/>
      <c r="T32" s="34"/>
      <c r="U32" s="35" t="str">
        <f t="shared" si="6"/>
        <v/>
      </c>
      <c r="V32" s="36" t="str">
        <f t="shared" si="7"/>
        <v/>
      </c>
      <c r="W32" s="37"/>
      <c r="X32" s="33"/>
      <c r="Y32" s="34"/>
      <c r="Z32" s="35" t="str">
        <f t="shared" si="8"/>
        <v/>
      </c>
      <c r="AA32" s="36" t="str">
        <f t="shared" si="9"/>
        <v/>
      </c>
      <c r="AB32" s="37"/>
      <c r="AC32" s="33"/>
      <c r="AD32" s="34"/>
      <c r="AE32" s="35" t="str">
        <f t="shared" si="10"/>
        <v/>
      </c>
      <c r="AF32" s="36" t="str">
        <f t="shared" si="11"/>
        <v/>
      </c>
      <c r="AG32" s="37"/>
      <c r="AH32" s="33"/>
      <c r="AI32" s="34"/>
      <c r="AJ32" s="35" t="str">
        <f t="shared" si="12"/>
        <v/>
      </c>
      <c r="AK32" s="36" t="str">
        <f t="shared" si="13"/>
        <v/>
      </c>
      <c r="AL32" s="37"/>
      <c r="AM32" s="33"/>
      <c r="AN32" s="34"/>
      <c r="AO32" s="35" t="str">
        <f t="shared" si="14"/>
        <v/>
      </c>
      <c r="AP32" s="36" t="str">
        <f t="shared" si="15"/>
        <v/>
      </c>
      <c r="AQ32" s="37"/>
      <c r="AR32" s="33"/>
      <c r="AS32" s="34"/>
      <c r="AT32" s="35" t="str">
        <f t="shared" si="16"/>
        <v/>
      </c>
      <c r="AU32" s="36" t="str">
        <f t="shared" si="17"/>
        <v/>
      </c>
      <c r="AV32" s="37"/>
      <c r="AW32" s="33"/>
      <c r="AX32" s="34"/>
      <c r="AY32" s="35" t="str">
        <f t="shared" si="18"/>
        <v/>
      </c>
      <c r="AZ32" s="36" t="str">
        <f t="shared" si="19"/>
        <v/>
      </c>
      <c r="BA32" s="37"/>
      <c r="BB32" s="33"/>
      <c r="BC32" s="34"/>
      <c r="BD32" s="35" t="str">
        <f t="shared" si="20"/>
        <v/>
      </c>
      <c r="BE32" s="36" t="str">
        <f t="shared" si="21"/>
        <v/>
      </c>
      <c r="BF32" s="37"/>
      <c r="BG32" s="33"/>
      <c r="BH32" s="34"/>
      <c r="BI32" s="35" t="str">
        <f t="shared" si="22"/>
        <v/>
      </c>
      <c r="BJ32" s="36" t="str">
        <f t="shared" si="23"/>
        <v/>
      </c>
      <c r="BK32" s="37"/>
      <c r="BL32" s="33"/>
      <c r="BM32" s="34"/>
      <c r="BN32" s="35" t="str">
        <f t="shared" si="24"/>
        <v/>
      </c>
      <c r="BO32" s="36" t="str">
        <f t="shared" si="25"/>
        <v/>
      </c>
      <c r="BP32" s="37"/>
      <c r="BQ32" s="33"/>
      <c r="BR32" s="34"/>
      <c r="BS32" s="35" t="str">
        <f t="shared" si="26"/>
        <v/>
      </c>
      <c r="BT32" s="36" t="str">
        <f t="shared" si="27"/>
        <v/>
      </c>
      <c r="BU32" s="37"/>
      <c r="BV32" s="33"/>
      <c r="BW32" s="34"/>
      <c r="BX32" s="35" t="str">
        <f t="shared" si="28"/>
        <v/>
      </c>
      <c r="BY32" s="36" t="str">
        <f t="shared" si="29"/>
        <v/>
      </c>
      <c r="BZ32" s="37"/>
      <c r="CA32" s="33"/>
      <c r="CB32" s="34"/>
      <c r="CC32" s="35" t="str">
        <f t="shared" si="30"/>
        <v/>
      </c>
      <c r="CD32" s="36" t="str">
        <f t="shared" si="31"/>
        <v/>
      </c>
      <c r="CE32" s="37"/>
      <c r="CF32" s="33"/>
      <c r="CG32" s="34"/>
      <c r="CH32" s="35" t="str">
        <f t="shared" si="32"/>
        <v/>
      </c>
      <c r="CI32" s="36" t="str">
        <f t="shared" si="33"/>
        <v/>
      </c>
      <c r="CJ32" s="37"/>
      <c r="CK32" s="33"/>
      <c r="CL32" s="34"/>
      <c r="CM32" s="35" t="str">
        <f t="shared" si="34"/>
        <v/>
      </c>
      <c r="CN32" s="36" t="str">
        <f t="shared" si="35"/>
        <v/>
      </c>
      <c r="CO32" s="37"/>
      <c r="CP32" s="33"/>
      <c r="CQ32" s="34"/>
      <c r="CR32" s="35" t="str">
        <f t="shared" si="36"/>
        <v/>
      </c>
      <c r="CS32" s="36" t="str">
        <f t="shared" si="37"/>
        <v/>
      </c>
      <c r="CT32" s="37"/>
      <c r="CU32" s="33"/>
      <c r="CV32" s="34"/>
      <c r="CW32" s="35" t="str">
        <f t="shared" si="38"/>
        <v/>
      </c>
      <c r="CX32" s="36" t="str">
        <f t="shared" si="39"/>
        <v/>
      </c>
      <c r="CY32" s="37"/>
      <c r="CZ32" s="33"/>
      <c r="DA32" s="34"/>
      <c r="DB32" s="35" t="str">
        <f t="shared" si="40"/>
        <v/>
      </c>
      <c r="DC32" s="36" t="str">
        <f t="shared" si="41"/>
        <v/>
      </c>
      <c r="DD32" s="37"/>
      <c r="DE32" s="33"/>
      <c r="DF32" s="34"/>
      <c r="DG32" s="35" t="str">
        <f t="shared" si="42"/>
        <v/>
      </c>
      <c r="DH32" s="36" t="str">
        <f t="shared" si="43"/>
        <v/>
      </c>
      <c r="DI32" s="37"/>
      <c r="DJ32" s="33"/>
      <c r="DK32" s="34"/>
      <c r="DL32" s="35" t="str">
        <f t="shared" si="44"/>
        <v/>
      </c>
      <c r="DM32" s="36" t="str">
        <f t="shared" si="45"/>
        <v/>
      </c>
      <c r="DN32" s="37"/>
      <c r="DO32" s="33"/>
      <c r="DP32" s="34"/>
      <c r="DQ32" s="35" t="str">
        <f t="shared" si="46"/>
        <v/>
      </c>
      <c r="DR32" s="36" t="str">
        <f t="shared" si="47"/>
        <v/>
      </c>
      <c r="DS32" s="37"/>
      <c r="DT32" s="33"/>
      <c r="DU32" s="34"/>
      <c r="DV32" s="35" t="str">
        <f t="shared" si="48"/>
        <v/>
      </c>
      <c r="DW32" s="36" t="str">
        <f t="shared" si="49"/>
        <v/>
      </c>
      <c r="DX32" s="37"/>
      <c r="DY32" s="33"/>
      <c r="DZ32" s="34"/>
      <c r="EA32" s="35" t="str">
        <f t="shared" si="50"/>
        <v/>
      </c>
      <c r="EB32" s="36" t="str">
        <f t="shared" si="51"/>
        <v/>
      </c>
      <c r="EC32" s="37"/>
      <c r="ED32" s="33"/>
      <c r="EE32" s="34"/>
      <c r="EF32" s="35" t="str">
        <f t="shared" si="52"/>
        <v/>
      </c>
      <c r="EG32" s="36" t="str">
        <f t="shared" si="53"/>
        <v/>
      </c>
      <c r="EH32" s="37"/>
      <c r="EI32" s="33"/>
      <c r="EJ32" s="34"/>
      <c r="EK32" s="35" t="str">
        <f t="shared" si="54"/>
        <v/>
      </c>
      <c r="EL32" s="36" t="str">
        <f t="shared" si="55"/>
        <v/>
      </c>
      <c r="EM32" s="37"/>
      <c r="EN32" s="33"/>
      <c r="EO32" s="34"/>
      <c r="EP32" s="35" t="str">
        <f t="shared" si="56"/>
        <v/>
      </c>
      <c r="EQ32" s="36" t="str">
        <f t="shared" si="57"/>
        <v/>
      </c>
      <c r="ER32" s="37"/>
      <c r="ES32" s="33"/>
      <c r="ET32" s="34"/>
      <c r="EU32" s="35" t="str">
        <f t="shared" si="58"/>
        <v/>
      </c>
      <c r="EV32" s="36" t="str">
        <f t="shared" si="59"/>
        <v/>
      </c>
      <c r="EW32" s="37"/>
    </row>
    <row r="33" spans="1:153" ht="19.5" customHeight="1">
      <c r="A33" s="32">
        <f>IF(DAY(DATE(対象年度,8,30))&lt;&gt;30,"",30)</f>
        <v>30</v>
      </c>
      <c r="B33" s="32" t="str">
        <f>IF(DAY(DATE(対象年度,8,30))&lt;&gt;30,"",CHOOSE(WEEKDAY(DATE(対象年度,8,30),2),"月","火","水","木","金","土","日"))</f>
        <v>日</v>
      </c>
      <c r="C33" s="32" t="str">
        <f>IF(DAY(DATE(対象年度,8,30))&lt;&gt;30,"",IF(ISNUMBER(MATCH(DATE(対象年度,8,30),祝日リスト,0)),"祝",""))</f>
        <v/>
      </c>
      <c r="D33" s="33"/>
      <c r="E33" s="34"/>
      <c r="F33" s="35" t="str">
        <f t="shared" si="0"/>
        <v/>
      </c>
      <c r="G33" s="36" t="str">
        <f t="shared" si="1"/>
        <v/>
      </c>
      <c r="H33" s="37"/>
      <c r="I33" s="33"/>
      <c r="J33" s="34"/>
      <c r="K33" s="35" t="str">
        <f t="shared" si="2"/>
        <v/>
      </c>
      <c r="L33" s="36" t="str">
        <f t="shared" si="3"/>
        <v/>
      </c>
      <c r="M33" s="37"/>
      <c r="N33" s="33"/>
      <c r="O33" s="34"/>
      <c r="P33" s="35" t="str">
        <f t="shared" si="4"/>
        <v/>
      </c>
      <c r="Q33" s="36" t="str">
        <f t="shared" si="5"/>
        <v/>
      </c>
      <c r="R33" s="37"/>
      <c r="S33" s="33"/>
      <c r="T33" s="34"/>
      <c r="U33" s="35" t="str">
        <f t="shared" si="6"/>
        <v/>
      </c>
      <c r="V33" s="36" t="str">
        <f t="shared" si="7"/>
        <v/>
      </c>
      <c r="W33" s="37"/>
      <c r="X33" s="33"/>
      <c r="Y33" s="34"/>
      <c r="Z33" s="35" t="str">
        <f t="shared" si="8"/>
        <v/>
      </c>
      <c r="AA33" s="36" t="str">
        <f t="shared" si="9"/>
        <v/>
      </c>
      <c r="AB33" s="37"/>
      <c r="AC33" s="33"/>
      <c r="AD33" s="34"/>
      <c r="AE33" s="35" t="str">
        <f t="shared" si="10"/>
        <v/>
      </c>
      <c r="AF33" s="36" t="str">
        <f t="shared" si="11"/>
        <v/>
      </c>
      <c r="AG33" s="37"/>
      <c r="AH33" s="33"/>
      <c r="AI33" s="34"/>
      <c r="AJ33" s="35" t="str">
        <f t="shared" si="12"/>
        <v/>
      </c>
      <c r="AK33" s="36" t="str">
        <f t="shared" si="13"/>
        <v/>
      </c>
      <c r="AL33" s="37"/>
      <c r="AM33" s="33"/>
      <c r="AN33" s="34"/>
      <c r="AO33" s="35" t="str">
        <f t="shared" si="14"/>
        <v/>
      </c>
      <c r="AP33" s="36" t="str">
        <f t="shared" si="15"/>
        <v/>
      </c>
      <c r="AQ33" s="37"/>
      <c r="AR33" s="33"/>
      <c r="AS33" s="34"/>
      <c r="AT33" s="35" t="str">
        <f t="shared" si="16"/>
        <v/>
      </c>
      <c r="AU33" s="36" t="str">
        <f t="shared" si="17"/>
        <v/>
      </c>
      <c r="AV33" s="37"/>
      <c r="AW33" s="33"/>
      <c r="AX33" s="34"/>
      <c r="AY33" s="35" t="str">
        <f t="shared" si="18"/>
        <v/>
      </c>
      <c r="AZ33" s="36" t="str">
        <f t="shared" si="19"/>
        <v/>
      </c>
      <c r="BA33" s="37"/>
      <c r="BB33" s="33"/>
      <c r="BC33" s="34"/>
      <c r="BD33" s="35" t="str">
        <f t="shared" si="20"/>
        <v/>
      </c>
      <c r="BE33" s="36" t="str">
        <f t="shared" si="21"/>
        <v/>
      </c>
      <c r="BF33" s="37"/>
      <c r="BG33" s="33"/>
      <c r="BH33" s="34"/>
      <c r="BI33" s="35" t="str">
        <f t="shared" si="22"/>
        <v/>
      </c>
      <c r="BJ33" s="36" t="str">
        <f t="shared" si="23"/>
        <v/>
      </c>
      <c r="BK33" s="37"/>
      <c r="BL33" s="33"/>
      <c r="BM33" s="34"/>
      <c r="BN33" s="35" t="str">
        <f t="shared" si="24"/>
        <v/>
      </c>
      <c r="BO33" s="36" t="str">
        <f t="shared" si="25"/>
        <v/>
      </c>
      <c r="BP33" s="37"/>
      <c r="BQ33" s="33"/>
      <c r="BR33" s="34"/>
      <c r="BS33" s="35" t="str">
        <f t="shared" si="26"/>
        <v/>
      </c>
      <c r="BT33" s="36" t="str">
        <f t="shared" si="27"/>
        <v/>
      </c>
      <c r="BU33" s="37"/>
      <c r="BV33" s="33"/>
      <c r="BW33" s="34"/>
      <c r="BX33" s="35" t="str">
        <f t="shared" si="28"/>
        <v/>
      </c>
      <c r="BY33" s="36" t="str">
        <f t="shared" si="29"/>
        <v/>
      </c>
      <c r="BZ33" s="37"/>
      <c r="CA33" s="33"/>
      <c r="CB33" s="34"/>
      <c r="CC33" s="35" t="str">
        <f t="shared" si="30"/>
        <v/>
      </c>
      <c r="CD33" s="36" t="str">
        <f t="shared" si="31"/>
        <v/>
      </c>
      <c r="CE33" s="37"/>
      <c r="CF33" s="33"/>
      <c r="CG33" s="34"/>
      <c r="CH33" s="35" t="str">
        <f t="shared" si="32"/>
        <v/>
      </c>
      <c r="CI33" s="36" t="str">
        <f t="shared" si="33"/>
        <v/>
      </c>
      <c r="CJ33" s="37"/>
      <c r="CK33" s="33"/>
      <c r="CL33" s="34"/>
      <c r="CM33" s="35" t="str">
        <f t="shared" si="34"/>
        <v/>
      </c>
      <c r="CN33" s="36" t="str">
        <f t="shared" si="35"/>
        <v/>
      </c>
      <c r="CO33" s="37"/>
      <c r="CP33" s="33"/>
      <c r="CQ33" s="34"/>
      <c r="CR33" s="35" t="str">
        <f t="shared" si="36"/>
        <v/>
      </c>
      <c r="CS33" s="36" t="str">
        <f t="shared" si="37"/>
        <v/>
      </c>
      <c r="CT33" s="37"/>
      <c r="CU33" s="33"/>
      <c r="CV33" s="34"/>
      <c r="CW33" s="35" t="str">
        <f t="shared" si="38"/>
        <v/>
      </c>
      <c r="CX33" s="36" t="str">
        <f t="shared" si="39"/>
        <v/>
      </c>
      <c r="CY33" s="37"/>
      <c r="CZ33" s="33"/>
      <c r="DA33" s="34"/>
      <c r="DB33" s="35" t="str">
        <f t="shared" si="40"/>
        <v/>
      </c>
      <c r="DC33" s="36" t="str">
        <f t="shared" si="41"/>
        <v/>
      </c>
      <c r="DD33" s="37"/>
      <c r="DE33" s="33"/>
      <c r="DF33" s="34"/>
      <c r="DG33" s="35" t="str">
        <f t="shared" si="42"/>
        <v/>
      </c>
      <c r="DH33" s="36" t="str">
        <f t="shared" si="43"/>
        <v/>
      </c>
      <c r="DI33" s="37"/>
      <c r="DJ33" s="33"/>
      <c r="DK33" s="34"/>
      <c r="DL33" s="35" t="str">
        <f t="shared" si="44"/>
        <v/>
      </c>
      <c r="DM33" s="36" t="str">
        <f t="shared" si="45"/>
        <v/>
      </c>
      <c r="DN33" s="37"/>
      <c r="DO33" s="33"/>
      <c r="DP33" s="34"/>
      <c r="DQ33" s="35" t="str">
        <f t="shared" si="46"/>
        <v/>
      </c>
      <c r="DR33" s="36" t="str">
        <f t="shared" si="47"/>
        <v/>
      </c>
      <c r="DS33" s="37"/>
      <c r="DT33" s="33"/>
      <c r="DU33" s="34"/>
      <c r="DV33" s="35" t="str">
        <f t="shared" si="48"/>
        <v/>
      </c>
      <c r="DW33" s="36" t="str">
        <f t="shared" si="49"/>
        <v/>
      </c>
      <c r="DX33" s="37"/>
      <c r="DY33" s="33"/>
      <c r="DZ33" s="34"/>
      <c r="EA33" s="35" t="str">
        <f t="shared" si="50"/>
        <v/>
      </c>
      <c r="EB33" s="36" t="str">
        <f t="shared" si="51"/>
        <v/>
      </c>
      <c r="EC33" s="37"/>
      <c r="ED33" s="33"/>
      <c r="EE33" s="34"/>
      <c r="EF33" s="35" t="str">
        <f t="shared" si="52"/>
        <v/>
      </c>
      <c r="EG33" s="36" t="str">
        <f t="shared" si="53"/>
        <v/>
      </c>
      <c r="EH33" s="37"/>
      <c r="EI33" s="33"/>
      <c r="EJ33" s="34"/>
      <c r="EK33" s="35" t="str">
        <f t="shared" si="54"/>
        <v/>
      </c>
      <c r="EL33" s="36" t="str">
        <f t="shared" si="55"/>
        <v/>
      </c>
      <c r="EM33" s="37"/>
      <c r="EN33" s="33"/>
      <c r="EO33" s="34"/>
      <c r="EP33" s="35" t="str">
        <f t="shared" si="56"/>
        <v/>
      </c>
      <c r="EQ33" s="36" t="str">
        <f t="shared" si="57"/>
        <v/>
      </c>
      <c r="ER33" s="37"/>
      <c r="ES33" s="33"/>
      <c r="ET33" s="34"/>
      <c r="EU33" s="35" t="str">
        <f t="shared" si="58"/>
        <v/>
      </c>
      <c r="EV33" s="36" t="str">
        <f t="shared" si="59"/>
        <v/>
      </c>
      <c r="EW33" s="37"/>
    </row>
    <row r="34" spans="1:153" ht="19.5" customHeight="1">
      <c r="A34" s="39">
        <f>IF(DAY(DATE(対象年度,8,31))&lt;&gt;31,"",31)</f>
        <v>31</v>
      </c>
      <c r="B34" s="39" t="str">
        <f>IF(DAY(DATE(対象年度,8,31))&lt;&gt;31,"",CHOOSE(WEEKDAY(DATE(対象年度,8,31),2),"月","火","水","木","金","土","日"))</f>
        <v>月</v>
      </c>
      <c r="C34" s="39" t="str">
        <f>IF(DAY(DATE(対象年度,8,31))&lt;&gt;31,"",IF(ISNUMBER(MATCH(DATE(対象年度,8,31),祝日リスト,0)),"祝",""))</f>
        <v/>
      </c>
      <c r="D34" s="40"/>
      <c r="E34" s="41"/>
      <c r="F34" s="42" t="str">
        <f t="shared" si="0"/>
        <v/>
      </c>
      <c r="G34" s="43" t="str">
        <f t="shared" si="1"/>
        <v/>
      </c>
      <c r="H34" s="44"/>
      <c r="I34" s="40"/>
      <c r="J34" s="41"/>
      <c r="K34" s="42" t="str">
        <f t="shared" si="2"/>
        <v/>
      </c>
      <c r="L34" s="43" t="str">
        <f t="shared" si="3"/>
        <v/>
      </c>
      <c r="M34" s="44"/>
      <c r="N34" s="40"/>
      <c r="O34" s="41"/>
      <c r="P34" s="42" t="str">
        <f t="shared" si="4"/>
        <v/>
      </c>
      <c r="Q34" s="43" t="str">
        <f t="shared" si="5"/>
        <v/>
      </c>
      <c r="R34" s="44"/>
      <c r="S34" s="40"/>
      <c r="T34" s="41"/>
      <c r="U34" s="42" t="str">
        <f t="shared" si="6"/>
        <v/>
      </c>
      <c r="V34" s="43" t="str">
        <f t="shared" si="7"/>
        <v/>
      </c>
      <c r="W34" s="44"/>
      <c r="X34" s="40"/>
      <c r="Y34" s="41"/>
      <c r="Z34" s="42" t="str">
        <f t="shared" si="8"/>
        <v/>
      </c>
      <c r="AA34" s="43" t="str">
        <f t="shared" si="9"/>
        <v/>
      </c>
      <c r="AB34" s="44"/>
      <c r="AC34" s="40"/>
      <c r="AD34" s="41"/>
      <c r="AE34" s="42" t="str">
        <f t="shared" si="10"/>
        <v/>
      </c>
      <c r="AF34" s="43" t="str">
        <f t="shared" si="11"/>
        <v/>
      </c>
      <c r="AG34" s="44"/>
      <c r="AH34" s="40"/>
      <c r="AI34" s="41"/>
      <c r="AJ34" s="42" t="str">
        <f t="shared" si="12"/>
        <v/>
      </c>
      <c r="AK34" s="43" t="str">
        <f t="shared" si="13"/>
        <v/>
      </c>
      <c r="AL34" s="44"/>
      <c r="AM34" s="40"/>
      <c r="AN34" s="41"/>
      <c r="AO34" s="42" t="str">
        <f t="shared" si="14"/>
        <v/>
      </c>
      <c r="AP34" s="43" t="str">
        <f t="shared" si="15"/>
        <v/>
      </c>
      <c r="AQ34" s="44"/>
      <c r="AR34" s="40"/>
      <c r="AS34" s="41"/>
      <c r="AT34" s="42" t="str">
        <f t="shared" si="16"/>
        <v/>
      </c>
      <c r="AU34" s="43" t="str">
        <f t="shared" si="17"/>
        <v/>
      </c>
      <c r="AV34" s="44"/>
      <c r="AW34" s="40"/>
      <c r="AX34" s="41"/>
      <c r="AY34" s="42" t="str">
        <f t="shared" si="18"/>
        <v/>
      </c>
      <c r="AZ34" s="43" t="str">
        <f t="shared" si="19"/>
        <v/>
      </c>
      <c r="BA34" s="44"/>
      <c r="BB34" s="40"/>
      <c r="BC34" s="41"/>
      <c r="BD34" s="42" t="str">
        <f t="shared" si="20"/>
        <v/>
      </c>
      <c r="BE34" s="43" t="str">
        <f t="shared" si="21"/>
        <v/>
      </c>
      <c r="BF34" s="44"/>
      <c r="BG34" s="40"/>
      <c r="BH34" s="41"/>
      <c r="BI34" s="42" t="str">
        <f t="shared" si="22"/>
        <v/>
      </c>
      <c r="BJ34" s="43" t="str">
        <f t="shared" si="23"/>
        <v/>
      </c>
      <c r="BK34" s="44"/>
      <c r="BL34" s="40"/>
      <c r="BM34" s="41"/>
      <c r="BN34" s="42" t="str">
        <f t="shared" si="24"/>
        <v/>
      </c>
      <c r="BO34" s="43" t="str">
        <f t="shared" si="25"/>
        <v/>
      </c>
      <c r="BP34" s="44"/>
      <c r="BQ34" s="40"/>
      <c r="BR34" s="41"/>
      <c r="BS34" s="42" t="str">
        <f t="shared" si="26"/>
        <v/>
      </c>
      <c r="BT34" s="43" t="str">
        <f t="shared" si="27"/>
        <v/>
      </c>
      <c r="BU34" s="44"/>
      <c r="BV34" s="40"/>
      <c r="BW34" s="41"/>
      <c r="BX34" s="42" t="str">
        <f t="shared" si="28"/>
        <v/>
      </c>
      <c r="BY34" s="43" t="str">
        <f t="shared" si="29"/>
        <v/>
      </c>
      <c r="BZ34" s="44"/>
      <c r="CA34" s="40"/>
      <c r="CB34" s="41"/>
      <c r="CC34" s="42" t="str">
        <f t="shared" si="30"/>
        <v/>
      </c>
      <c r="CD34" s="43" t="str">
        <f t="shared" si="31"/>
        <v/>
      </c>
      <c r="CE34" s="44"/>
      <c r="CF34" s="40"/>
      <c r="CG34" s="41"/>
      <c r="CH34" s="42" t="str">
        <f t="shared" si="32"/>
        <v/>
      </c>
      <c r="CI34" s="43" t="str">
        <f t="shared" si="33"/>
        <v/>
      </c>
      <c r="CJ34" s="44"/>
      <c r="CK34" s="40"/>
      <c r="CL34" s="41"/>
      <c r="CM34" s="42" t="str">
        <f t="shared" si="34"/>
        <v/>
      </c>
      <c r="CN34" s="43" t="str">
        <f t="shared" si="35"/>
        <v/>
      </c>
      <c r="CO34" s="44"/>
      <c r="CP34" s="40"/>
      <c r="CQ34" s="41"/>
      <c r="CR34" s="42" t="str">
        <f t="shared" si="36"/>
        <v/>
      </c>
      <c r="CS34" s="43" t="str">
        <f t="shared" si="37"/>
        <v/>
      </c>
      <c r="CT34" s="44"/>
      <c r="CU34" s="40"/>
      <c r="CV34" s="41"/>
      <c r="CW34" s="42" t="str">
        <f t="shared" si="38"/>
        <v/>
      </c>
      <c r="CX34" s="43" t="str">
        <f t="shared" si="39"/>
        <v/>
      </c>
      <c r="CY34" s="44"/>
      <c r="CZ34" s="40"/>
      <c r="DA34" s="41"/>
      <c r="DB34" s="42" t="str">
        <f t="shared" si="40"/>
        <v/>
      </c>
      <c r="DC34" s="43" t="str">
        <f t="shared" si="41"/>
        <v/>
      </c>
      <c r="DD34" s="44"/>
      <c r="DE34" s="40"/>
      <c r="DF34" s="41"/>
      <c r="DG34" s="42" t="str">
        <f t="shared" si="42"/>
        <v/>
      </c>
      <c r="DH34" s="43" t="str">
        <f t="shared" si="43"/>
        <v/>
      </c>
      <c r="DI34" s="44"/>
      <c r="DJ34" s="40"/>
      <c r="DK34" s="41"/>
      <c r="DL34" s="42" t="str">
        <f t="shared" si="44"/>
        <v/>
      </c>
      <c r="DM34" s="43" t="str">
        <f t="shared" si="45"/>
        <v/>
      </c>
      <c r="DN34" s="44"/>
      <c r="DO34" s="40"/>
      <c r="DP34" s="41"/>
      <c r="DQ34" s="42" t="str">
        <f t="shared" si="46"/>
        <v/>
      </c>
      <c r="DR34" s="43" t="str">
        <f t="shared" si="47"/>
        <v/>
      </c>
      <c r="DS34" s="44"/>
      <c r="DT34" s="40"/>
      <c r="DU34" s="41"/>
      <c r="DV34" s="42" t="str">
        <f t="shared" si="48"/>
        <v/>
      </c>
      <c r="DW34" s="43" t="str">
        <f t="shared" si="49"/>
        <v/>
      </c>
      <c r="DX34" s="44"/>
      <c r="DY34" s="40"/>
      <c r="DZ34" s="41"/>
      <c r="EA34" s="42" t="str">
        <f t="shared" si="50"/>
        <v/>
      </c>
      <c r="EB34" s="43" t="str">
        <f t="shared" si="51"/>
        <v/>
      </c>
      <c r="EC34" s="44"/>
      <c r="ED34" s="40"/>
      <c r="EE34" s="41"/>
      <c r="EF34" s="42" t="str">
        <f t="shared" si="52"/>
        <v/>
      </c>
      <c r="EG34" s="43" t="str">
        <f t="shared" si="53"/>
        <v/>
      </c>
      <c r="EH34" s="44"/>
      <c r="EI34" s="40"/>
      <c r="EJ34" s="41"/>
      <c r="EK34" s="42" t="str">
        <f t="shared" si="54"/>
        <v/>
      </c>
      <c r="EL34" s="43" t="str">
        <f t="shared" si="55"/>
        <v/>
      </c>
      <c r="EM34" s="44"/>
      <c r="EN34" s="40"/>
      <c r="EO34" s="41"/>
      <c r="EP34" s="42" t="str">
        <f t="shared" si="56"/>
        <v/>
      </c>
      <c r="EQ34" s="43" t="str">
        <f t="shared" si="57"/>
        <v/>
      </c>
      <c r="ER34" s="44"/>
      <c r="ES34" s="40"/>
      <c r="ET34" s="41"/>
      <c r="EU34" s="42" t="str">
        <f t="shared" si="58"/>
        <v/>
      </c>
      <c r="EV34" s="43" t="str">
        <f t="shared" si="59"/>
        <v/>
      </c>
      <c r="EW34" s="44"/>
    </row>
    <row r="35" spans="1:153" ht="21.75" customHeight="1">
      <c r="A35" s="98" t="s">
        <v>120</v>
      </c>
      <c r="B35" s="98"/>
      <c r="C35" s="98"/>
      <c r="D35" s="99">
        <f>COUNTIF(F4:F34,"○")</f>
        <v>0</v>
      </c>
      <c r="E35" s="99"/>
      <c r="F35" s="99"/>
      <c r="G35" s="99"/>
      <c r="H35" s="99"/>
      <c r="I35" s="99">
        <f>COUNTIF(K4:K34,"○")</f>
        <v>0</v>
      </c>
      <c r="J35" s="99"/>
      <c r="K35" s="99"/>
      <c r="L35" s="99"/>
      <c r="M35" s="99"/>
      <c r="N35" s="99">
        <f>COUNTIF(P4:P34,"○")</f>
        <v>0</v>
      </c>
      <c r="O35" s="99"/>
      <c r="P35" s="99"/>
      <c r="Q35" s="99"/>
      <c r="R35" s="99"/>
      <c r="S35" s="99">
        <f>COUNTIF(U4:U34,"○")</f>
        <v>0</v>
      </c>
      <c r="T35" s="99"/>
      <c r="U35" s="99"/>
      <c r="V35" s="99"/>
      <c r="W35" s="99"/>
      <c r="X35" s="99">
        <f>COUNTIF(Z4:Z34,"○")</f>
        <v>0</v>
      </c>
      <c r="Y35" s="99"/>
      <c r="Z35" s="99"/>
      <c r="AA35" s="99"/>
      <c r="AB35" s="99"/>
      <c r="AC35" s="99">
        <f>COUNTIF(AE4:AE34,"○")</f>
        <v>0</v>
      </c>
      <c r="AD35" s="99"/>
      <c r="AE35" s="99"/>
      <c r="AF35" s="99"/>
      <c r="AG35" s="99"/>
      <c r="AH35" s="99">
        <f>COUNTIF(AJ4:AJ34,"○")</f>
        <v>0</v>
      </c>
      <c r="AI35" s="99"/>
      <c r="AJ35" s="99"/>
      <c r="AK35" s="99"/>
      <c r="AL35" s="99"/>
      <c r="AM35" s="99">
        <f>COUNTIF(AO4:AO34,"○")</f>
        <v>0</v>
      </c>
      <c r="AN35" s="99"/>
      <c r="AO35" s="99"/>
      <c r="AP35" s="99"/>
      <c r="AQ35" s="99"/>
      <c r="AR35" s="99">
        <f>COUNTIF(AT4:AT34,"○")</f>
        <v>0</v>
      </c>
      <c r="AS35" s="99"/>
      <c r="AT35" s="99"/>
      <c r="AU35" s="99"/>
      <c r="AV35" s="99"/>
      <c r="AW35" s="99">
        <f>COUNTIF(AY4:AY34,"○")</f>
        <v>0</v>
      </c>
      <c r="AX35" s="99"/>
      <c r="AY35" s="99"/>
      <c r="AZ35" s="99"/>
      <c r="BA35" s="99"/>
      <c r="BB35" s="99">
        <f>COUNTIF(BD4:BD34,"○")</f>
        <v>0</v>
      </c>
      <c r="BC35" s="99"/>
      <c r="BD35" s="99"/>
      <c r="BE35" s="99"/>
      <c r="BF35" s="99"/>
      <c r="BG35" s="99">
        <f>COUNTIF(BI4:BI34,"○")</f>
        <v>0</v>
      </c>
      <c r="BH35" s="99"/>
      <c r="BI35" s="99"/>
      <c r="BJ35" s="99"/>
      <c r="BK35" s="99"/>
      <c r="BL35" s="99">
        <f>COUNTIF(BN4:BN34,"○")</f>
        <v>0</v>
      </c>
      <c r="BM35" s="99"/>
      <c r="BN35" s="99"/>
      <c r="BO35" s="99"/>
      <c r="BP35" s="99"/>
      <c r="BQ35" s="99">
        <f>COUNTIF(BS4:BS34,"○")</f>
        <v>0</v>
      </c>
      <c r="BR35" s="99"/>
      <c r="BS35" s="99"/>
      <c r="BT35" s="99"/>
      <c r="BU35" s="99"/>
      <c r="BV35" s="99">
        <f>COUNTIF(BX4:BX34,"○")</f>
        <v>0</v>
      </c>
      <c r="BW35" s="99"/>
      <c r="BX35" s="99"/>
      <c r="BY35" s="99"/>
      <c r="BZ35" s="99"/>
      <c r="CA35" s="99">
        <f>COUNTIF(CC4:CC34,"○")</f>
        <v>0</v>
      </c>
      <c r="CB35" s="99"/>
      <c r="CC35" s="99"/>
      <c r="CD35" s="99"/>
      <c r="CE35" s="99"/>
      <c r="CF35" s="99">
        <f>COUNTIF(CH4:CH34,"○")</f>
        <v>0</v>
      </c>
      <c r="CG35" s="99"/>
      <c r="CH35" s="99"/>
      <c r="CI35" s="99"/>
      <c r="CJ35" s="99"/>
      <c r="CK35" s="99">
        <f>COUNTIF(CM4:CM34,"○")</f>
        <v>0</v>
      </c>
      <c r="CL35" s="99"/>
      <c r="CM35" s="99"/>
      <c r="CN35" s="99"/>
      <c r="CO35" s="99"/>
      <c r="CP35" s="99">
        <f>COUNTIF(CR4:CR34,"○")</f>
        <v>0</v>
      </c>
      <c r="CQ35" s="99"/>
      <c r="CR35" s="99"/>
      <c r="CS35" s="99"/>
      <c r="CT35" s="99"/>
      <c r="CU35" s="99">
        <f>COUNTIF(CW4:CW34,"○")</f>
        <v>0</v>
      </c>
      <c r="CV35" s="99"/>
      <c r="CW35" s="99"/>
      <c r="CX35" s="99"/>
      <c r="CY35" s="99"/>
      <c r="CZ35" s="99">
        <f>COUNTIF(DB4:DB34,"○")</f>
        <v>0</v>
      </c>
      <c r="DA35" s="99"/>
      <c r="DB35" s="99"/>
      <c r="DC35" s="99"/>
      <c r="DD35" s="99"/>
      <c r="DE35" s="99">
        <f>COUNTIF(DG4:DG34,"○")</f>
        <v>0</v>
      </c>
      <c r="DF35" s="99"/>
      <c r="DG35" s="99"/>
      <c r="DH35" s="99"/>
      <c r="DI35" s="99"/>
      <c r="DJ35" s="99">
        <f>COUNTIF(DL4:DL34,"○")</f>
        <v>0</v>
      </c>
      <c r="DK35" s="99"/>
      <c r="DL35" s="99"/>
      <c r="DM35" s="99"/>
      <c r="DN35" s="99"/>
      <c r="DO35" s="99">
        <f>COUNTIF(DQ4:DQ34,"○")</f>
        <v>0</v>
      </c>
      <c r="DP35" s="99"/>
      <c r="DQ35" s="99"/>
      <c r="DR35" s="99"/>
      <c r="DS35" s="99"/>
      <c r="DT35" s="99">
        <f>COUNTIF(DV4:DV34,"○")</f>
        <v>0</v>
      </c>
      <c r="DU35" s="99"/>
      <c r="DV35" s="99"/>
      <c r="DW35" s="99"/>
      <c r="DX35" s="99"/>
      <c r="DY35" s="99">
        <f>COUNTIF(EA4:EA34,"○")</f>
        <v>0</v>
      </c>
      <c r="DZ35" s="99"/>
      <c r="EA35" s="99"/>
      <c r="EB35" s="99"/>
      <c r="EC35" s="99"/>
      <c r="ED35" s="99">
        <f>COUNTIF(EF4:EF34,"○")</f>
        <v>0</v>
      </c>
      <c r="EE35" s="99"/>
      <c r="EF35" s="99"/>
      <c r="EG35" s="99"/>
      <c r="EH35" s="99"/>
      <c r="EI35" s="99">
        <f>COUNTIF(EK4:EK34,"○")</f>
        <v>0</v>
      </c>
      <c r="EJ35" s="99"/>
      <c r="EK35" s="99"/>
      <c r="EL35" s="99"/>
      <c r="EM35" s="99"/>
      <c r="EN35" s="99">
        <f>COUNTIF(EP4:EP34,"○")</f>
        <v>0</v>
      </c>
      <c r="EO35" s="99"/>
      <c r="EP35" s="99"/>
      <c r="EQ35" s="99"/>
      <c r="ER35" s="99"/>
      <c r="ES35" s="99">
        <f>COUNTIF(EU4:EU34,"○")</f>
        <v>0</v>
      </c>
      <c r="ET35" s="99"/>
      <c r="EU35" s="99"/>
      <c r="EV35" s="99"/>
      <c r="EW35" s="99"/>
    </row>
    <row r="36" spans="1:153" ht="21.75" customHeight="1">
      <c r="A36" s="100" t="s">
        <v>121</v>
      </c>
      <c r="B36" s="100"/>
      <c r="C36" s="100"/>
      <c r="D36" s="101">
        <f>COUNTIF(G4:G34,"○")</f>
        <v>0</v>
      </c>
      <c r="E36" s="101"/>
      <c r="F36" s="101"/>
      <c r="G36" s="101"/>
      <c r="H36" s="101"/>
      <c r="I36" s="101">
        <f>COUNTIF(L4:L34,"○")</f>
        <v>0</v>
      </c>
      <c r="J36" s="101"/>
      <c r="K36" s="101"/>
      <c r="L36" s="101"/>
      <c r="M36" s="101"/>
      <c r="N36" s="101">
        <f>COUNTIF(Q4:Q34,"○")</f>
        <v>0</v>
      </c>
      <c r="O36" s="101"/>
      <c r="P36" s="101"/>
      <c r="Q36" s="101"/>
      <c r="R36" s="101"/>
      <c r="S36" s="101">
        <f>COUNTIF(V4:V34,"○")</f>
        <v>0</v>
      </c>
      <c r="T36" s="101"/>
      <c r="U36" s="101"/>
      <c r="V36" s="101"/>
      <c r="W36" s="101"/>
      <c r="X36" s="101">
        <f>COUNTIF(AA4:AA34,"○")</f>
        <v>0</v>
      </c>
      <c r="Y36" s="101"/>
      <c r="Z36" s="101"/>
      <c r="AA36" s="101"/>
      <c r="AB36" s="101"/>
      <c r="AC36" s="101">
        <f>COUNTIF(AF4:AF34,"○")</f>
        <v>0</v>
      </c>
      <c r="AD36" s="101"/>
      <c r="AE36" s="101"/>
      <c r="AF36" s="101"/>
      <c r="AG36" s="101"/>
      <c r="AH36" s="101">
        <f>COUNTIF(AK4:AK34,"○")</f>
        <v>0</v>
      </c>
      <c r="AI36" s="101"/>
      <c r="AJ36" s="101"/>
      <c r="AK36" s="101"/>
      <c r="AL36" s="101"/>
      <c r="AM36" s="101">
        <f>COUNTIF(AP4:AP34,"○")</f>
        <v>0</v>
      </c>
      <c r="AN36" s="101"/>
      <c r="AO36" s="101"/>
      <c r="AP36" s="101"/>
      <c r="AQ36" s="101"/>
      <c r="AR36" s="101">
        <f>COUNTIF(AU4:AU34,"○")</f>
        <v>0</v>
      </c>
      <c r="AS36" s="101"/>
      <c r="AT36" s="101"/>
      <c r="AU36" s="101"/>
      <c r="AV36" s="101"/>
      <c r="AW36" s="101">
        <f>COUNTIF(AZ4:AZ34,"○")</f>
        <v>0</v>
      </c>
      <c r="AX36" s="101"/>
      <c r="AY36" s="101"/>
      <c r="AZ36" s="101"/>
      <c r="BA36" s="101"/>
      <c r="BB36" s="101">
        <f>COUNTIF(BE4:BE34,"○")</f>
        <v>0</v>
      </c>
      <c r="BC36" s="101"/>
      <c r="BD36" s="101"/>
      <c r="BE36" s="101"/>
      <c r="BF36" s="101"/>
      <c r="BG36" s="101">
        <f>COUNTIF(BJ4:BJ34,"○")</f>
        <v>0</v>
      </c>
      <c r="BH36" s="101"/>
      <c r="BI36" s="101"/>
      <c r="BJ36" s="101"/>
      <c r="BK36" s="101"/>
      <c r="BL36" s="101">
        <f>COUNTIF(BO4:BO34,"○")</f>
        <v>0</v>
      </c>
      <c r="BM36" s="101"/>
      <c r="BN36" s="101"/>
      <c r="BO36" s="101"/>
      <c r="BP36" s="101"/>
      <c r="BQ36" s="101">
        <f>COUNTIF(BT4:BT34,"○")</f>
        <v>0</v>
      </c>
      <c r="BR36" s="101"/>
      <c r="BS36" s="101"/>
      <c r="BT36" s="101"/>
      <c r="BU36" s="101"/>
      <c r="BV36" s="101">
        <f>COUNTIF(BY4:BY34,"○")</f>
        <v>0</v>
      </c>
      <c r="BW36" s="101"/>
      <c r="BX36" s="101"/>
      <c r="BY36" s="101"/>
      <c r="BZ36" s="101"/>
      <c r="CA36" s="101">
        <f>COUNTIF(CD4:CD34,"○")</f>
        <v>0</v>
      </c>
      <c r="CB36" s="101"/>
      <c r="CC36" s="101"/>
      <c r="CD36" s="101"/>
      <c r="CE36" s="101"/>
      <c r="CF36" s="101">
        <f>COUNTIF(CI4:CI34,"○")</f>
        <v>0</v>
      </c>
      <c r="CG36" s="101"/>
      <c r="CH36" s="101"/>
      <c r="CI36" s="101"/>
      <c r="CJ36" s="101"/>
      <c r="CK36" s="101">
        <f>COUNTIF(CN4:CN34,"○")</f>
        <v>0</v>
      </c>
      <c r="CL36" s="101"/>
      <c r="CM36" s="101"/>
      <c r="CN36" s="101"/>
      <c r="CO36" s="101"/>
      <c r="CP36" s="101">
        <f>COUNTIF(CS4:CS34,"○")</f>
        <v>0</v>
      </c>
      <c r="CQ36" s="101"/>
      <c r="CR36" s="101"/>
      <c r="CS36" s="101"/>
      <c r="CT36" s="101"/>
      <c r="CU36" s="101">
        <f>COUNTIF(CX4:CX34,"○")</f>
        <v>0</v>
      </c>
      <c r="CV36" s="101"/>
      <c r="CW36" s="101"/>
      <c r="CX36" s="101"/>
      <c r="CY36" s="101"/>
      <c r="CZ36" s="101">
        <f>COUNTIF(DC4:DC34,"○")</f>
        <v>0</v>
      </c>
      <c r="DA36" s="101"/>
      <c r="DB36" s="101"/>
      <c r="DC36" s="101"/>
      <c r="DD36" s="101"/>
      <c r="DE36" s="101">
        <f>COUNTIF(DH4:DH34,"○")</f>
        <v>0</v>
      </c>
      <c r="DF36" s="101"/>
      <c r="DG36" s="101"/>
      <c r="DH36" s="101"/>
      <c r="DI36" s="101"/>
      <c r="DJ36" s="101">
        <f>COUNTIF(DM4:DM34,"○")</f>
        <v>0</v>
      </c>
      <c r="DK36" s="101"/>
      <c r="DL36" s="101"/>
      <c r="DM36" s="101"/>
      <c r="DN36" s="101"/>
      <c r="DO36" s="101">
        <f>COUNTIF(DR4:DR34,"○")</f>
        <v>0</v>
      </c>
      <c r="DP36" s="101"/>
      <c r="DQ36" s="101"/>
      <c r="DR36" s="101"/>
      <c r="DS36" s="101"/>
      <c r="DT36" s="101">
        <f>COUNTIF(DW4:DW34,"○")</f>
        <v>0</v>
      </c>
      <c r="DU36" s="101"/>
      <c r="DV36" s="101"/>
      <c r="DW36" s="101"/>
      <c r="DX36" s="101"/>
      <c r="DY36" s="101">
        <f>COUNTIF(EB4:EB34,"○")</f>
        <v>0</v>
      </c>
      <c r="DZ36" s="101"/>
      <c r="EA36" s="101"/>
      <c r="EB36" s="101"/>
      <c r="EC36" s="101"/>
      <c r="ED36" s="101">
        <f>COUNTIF(EG4:EG34,"○")</f>
        <v>0</v>
      </c>
      <c r="EE36" s="101"/>
      <c r="EF36" s="101"/>
      <c r="EG36" s="101"/>
      <c r="EH36" s="101"/>
      <c r="EI36" s="101">
        <f>COUNTIF(EL4:EL34,"○")</f>
        <v>0</v>
      </c>
      <c r="EJ36" s="101"/>
      <c r="EK36" s="101"/>
      <c r="EL36" s="101"/>
      <c r="EM36" s="101"/>
      <c r="EN36" s="101">
        <f>COUNTIF(EQ4:EQ34,"○")</f>
        <v>0</v>
      </c>
      <c r="EO36" s="101"/>
      <c r="EP36" s="101"/>
      <c r="EQ36" s="101"/>
      <c r="ER36" s="101"/>
      <c r="ES36" s="101">
        <f>COUNTIF(EV4:EV34,"○")</f>
        <v>0</v>
      </c>
      <c r="ET36" s="101"/>
      <c r="EU36" s="101"/>
      <c r="EV36" s="101"/>
      <c r="EW36" s="101"/>
    </row>
    <row r="37" spans="1:153" ht="21.75" customHeight="1">
      <c r="A37" s="102" t="s">
        <v>122</v>
      </c>
      <c r="B37" s="102"/>
      <c r="C37" s="102"/>
      <c r="D37" s="103">
        <f>D35+D36</f>
        <v>0</v>
      </c>
      <c r="E37" s="103"/>
      <c r="F37" s="103"/>
      <c r="G37" s="103"/>
      <c r="H37" s="103"/>
      <c r="I37" s="103">
        <f>I35+I36</f>
        <v>0</v>
      </c>
      <c r="J37" s="103"/>
      <c r="K37" s="103"/>
      <c r="L37" s="103"/>
      <c r="M37" s="103"/>
      <c r="N37" s="103">
        <f>N35+N36</f>
        <v>0</v>
      </c>
      <c r="O37" s="103"/>
      <c r="P37" s="103"/>
      <c r="Q37" s="103"/>
      <c r="R37" s="103"/>
      <c r="S37" s="103">
        <f>S35+S36</f>
        <v>0</v>
      </c>
      <c r="T37" s="103"/>
      <c r="U37" s="103"/>
      <c r="V37" s="103"/>
      <c r="W37" s="103"/>
      <c r="X37" s="103">
        <f>X35+X36</f>
        <v>0</v>
      </c>
      <c r="Y37" s="103"/>
      <c r="Z37" s="103"/>
      <c r="AA37" s="103"/>
      <c r="AB37" s="103"/>
      <c r="AC37" s="103">
        <f>AC35+AC36</f>
        <v>0</v>
      </c>
      <c r="AD37" s="103"/>
      <c r="AE37" s="103"/>
      <c r="AF37" s="103"/>
      <c r="AG37" s="103"/>
      <c r="AH37" s="103">
        <f>AH35+AH36</f>
        <v>0</v>
      </c>
      <c r="AI37" s="103"/>
      <c r="AJ37" s="103"/>
      <c r="AK37" s="103"/>
      <c r="AL37" s="103"/>
      <c r="AM37" s="103">
        <f>AM35+AM36</f>
        <v>0</v>
      </c>
      <c r="AN37" s="103"/>
      <c r="AO37" s="103"/>
      <c r="AP37" s="103"/>
      <c r="AQ37" s="103"/>
      <c r="AR37" s="103">
        <f>AR35+AR36</f>
        <v>0</v>
      </c>
      <c r="AS37" s="103"/>
      <c r="AT37" s="103"/>
      <c r="AU37" s="103"/>
      <c r="AV37" s="103"/>
      <c r="AW37" s="103">
        <f>AW35+AW36</f>
        <v>0</v>
      </c>
      <c r="AX37" s="103"/>
      <c r="AY37" s="103"/>
      <c r="AZ37" s="103"/>
      <c r="BA37" s="103"/>
      <c r="BB37" s="103">
        <f>BB35+BB36</f>
        <v>0</v>
      </c>
      <c r="BC37" s="103"/>
      <c r="BD37" s="103"/>
      <c r="BE37" s="103"/>
      <c r="BF37" s="103"/>
      <c r="BG37" s="103">
        <f>BG35+BG36</f>
        <v>0</v>
      </c>
      <c r="BH37" s="103"/>
      <c r="BI37" s="103"/>
      <c r="BJ37" s="103"/>
      <c r="BK37" s="103"/>
      <c r="BL37" s="103">
        <f>BL35+BL36</f>
        <v>0</v>
      </c>
      <c r="BM37" s="103"/>
      <c r="BN37" s="103"/>
      <c r="BO37" s="103"/>
      <c r="BP37" s="103"/>
      <c r="BQ37" s="103">
        <f>BQ35+BQ36</f>
        <v>0</v>
      </c>
      <c r="BR37" s="103"/>
      <c r="BS37" s="103"/>
      <c r="BT37" s="103"/>
      <c r="BU37" s="103"/>
      <c r="BV37" s="103">
        <f>BV35+BV36</f>
        <v>0</v>
      </c>
      <c r="BW37" s="103"/>
      <c r="BX37" s="103"/>
      <c r="BY37" s="103"/>
      <c r="BZ37" s="103"/>
      <c r="CA37" s="103">
        <f>CA35+CA36</f>
        <v>0</v>
      </c>
      <c r="CB37" s="103"/>
      <c r="CC37" s="103"/>
      <c r="CD37" s="103"/>
      <c r="CE37" s="103"/>
      <c r="CF37" s="103">
        <f>CF35+CF36</f>
        <v>0</v>
      </c>
      <c r="CG37" s="103"/>
      <c r="CH37" s="103"/>
      <c r="CI37" s="103"/>
      <c r="CJ37" s="103"/>
      <c r="CK37" s="103">
        <f>CK35+CK36</f>
        <v>0</v>
      </c>
      <c r="CL37" s="103"/>
      <c r="CM37" s="103"/>
      <c r="CN37" s="103"/>
      <c r="CO37" s="103"/>
      <c r="CP37" s="103">
        <f>CP35+CP36</f>
        <v>0</v>
      </c>
      <c r="CQ37" s="103"/>
      <c r="CR37" s="103"/>
      <c r="CS37" s="103"/>
      <c r="CT37" s="103"/>
      <c r="CU37" s="103">
        <f>CU35+CU36</f>
        <v>0</v>
      </c>
      <c r="CV37" s="103"/>
      <c r="CW37" s="103"/>
      <c r="CX37" s="103"/>
      <c r="CY37" s="103"/>
      <c r="CZ37" s="103">
        <f>CZ35+CZ36</f>
        <v>0</v>
      </c>
      <c r="DA37" s="103"/>
      <c r="DB37" s="103"/>
      <c r="DC37" s="103"/>
      <c r="DD37" s="103"/>
      <c r="DE37" s="103">
        <f>DE35+DE36</f>
        <v>0</v>
      </c>
      <c r="DF37" s="103"/>
      <c r="DG37" s="103"/>
      <c r="DH37" s="103"/>
      <c r="DI37" s="103"/>
      <c r="DJ37" s="103">
        <f>DJ35+DJ36</f>
        <v>0</v>
      </c>
      <c r="DK37" s="103"/>
      <c r="DL37" s="103"/>
      <c r="DM37" s="103"/>
      <c r="DN37" s="103"/>
      <c r="DO37" s="103">
        <f>DO35+DO36</f>
        <v>0</v>
      </c>
      <c r="DP37" s="103"/>
      <c r="DQ37" s="103"/>
      <c r="DR37" s="103"/>
      <c r="DS37" s="103"/>
      <c r="DT37" s="103">
        <f>DT35+DT36</f>
        <v>0</v>
      </c>
      <c r="DU37" s="103"/>
      <c r="DV37" s="103"/>
      <c r="DW37" s="103"/>
      <c r="DX37" s="103"/>
      <c r="DY37" s="103">
        <f>DY35+DY36</f>
        <v>0</v>
      </c>
      <c r="DZ37" s="103"/>
      <c r="EA37" s="103"/>
      <c r="EB37" s="103"/>
      <c r="EC37" s="103"/>
      <c r="ED37" s="103">
        <f>ED35+ED36</f>
        <v>0</v>
      </c>
      <c r="EE37" s="103"/>
      <c r="EF37" s="103"/>
      <c r="EG37" s="103"/>
      <c r="EH37" s="103"/>
      <c r="EI37" s="103">
        <f>EI35+EI36</f>
        <v>0</v>
      </c>
      <c r="EJ37" s="103"/>
      <c r="EK37" s="103"/>
      <c r="EL37" s="103"/>
      <c r="EM37" s="103"/>
      <c r="EN37" s="103">
        <f>EN35+EN36</f>
        <v>0</v>
      </c>
      <c r="EO37" s="103"/>
      <c r="EP37" s="103"/>
      <c r="EQ37" s="103"/>
      <c r="ER37" s="103"/>
      <c r="ES37" s="103">
        <f>ES35+ES36</f>
        <v>0</v>
      </c>
      <c r="ET37" s="103"/>
      <c r="EU37" s="103"/>
      <c r="EV37" s="103"/>
      <c r="EW37" s="103"/>
    </row>
    <row r="38" spans="1:153" ht="21.75" customHeight="1">
      <c r="A38" s="104" t="s">
        <v>123</v>
      </c>
      <c r="B38" s="104"/>
      <c r="C38" s="104"/>
      <c r="D38" s="105">
        <f>SUM(H4:H34)</f>
        <v>0</v>
      </c>
      <c r="E38" s="105"/>
      <c r="F38" s="105"/>
      <c r="G38" s="105"/>
      <c r="H38" s="105"/>
      <c r="I38" s="105">
        <f>SUM(M4:M34)</f>
        <v>0</v>
      </c>
      <c r="J38" s="105"/>
      <c r="K38" s="105"/>
      <c r="L38" s="105"/>
      <c r="M38" s="105"/>
      <c r="N38" s="105">
        <f>SUM(R4:R34)</f>
        <v>0</v>
      </c>
      <c r="O38" s="105"/>
      <c r="P38" s="105"/>
      <c r="Q38" s="105"/>
      <c r="R38" s="105"/>
      <c r="S38" s="105">
        <f>SUM(W4:W34)</f>
        <v>0</v>
      </c>
      <c r="T38" s="105"/>
      <c r="U38" s="105"/>
      <c r="V38" s="105"/>
      <c r="W38" s="105"/>
      <c r="X38" s="105">
        <f>SUM(AB4:AB34)</f>
        <v>0</v>
      </c>
      <c r="Y38" s="105"/>
      <c r="Z38" s="105"/>
      <c r="AA38" s="105"/>
      <c r="AB38" s="105"/>
      <c r="AC38" s="105">
        <f>SUM(AG4:AG34)</f>
        <v>0</v>
      </c>
      <c r="AD38" s="105"/>
      <c r="AE38" s="105"/>
      <c r="AF38" s="105"/>
      <c r="AG38" s="105"/>
      <c r="AH38" s="105">
        <f>SUM(AL4:AL34)</f>
        <v>0</v>
      </c>
      <c r="AI38" s="105"/>
      <c r="AJ38" s="105"/>
      <c r="AK38" s="105"/>
      <c r="AL38" s="105"/>
      <c r="AM38" s="105">
        <f>SUM(AQ4:AQ34)</f>
        <v>0</v>
      </c>
      <c r="AN38" s="105"/>
      <c r="AO38" s="105"/>
      <c r="AP38" s="105"/>
      <c r="AQ38" s="105"/>
      <c r="AR38" s="105">
        <f>SUM(AV4:AV34)</f>
        <v>0</v>
      </c>
      <c r="AS38" s="105"/>
      <c r="AT38" s="105"/>
      <c r="AU38" s="105"/>
      <c r="AV38" s="105"/>
      <c r="AW38" s="105">
        <f>SUM(BA4:BA34)</f>
        <v>0</v>
      </c>
      <c r="AX38" s="105"/>
      <c r="AY38" s="105"/>
      <c r="AZ38" s="105"/>
      <c r="BA38" s="105"/>
      <c r="BB38" s="105">
        <f>SUM(BF4:BF34)</f>
        <v>0</v>
      </c>
      <c r="BC38" s="105"/>
      <c r="BD38" s="105"/>
      <c r="BE38" s="105"/>
      <c r="BF38" s="105"/>
      <c r="BG38" s="105">
        <f>SUM(BK4:BK34)</f>
        <v>0</v>
      </c>
      <c r="BH38" s="105"/>
      <c r="BI38" s="105"/>
      <c r="BJ38" s="105"/>
      <c r="BK38" s="105"/>
      <c r="BL38" s="105">
        <f>SUM(BP4:BP34)</f>
        <v>0</v>
      </c>
      <c r="BM38" s="105"/>
      <c r="BN38" s="105"/>
      <c r="BO38" s="105"/>
      <c r="BP38" s="105"/>
      <c r="BQ38" s="105">
        <f>SUM(BU4:BU34)</f>
        <v>0</v>
      </c>
      <c r="BR38" s="105"/>
      <c r="BS38" s="105"/>
      <c r="BT38" s="105"/>
      <c r="BU38" s="105"/>
      <c r="BV38" s="105">
        <f>SUM(BZ4:BZ34)</f>
        <v>0</v>
      </c>
      <c r="BW38" s="105"/>
      <c r="BX38" s="105"/>
      <c r="BY38" s="105"/>
      <c r="BZ38" s="105"/>
      <c r="CA38" s="105">
        <f>SUM(CE4:CE34)</f>
        <v>0</v>
      </c>
      <c r="CB38" s="105"/>
      <c r="CC38" s="105"/>
      <c r="CD38" s="105"/>
      <c r="CE38" s="105"/>
      <c r="CF38" s="105">
        <f>SUM(CJ4:CJ34)</f>
        <v>0</v>
      </c>
      <c r="CG38" s="105"/>
      <c r="CH38" s="105"/>
      <c r="CI38" s="105"/>
      <c r="CJ38" s="105"/>
      <c r="CK38" s="105">
        <f>SUM(CO4:CO34)</f>
        <v>0</v>
      </c>
      <c r="CL38" s="105"/>
      <c r="CM38" s="105"/>
      <c r="CN38" s="105"/>
      <c r="CO38" s="105"/>
      <c r="CP38" s="105">
        <f>SUM(CT4:CT34)</f>
        <v>0</v>
      </c>
      <c r="CQ38" s="105"/>
      <c r="CR38" s="105"/>
      <c r="CS38" s="105"/>
      <c r="CT38" s="105"/>
      <c r="CU38" s="105">
        <f>SUM(CY4:CY34)</f>
        <v>0</v>
      </c>
      <c r="CV38" s="105"/>
      <c r="CW38" s="105"/>
      <c r="CX38" s="105"/>
      <c r="CY38" s="105"/>
      <c r="CZ38" s="105">
        <f>SUM(DD4:DD34)</f>
        <v>0</v>
      </c>
      <c r="DA38" s="105"/>
      <c r="DB38" s="105"/>
      <c r="DC38" s="105"/>
      <c r="DD38" s="105"/>
      <c r="DE38" s="105">
        <f>SUM(DI4:DI34)</f>
        <v>0</v>
      </c>
      <c r="DF38" s="105"/>
      <c r="DG38" s="105"/>
      <c r="DH38" s="105"/>
      <c r="DI38" s="105"/>
      <c r="DJ38" s="105">
        <f>SUM(DN4:DN34)</f>
        <v>0</v>
      </c>
      <c r="DK38" s="105"/>
      <c r="DL38" s="105"/>
      <c r="DM38" s="105"/>
      <c r="DN38" s="105"/>
      <c r="DO38" s="105">
        <f>SUM(DS4:DS34)</f>
        <v>0</v>
      </c>
      <c r="DP38" s="105"/>
      <c r="DQ38" s="105"/>
      <c r="DR38" s="105"/>
      <c r="DS38" s="105"/>
      <c r="DT38" s="105">
        <f>SUM(DX4:DX34)</f>
        <v>0</v>
      </c>
      <c r="DU38" s="105"/>
      <c r="DV38" s="105"/>
      <c r="DW38" s="105"/>
      <c r="DX38" s="105"/>
      <c r="DY38" s="105">
        <f>SUM(EC4:EC34)</f>
        <v>0</v>
      </c>
      <c r="DZ38" s="105"/>
      <c r="EA38" s="105"/>
      <c r="EB38" s="105"/>
      <c r="EC38" s="105"/>
      <c r="ED38" s="105">
        <f>SUM(EH4:EH34)</f>
        <v>0</v>
      </c>
      <c r="EE38" s="105"/>
      <c r="EF38" s="105"/>
      <c r="EG38" s="105"/>
      <c r="EH38" s="105"/>
      <c r="EI38" s="105">
        <f>SUM(EM4:EM34)</f>
        <v>0</v>
      </c>
      <c r="EJ38" s="105"/>
      <c r="EK38" s="105"/>
      <c r="EL38" s="105"/>
      <c r="EM38" s="105"/>
      <c r="EN38" s="105">
        <f>SUM(ER4:ER34)</f>
        <v>0</v>
      </c>
      <c r="EO38" s="105"/>
      <c r="EP38" s="105"/>
      <c r="EQ38" s="105"/>
      <c r="ER38" s="105"/>
      <c r="ES38" s="105">
        <f>SUM(EW4:EW34)</f>
        <v>0</v>
      </c>
      <c r="ET38" s="105"/>
      <c r="EU38" s="105"/>
      <c r="EV38" s="105"/>
      <c r="EW38" s="105"/>
    </row>
    <row r="39" spans="1:153" ht="21.75" customHeight="1">
      <c r="A39" s="106" t="s">
        <v>105</v>
      </c>
      <c r="B39" s="106"/>
      <c r="C39" s="106"/>
      <c r="D39" s="107">
        <f>COUNTIF(D4:D34,"有給")</f>
        <v>0</v>
      </c>
      <c r="E39" s="107"/>
      <c r="F39" s="107"/>
      <c r="G39" s="107"/>
      <c r="H39" s="107"/>
      <c r="I39" s="107">
        <f>COUNTIF(I4:I34,"有給")</f>
        <v>0</v>
      </c>
      <c r="J39" s="107"/>
      <c r="K39" s="107"/>
      <c r="L39" s="107"/>
      <c r="M39" s="107"/>
      <c r="N39" s="107">
        <f>COUNTIF(N4:N34,"有給")</f>
        <v>0</v>
      </c>
      <c r="O39" s="107"/>
      <c r="P39" s="107"/>
      <c r="Q39" s="107"/>
      <c r="R39" s="107"/>
      <c r="S39" s="107">
        <f>COUNTIF(S4:S34,"有給")</f>
        <v>0</v>
      </c>
      <c r="T39" s="107"/>
      <c r="U39" s="107"/>
      <c r="V39" s="107"/>
      <c r="W39" s="107"/>
      <c r="X39" s="107">
        <f>COUNTIF(X4:X34,"有給")</f>
        <v>0</v>
      </c>
      <c r="Y39" s="107"/>
      <c r="Z39" s="107"/>
      <c r="AA39" s="107"/>
      <c r="AB39" s="107"/>
      <c r="AC39" s="107">
        <f>COUNTIF(AC4:AC34,"有給")</f>
        <v>0</v>
      </c>
      <c r="AD39" s="107"/>
      <c r="AE39" s="107"/>
      <c r="AF39" s="107"/>
      <c r="AG39" s="107"/>
      <c r="AH39" s="107">
        <f>COUNTIF(AH4:AH34,"有給")</f>
        <v>0</v>
      </c>
      <c r="AI39" s="107"/>
      <c r="AJ39" s="107"/>
      <c r="AK39" s="107"/>
      <c r="AL39" s="107"/>
      <c r="AM39" s="107">
        <f>COUNTIF(AM4:AM34,"有給")</f>
        <v>0</v>
      </c>
      <c r="AN39" s="107"/>
      <c r="AO39" s="107"/>
      <c r="AP39" s="107"/>
      <c r="AQ39" s="107"/>
      <c r="AR39" s="107">
        <f>COUNTIF(AR4:AR34,"有給")</f>
        <v>0</v>
      </c>
      <c r="AS39" s="107"/>
      <c r="AT39" s="107"/>
      <c r="AU39" s="107"/>
      <c r="AV39" s="107"/>
      <c r="AW39" s="107">
        <f>COUNTIF(AW4:AW34,"有給")</f>
        <v>0</v>
      </c>
      <c r="AX39" s="107"/>
      <c r="AY39" s="107"/>
      <c r="AZ39" s="107"/>
      <c r="BA39" s="107"/>
      <c r="BB39" s="107">
        <f>COUNTIF(BB4:BB34,"有給")</f>
        <v>0</v>
      </c>
      <c r="BC39" s="107"/>
      <c r="BD39" s="107"/>
      <c r="BE39" s="107"/>
      <c r="BF39" s="107"/>
      <c r="BG39" s="107">
        <f>COUNTIF(BG4:BG34,"有給")</f>
        <v>0</v>
      </c>
      <c r="BH39" s="107"/>
      <c r="BI39" s="107"/>
      <c r="BJ39" s="107"/>
      <c r="BK39" s="107"/>
      <c r="BL39" s="107">
        <f>COUNTIF(BL4:BL34,"有給")</f>
        <v>0</v>
      </c>
      <c r="BM39" s="107"/>
      <c r="BN39" s="107"/>
      <c r="BO39" s="107"/>
      <c r="BP39" s="107"/>
      <c r="BQ39" s="107">
        <f>COUNTIF(BQ4:BQ34,"有給")</f>
        <v>0</v>
      </c>
      <c r="BR39" s="107"/>
      <c r="BS39" s="107"/>
      <c r="BT39" s="107"/>
      <c r="BU39" s="107"/>
      <c r="BV39" s="107">
        <f>COUNTIF(BV4:BV34,"有給")</f>
        <v>0</v>
      </c>
      <c r="BW39" s="107"/>
      <c r="BX39" s="107"/>
      <c r="BY39" s="107"/>
      <c r="BZ39" s="107"/>
      <c r="CA39" s="107">
        <f>COUNTIF(CA4:CA34,"有給")</f>
        <v>0</v>
      </c>
      <c r="CB39" s="107"/>
      <c r="CC39" s="107"/>
      <c r="CD39" s="107"/>
      <c r="CE39" s="107"/>
      <c r="CF39" s="107">
        <f>COUNTIF(CF4:CF34,"有給")</f>
        <v>0</v>
      </c>
      <c r="CG39" s="107"/>
      <c r="CH39" s="107"/>
      <c r="CI39" s="107"/>
      <c r="CJ39" s="107"/>
      <c r="CK39" s="107">
        <f>COUNTIF(CK4:CK34,"有給")</f>
        <v>0</v>
      </c>
      <c r="CL39" s="107"/>
      <c r="CM39" s="107"/>
      <c r="CN39" s="107"/>
      <c r="CO39" s="107"/>
      <c r="CP39" s="107">
        <f>COUNTIF(CP4:CP34,"有給")</f>
        <v>0</v>
      </c>
      <c r="CQ39" s="107"/>
      <c r="CR39" s="107"/>
      <c r="CS39" s="107"/>
      <c r="CT39" s="107"/>
      <c r="CU39" s="107">
        <f>COUNTIF(CU4:CU34,"有給")</f>
        <v>0</v>
      </c>
      <c r="CV39" s="107"/>
      <c r="CW39" s="107"/>
      <c r="CX39" s="107"/>
      <c r="CY39" s="107"/>
      <c r="CZ39" s="107">
        <f>COUNTIF(CZ4:CZ34,"有給")</f>
        <v>0</v>
      </c>
      <c r="DA39" s="107"/>
      <c r="DB39" s="107"/>
      <c r="DC39" s="107"/>
      <c r="DD39" s="107"/>
      <c r="DE39" s="107">
        <f>COUNTIF(DE4:DE34,"有給")</f>
        <v>0</v>
      </c>
      <c r="DF39" s="107"/>
      <c r="DG39" s="107"/>
      <c r="DH39" s="107"/>
      <c r="DI39" s="107"/>
      <c r="DJ39" s="107">
        <f>COUNTIF(DJ4:DJ34,"有給")</f>
        <v>0</v>
      </c>
      <c r="DK39" s="107"/>
      <c r="DL39" s="107"/>
      <c r="DM39" s="107"/>
      <c r="DN39" s="107"/>
      <c r="DO39" s="107">
        <f>COUNTIF(DO4:DO34,"有給")</f>
        <v>0</v>
      </c>
      <c r="DP39" s="107"/>
      <c r="DQ39" s="107"/>
      <c r="DR39" s="107"/>
      <c r="DS39" s="107"/>
      <c r="DT39" s="107">
        <f>COUNTIF(DT4:DT34,"有給")</f>
        <v>0</v>
      </c>
      <c r="DU39" s="107"/>
      <c r="DV39" s="107"/>
      <c r="DW39" s="107"/>
      <c r="DX39" s="107"/>
      <c r="DY39" s="107">
        <f>COUNTIF(DY4:DY34,"有給")</f>
        <v>0</v>
      </c>
      <c r="DZ39" s="107"/>
      <c r="EA39" s="107"/>
      <c r="EB39" s="107"/>
      <c r="EC39" s="107"/>
      <c r="ED39" s="107">
        <f>COUNTIF(ED4:ED34,"有給")</f>
        <v>0</v>
      </c>
      <c r="EE39" s="107"/>
      <c r="EF39" s="107"/>
      <c r="EG39" s="107"/>
      <c r="EH39" s="107"/>
      <c r="EI39" s="107">
        <f>COUNTIF(EI4:EI34,"有給")</f>
        <v>0</v>
      </c>
      <c r="EJ39" s="107"/>
      <c r="EK39" s="107"/>
      <c r="EL39" s="107"/>
      <c r="EM39" s="107"/>
      <c r="EN39" s="107">
        <f>COUNTIF(EN4:EN34,"有給")</f>
        <v>0</v>
      </c>
      <c r="EO39" s="107"/>
      <c r="EP39" s="107"/>
      <c r="EQ39" s="107"/>
      <c r="ER39" s="107"/>
      <c r="ES39" s="107">
        <f>COUNTIF(ES4:ES34,"有給")</f>
        <v>0</v>
      </c>
      <c r="ET39" s="107"/>
      <c r="EU39" s="107"/>
      <c r="EV39" s="107"/>
      <c r="EW39" s="107"/>
    </row>
    <row r="40" spans="1:153" ht="21.75" customHeight="1">
      <c r="A40" s="108" t="s">
        <v>106</v>
      </c>
      <c r="B40" s="108"/>
      <c r="C40" s="108"/>
      <c r="D40" s="109">
        <f>COUNTIF(D4:D34,"休業")</f>
        <v>0</v>
      </c>
      <c r="E40" s="109"/>
      <c r="F40" s="109"/>
      <c r="G40" s="109"/>
      <c r="H40" s="109"/>
      <c r="I40" s="109">
        <f>COUNTIF(I4:I34,"休業")</f>
        <v>0</v>
      </c>
      <c r="J40" s="109"/>
      <c r="K40" s="109"/>
      <c r="L40" s="109"/>
      <c r="M40" s="109"/>
      <c r="N40" s="109">
        <f>COUNTIF(N4:N34,"休業")</f>
        <v>0</v>
      </c>
      <c r="O40" s="109"/>
      <c r="P40" s="109"/>
      <c r="Q40" s="109"/>
      <c r="R40" s="109"/>
      <c r="S40" s="109">
        <f>COUNTIF(S4:S34,"休業")</f>
        <v>0</v>
      </c>
      <c r="T40" s="109"/>
      <c r="U40" s="109"/>
      <c r="V40" s="109"/>
      <c r="W40" s="109"/>
      <c r="X40" s="109">
        <f>COUNTIF(X4:X34,"休業")</f>
        <v>0</v>
      </c>
      <c r="Y40" s="109"/>
      <c r="Z40" s="109"/>
      <c r="AA40" s="109"/>
      <c r="AB40" s="109"/>
      <c r="AC40" s="109">
        <f>COUNTIF(AC4:AC34,"休業")</f>
        <v>0</v>
      </c>
      <c r="AD40" s="109"/>
      <c r="AE40" s="109"/>
      <c r="AF40" s="109"/>
      <c r="AG40" s="109"/>
      <c r="AH40" s="109">
        <f>COUNTIF(AH4:AH34,"休業")</f>
        <v>0</v>
      </c>
      <c r="AI40" s="109"/>
      <c r="AJ40" s="109"/>
      <c r="AK40" s="109"/>
      <c r="AL40" s="109"/>
      <c r="AM40" s="109">
        <f>COUNTIF(AM4:AM34,"休業")</f>
        <v>0</v>
      </c>
      <c r="AN40" s="109"/>
      <c r="AO40" s="109"/>
      <c r="AP40" s="109"/>
      <c r="AQ40" s="109"/>
      <c r="AR40" s="109">
        <f>COUNTIF(AR4:AR34,"休業")</f>
        <v>0</v>
      </c>
      <c r="AS40" s="109"/>
      <c r="AT40" s="109"/>
      <c r="AU40" s="109"/>
      <c r="AV40" s="109"/>
      <c r="AW40" s="109">
        <f>COUNTIF(AW4:AW34,"休業")</f>
        <v>0</v>
      </c>
      <c r="AX40" s="109"/>
      <c r="AY40" s="109"/>
      <c r="AZ40" s="109"/>
      <c r="BA40" s="109"/>
      <c r="BB40" s="109">
        <f>COUNTIF(BB4:BB34,"休業")</f>
        <v>0</v>
      </c>
      <c r="BC40" s="109"/>
      <c r="BD40" s="109"/>
      <c r="BE40" s="109"/>
      <c r="BF40" s="109"/>
      <c r="BG40" s="109">
        <f>COUNTIF(BG4:BG34,"休業")</f>
        <v>0</v>
      </c>
      <c r="BH40" s="109"/>
      <c r="BI40" s="109"/>
      <c r="BJ40" s="109"/>
      <c r="BK40" s="109"/>
      <c r="BL40" s="109">
        <f>COUNTIF(BL4:BL34,"休業")</f>
        <v>0</v>
      </c>
      <c r="BM40" s="109"/>
      <c r="BN40" s="109"/>
      <c r="BO40" s="109"/>
      <c r="BP40" s="109"/>
      <c r="BQ40" s="109">
        <f>COUNTIF(BQ4:BQ34,"休業")</f>
        <v>0</v>
      </c>
      <c r="BR40" s="109"/>
      <c r="BS40" s="109"/>
      <c r="BT40" s="109"/>
      <c r="BU40" s="109"/>
      <c r="BV40" s="109">
        <f>COUNTIF(BV4:BV34,"休業")</f>
        <v>0</v>
      </c>
      <c r="BW40" s="109"/>
      <c r="BX40" s="109"/>
      <c r="BY40" s="109"/>
      <c r="BZ40" s="109"/>
      <c r="CA40" s="109">
        <f>COUNTIF(CA4:CA34,"休業")</f>
        <v>0</v>
      </c>
      <c r="CB40" s="109"/>
      <c r="CC40" s="109"/>
      <c r="CD40" s="109"/>
      <c r="CE40" s="109"/>
      <c r="CF40" s="109">
        <f>COUNTIF(CF4:CF34,"休業")</f>
        <v>0</v>
      </c>
      <c r="CG40" s="109"/>
      <c r="CH40" s="109"/>
      <c r="CI40" s="109"/>
      <c r="CJ40" s="109"/>
      <c r="CK40" s="109">
        <f>COUNTIF(CK4:CK34,"休業")</f>
        <v>0</v>
      </c>
      <c r="CL40" s="109"/>
      <c r="CM40" s="109"/>
      <c r="CN40" s="109"/>
      <c r="CO40" s="109"/>
      <c r="CP40" s="109">
        <f>COUNTIF(CP4:CP34,"休業")</f>
        <v>0</v>
      </c>
      <c r="CQ40" s="109"/>
      <c r="CR40" s="109"/>
      <c r="CS40" s="109"/>
      <c r="CT40" s="109"/>
      <c r="CU40" s="109">
        <f>COUNTIF(CU4:CU34,"休業")</f>
        <v>0</v>
      </c>
      <c r="CV40" s="109"/>
      <c r="CW40" s="109"/>
      <c r="CX40" s="109"/>
      <c r="CY40" s="109"/>
      <c r="CZ40" s="109">
        <f>COUNTIF(CZ4:CZ34,"休業")</f>
        <v>0</v>
      </c>
      <c r="DA40" s="109"/>
      <c r="DB40" s="109"/>
      <c r="DC40" s="109"/>
      <c r="DD40" s="109"/>
      <c r="DE40" s="109">
        <f>COUNTIF(DE4:DE34,"休業")</f>
        <v>0</v>
      </c>
      <c r="DF40" s="109"/>
      <c r="DG40" s="109"/>
      <c r="DH40" s="109"/>
      <c r="DI40" s="109"/>
      <c r="DJ40" s="109">
        <f>COUNTIF(DJ4:DJ34,"休業")</f>
        <v>0</v>
      </c>
      <c r="DK40" s="109"/>
      <c r="DL40" s="109"/>
      <c r="DM40" s="109"/>
      <c r="DN40" s="109"/>
      <c r="DO40" s="109">
        <f>COUNTIF(DO4:DO34,"休業")</f>
        <v>0</v>
      </c>
      <c r="DP40" s="109"/>
      <c r="DQ40" s="109"/>
      <c r="DR40" s="109"/>
      <c r="DS40" s="109"/>
      <c r="DT40" s="109">
        <f>COUNTIF(DT4:DT34,"休業")</f>
        <v>0</v>
      </c>
      <c r="DU40" s="109"/>
      <c r="DV40" s="109"/>
      <c r="DW40" s="109"/>
      <c r="DX40" s="109"/>
      <c r="DY40" s="109">
        <f>COUNTIF(DY4:DY34,"休業")</f>
        <v>0</v>
      </c>
      <c r="DZ40" s="109"/>
      <c r="EA40" s="109"/>
      <c r="EB40" s="109"/>
      <c r="EC40" s="109"/>
      <c r="ED40" s="109">
        <f>COUNTIF(ED4:ED34,"休業")</f>
        <v>0</v>
      </c>
      <c r="EE40" s="109"/>
      <c r="EF40" s="109"/>
      <c r="EG40" s="109"/>
      <c r="EH40" s="109"/>
      <c r="EI40" s="109">
        <f>COUNTIF(EI4:EI34,"休業")</f>
        <v>0</v>
      </c>
      <c r="EJ40" s="109"/>
      <c r="EK40" s="109"/>
      <c r="EL40" s="109"/>
      <c r="EM40" s="109"/>
      <c r="EN40" s="109">
        <f>COUNTIF(EN4:EN34,"休業")</f>
        <v>0</v>
      </c>
      <c r="EO40" s="109"/>
      <c r="EP40" s="109"/>
      <c r="EQ40" s="109"/>
      <c r="ER40" s="109"/>
      <c r="ES40" s="109">
        <f>COUNTIF(ES4:ES34,"休業")</f>
        <v>0</v>
      </c>
      <c r="ET40" s="109"/>
      <c r="EU40" s="109"/>
      <c r="EV40" s="109"/>
      <c r="EW40" s="109"/>
    </row>
  </sheetData>
  <mergeCells count="217">
    <mergeCell ref="ED40:EH40"/>
    <mergeCell ref="EI40:EM40"/>
    <mergeCell ref="EN40:ER40"/>
    <mergeCell ref="ES40:EW40"/>
    <mergeCell ref="CK40:CO40"/>
    <mergeCell ref="CP40:CT40"/>
    <mergeCell ref="CU40:CY40"/>
    <mergeCell ref="CZ40:DD40"/>
    <mergeCell ref="DE40:DI40"/>
    <mergeCell ref="DJ40:DN40"/>
    <mergeCell ref="DO40:DS40"/>
    <mergeCell ref="DT40:DX40"/>
    <mergeCell ref="DY40:EC40"/>
    <mergeCell ref="DT39:DX39"/>
    <mergeCell ref="DY39:EC39"/>
    <mergeCell ref="ED39:EH39"/>
    <mergeCell ref="EI39:EM39"/>
    <mergeCell ref="EN39:ER39"/>
    <mergeCell ref="ES39:EW39"/>
    <mergeCell ref="A40:C40"/>
    <mergeCell ref="D40:H40"/>
    <mergeCell ref="I40:M40"/>
    <mergeCell ref="N40:R40"/>
    <mergeCell ref="S40:W40"/>
    <mergeCell ref="X40:AB40"/>
    <mergeCell ref="AC40:AG40"/>
    <mergeCell ref="AH40:AL40"/>
    <mergeCell ref="AM40:AQ40"/>
    <mergeCell ref="AR40:AV40"/>
    <mergeCell ref="AW40:BA40"/>
    <mergeCell ref="BB40:BF40"/>
    <mergeCell ref="BG40:BK40"/>
    <mergeCell ref="BL40:BP40"/>
    <mergeCell ref="BQ40:BU40"/>
    <mergeCell ref="BV40:BZ40"/>
    <mergeCell ref="CA40:CE40"/>
    <mergeCell ref="CF40:CJ40"/>
    <mergeCell ref="CA39:CE39"/>
    <mergeCell ref="CF39:CJ39"/>
    <mergeCell ref="CK39:CO39"/>
    <mergeCell ref="CP39:CT39"/>
    <mergeCell ref="CU39:CY39"/>
    <mergeCell ref="CZ39:DD39"/>
    <mergeCell ref="DE39:DI39"/>
    <mergeCell ref="DJ39:DN39"/>
    <mergeCell ref="DO39:DS39"/>
    <mergeCell ref="DJ38:DN38"/>
    <mergeCell ref="DO38:DS38"/>
    <mergeCell ref="DT38:DX38"/>
    <mergeCell ref="DY38:EC38"/>
    <mergeCell ref="ED38:EH38"/>
    <mergeCell ref="EI38:EM38"/>
    <mergeCell ref="EN38:ER38"/>
    <mergeCell ref="ES38:EW38"/>
    <mergeCell ref="A39:C39"/>
    <mergeCell ref="D39:H39"/>
    <mergeCell ref="I39:M39"/>
    <mergeCell ref="N39:R39"/>
    <mergeCell ref="S39:W39"/>
    <mergeCell ref="X39:AB39"/>
    <mergeCell ref="AC39:AG39"/>
    <mergeCell ref="AH39:AL39"/>
    <mergeCell ref="AM39:AQ39"/>
    <mergeCell ref="AR39:AV39"/>
    <mergeCell ref="AW39:BA39"/>
    <mergeCell ref="BB39:BF39"/>
    <mergeCell ref="BG39:BK39"/>
    <mergeCell ref="BL39:BP39"/>
    <mergeCell ref="BQ39:BU39"/>
    <mergeCell ref="BV39:BZ39"/>
    <mergeCell ref="ES37:EW37"/>
    <mergeCell ref="A38:C38"/>
    <mergeCell ref="D38:H38"/>
    <mergeCell ref="I38:M38"/>
    <mergeCell ref="N38:R38"/>
    <mergeCell ref="S38:W38"/>
    <mergeCell ref="X38:AB38"/>
    <mergeCell ref="AC38:AG38"/>
    <mergeCell ref="AH38:AL38"/>
    <mergeCell ref="AM38:AQ38"/>
    <mergeCell ref="AR38:AV38"/>
    <mergeCell ref="AW38:BA38"/>
    <mergeCell ref="BB38:BF38"/>
    <mergeCell ref="BG38:BK38"/>
    <mergeCell ref="BL38:BP38"/>
    <mergeCell ref="BQ38:BU38"/>
    <mergeCell ref="BV38:BZ38"/>
    <mergeCell ref="CA38:CE38"/>
    <mergeCell ref="CF38:CJ38"/>
    <mergeCell ref="CK38:CO38"/>
    <mergeCell ref="CP38:CT38"/>
    <mergeCell ref="CU38:CY38"/>
    <mergeCell ref="CZ38:DD38"/>
    <mergeCell ref="DE38:DI38"/>
    <mergeCell ref="CZ37:DD37"/>
    <mergeCell ref="DE37:DI37"/>
    <mergeCell ref="DJ37:DN37"/>
    <mergeCell ref="DO37:DS37"/>
    <mergeCell ref="DT37:DX37"/>
    <mergeCell ref="DY37:EC37"/>
    <mergeCell ref="ED37:EH37"/>
    <mergeCell ref="EI37:EM37"/>
    <mergeCell ref="EN37:ER37"/>
    <mergeCell ref="EI36:EM36"/>
    <mergeCell ref="EN36:ER36"/>
    <mergeCell ref="ES36:EW36"/>
    <mergeCell ref="A37:C37"/>
    <mergeCell ref="D37:H37"/>
    <mergeCell ref="I37:M37"/>
    <mergeCell ref="N37:R37"/>
    <mergeCell ref="S37:W37"/>
    <mergeCell ref="X37:AB37"/>
    <mergeCell ref="AC37:AG37"/>
    <mergeCell ref="AH37:AL37"/>
    <mergeCell ref="AM37:AQ37"/>
    <mergeCell ref="AR37:AV37"/>
    <mergeCell ref="AW37:BA37"/>
    <mergeCell ref="BB37:BF37"/>
    <mergeCell ref="BG37:BK37"/>
    <mergeCell ref="BL37:BP37"/>
    <mergeCell ref="BQ37:BU37"/>
    <mergeCell ref="BV37:BZ37"/>
    <mergeCell ref="CA37:CE37"/>
    <mergeCell ref="CF37:CJ37"/>
    <mergeCell ref="CK37:CO37"/>
    <mergeCell ref="CP37:CT37"/>
    <mergeCell ref="CU37:CY37"/>
    <mergeCell ref="CP36:CT36"/>
    <mergeCell ref="CU36:CY36"/>
    <mergeCell ref="CZ36:DD36"/>
    <mergeCell ref="DE36:DI36"/>
    <mergeCell ref="DJ36:DN36"/>
    <mergeCell ref="DO36:DS36"/>
    <mergeCell ref="DT36:DX36"/>
    <mergeCell ref="DY36:EC36"/>
    <mergeCell ref="ED36:EH36"/>
    <mergeCell ref="DY35:EC35"/>
    <mergeCell ref="ED35:EH35"/>
    <mergeCell ref="EI35:EM35"/>
    <mergeCell ref="EN35:ER35"/>
    <mergeCell ref="ES35:EW35"/>
    <mergeCell ref="A36:C36"/>
    <mergeCell ref="D36:H36"/>
    <mergeCell ref="I36:M36"/>
    <mergeCell ref="N36:R36"/>
    <mergeCell ref="S36:W36"/>
    <mergeCell ref="X36:AB36"/>
    <mergeCell ref="AC36:AG36"/>
    <mergeCell ref="AH36:AL36"/>
    <mergeCell ref="AM36:AQ36"/>
    <mergeCell ref="AR36:AV36"/>
    <mergeCell ref="AW36:BA36"/>
    <mergeCell ref="BB36:BF36"/>
    <mergeCell ref="BG36:BK36"/>
    <mergeCell ref="BL36:BP36"/>
    <mergeCell ref="BQ36:BU36"/>
    <mergeCell ref="BV36:BZ36"/>
    <mergeCell ref="CA36:CE36"/>
    <mergeCell ref="CF36:CJ36"/>
    <mergeCell ref="CK36:CO36"/>
    <mergeCell ref="CF35:CJ35"/>
    <mergeCell ref="CK35:CO35"/>
    <mergeCell ref="CP35:CT35"/>
    <mergeCell ref="CU35:CY35"/>
    <mergeCell ref="CZ35:DD35"/>
    <mergeCell ref="DE35:DI35"/>
    <mergeCell ref="DJ35:DN35"/>
    <mergeCell ref="DO35:DS35"/>
    <mergeCell ref="DT35:DX35"/>
    <mergeCell ref="DO2:DS2"/>
    <mergeCell ref="DT2:DX2"/>
    <mergeCell ref="DY2:EC2"/>
    <mergeCell ref="ED2:EH2"/>
    <mergeCell ref="EI2:EM2"/>
    <mergeCell ref="EN2:ER2"/>
    <mergeCell ref="ES2:EW2"/>
    <mergeCell ref="A35:C35"/>
    <mergeCell ref="D35:H35"/>
    <mergeCell ref="I35:M35"/>
    <mergeCell ref="N35:R35"/>
    <mergeCell ref="S35:W35"/>
    <mergeCell ref="X35:AB35"/>
    <mergeCell ref="AC35:AG35"/>
    <mergeCell ref="AH35:AL35"/>
    <mergeCell ref="AM35:AQ35"/>
    <mergeCell ref="AR35:AV35"/>
    <mergeCell ref="AW35:BA35"/>
    <mergeCell ref="BB35:BF35"/>
    <mergeCell ref="BG35:BK35"/>
    <mergeCell ref="BL35:BP35"/>
    <mergeCell ref="BQ35:BU35"/>
    <mergeCell ref="BV35:BZ35"/>
    <mergeCell ref="CA35:CE35"/>
    <mergeCell ref="A1:EW1"/>
    <mergeCell ref="D2:H2"/>
    <mergeCell ref="I2:M2"/>
    <mergeCell ref="N2:R2"/>
    <mergeCell ref="S2:W2"/>
    <mergeCell ref="X2:AB2"/>
    <mergeCell ref="AC2:AG2"/>
    <mergeCell ref="AH2:AL2"/>
    <mergeCell ref="AM2:AQ2"/>
    <mergeCell ref="AR2:AV2"/>
    <mergeCell ref="AW2:BA2"/>
    <mergeCell ref="BB2:BF2"/>
    <mergeCell ref="BG2:BK2"/>
    <mergeCell ref="BL2:BP2"/>
    <mergeCell ref="BQ2:BU2"/>
    <mergeCell ref="BV2:BZ2"/>
    <mergeCell ref="CA2:CE2"/>
    <mergeCell ref="CF2:CJ2"/>
    <mergeCell ref="CK2:CO2"/>
    <mergeCell ref="CP2:CT2"/>
    <mergeCell ref="CU2:CY2"/>
    <mergeCell ref="CZ2:DD2"/>
    <mergeCell ref="DE2:DI2"/>
    <mergeCell ref="DJ2:DN2"/>
  </mergeCells>
  <phoneticPr fontId="51"/>
  <conditionalFormatting sqref="A4:EW34">
    <cfRule type="expression" dxfId="379" priority="63">
      <formula>$B4="日"</formula>
    </cfRule>
    <cfRule type="expression" dxfId="378" priority="64">
      <formula>$B4="土"</formula>
    </cfRule>
    <cfRule type="expression" dxfId="377" priority="62">
      <formula>AND($A4&lt;&gt;"",ISNUMBER(MATCH(DATE(対象年度,8,$A4),祝日リスト,0)))</formula>
    </cfRule>
  </conditionalFormatting>
  <conditionalFormatting sqref="D4:D34">
    <cfRule type="expression" dxfId="376" priority="3">
      <formula>$D4="休業"</formula>
    </cfRule>
    <cfRule type="expression" dxfId="375" priority="2">
      <formula>$D4="有給"</formula>
    </cfRule>
  </conditionalFormatting>
  <conditionalFormatting sqref="I4:I34">
    <cfRule type="expression" dxfId="374" priority="4">
      <formula>$I4="有給"</formula>
    </cfRule>
    <cfRule type="expression" dxfId="373" priority="5">
      <formula>$I4="休業"</formula>
    </cfRule>
  </conditionalFormatting>
  <conditionalFormatting sqref="N4:N34">
    <cfRule type="expression" dxfId="372" priority="6">
      <formula>$N4="有給"</formula>
    </cfRule>
    <cfRule type="expression" dxfId="371" priority="7">
      <formula>$N4="休業"</formula>
    </cfRule>
  </conditionalFormatting>
  <conditionalFormatting sqref="S4:S34">
    <cfRule type="expression" dxfId="370" priority="8">
      <formula>$S4="有給"</formula>
    </cfRule>
    <cfRule type="expression" dxfId="369" priority="9">
      <formula>$S4="休業"</formula>
    </cfRule>
  </conditionalFormatting>
  <conditionalFormatting sqref="X4:X34">
    <cfRule type="expression" dxfId="368" priority="10">
      <formula>$X4="有給"</formula>
    </cfRule>
    <cfRule type="expression" dxfId="367" priority="11">
      <formula>$X4="休業"</formula>
    </cfRule>
  </conditionalFormatting>
  <conditionalFormatting sqref="AC4:AC34">
    <cfRule type="expression" dxfId="366" priority="12">
      <formula>$AC4="有給"</formula>
    </cfRule>
    <cfRule type="expression" dxfId="365" priority="13">
      <formula>$AC4="休業"</formula>
    </cfRule>
  </conditionalFormatting>
  <conditionalFormatting sqref="AH4:AH34">
    <cfRule type="expression" dxfId="364" priority="14">
      <formula>$AH4="有給"</formula>
    </cfRule>
    <cfRule type="expression" dxfId="363" priority="15">
      <formula>$AH4="休業"</formula>
    </cfRule>
  </conditionalFormatting>
  <conditionalFormatting sqref="AM4:AM34">
    <cfRule type="expression" dxfId="362" priority="17">
      <formula>$AM4="休業"</formula>
    </cfRule>
    <cfRule type="expression" dxfId="361" priority="16">
      <formula>$AM4="有給"</formula>
    </cfRule>
  </conditionalFormatting>
  <conditionalFormatting sqref="AR4:AR34">
    <cfRule type="expression" dxfId="360" priority="19">
      <formula>$AR4="休業"</formula>
    </cfRule>
    <cfRule type="expression" dxfId="359" priority="18">
      <formula>$AR4="有給"</formula>
    </cfRule>
  </conditionalFormatting>
  <conditionalFormatting sqref="AW4:AW34">
    <cfRule type="expression" dxfId="358" priority="20">
      <formula>$AW4="有給"</formula>
    </cfRule>
    <cfRule type="expression" dxfId="357" priority="21">
      <formula>$AW4="休業"</formula>
    </cfRule>
  </conditionalFormatting>
  <conditionalFormatting sqref="BB4:BB34">
    <cfRule type="expression" dxfId="356" priority="22">
      <formula>$BB4="有給"</formula>
    </cfRule>
    <cfRule type="expression" dxfId="355" priority="23">
      <formula>$BB4="休業"</formula>
    </cfRule>
  </conditionalFormatting>
  <conditionalFormatting sqref="BG4:BG34">
    <cfRule type="expression" dxfId="354" priority="24">
      <formula>$BG4="有給"</formula>
    </cfRule>
    <cfRule type="expression" dxfId="353" priority="25">
      <formula>$BG4="休業"</formula>
    </cfRule>
  </conditionalFormatting>
  <conditionalFormatting sqref="BL4:BL34">
    <cfRule type="expression" dxfId="352" priority="26">
      <formula>$BL4="有給"</formula>
    </cfRule>
    <cfRule type="expression" dxfId="351" priority="27">
      <formula>$BL4="休業"</formula>
    </cfRule>
  </conditionalFormatting>
  <conditionalFormatting sqref="BQ4:BQ34">
    <cfRule type="expression" dxfId="350" priority="28">
      <formula>$BQ4="有給"</formula>
    </cfRule>
    <cfRule type="expression" dxfId="349" priority="29">
      <formula>$BQ4="休業"</formula>
    </cfRule>
  </conditionalFormatting>
  <conditionalFormatting sqref="BV4:BV34">
    <cfRule type="expression" dxfId="348" priority="30">
      <formula>$BV4="有給"</formula>
    </cfRule>
    <cfRule type="expression" dxfId="347" priority="31">
      <formula>$BV4="休業"</formula>
    </cfRule>
  </conditionalFormatting>
  <conditionalFormatting sqref="CA4:CA34">
    <cfRule type="expression" dxfId="346" priority="33">
      <formula>$CA4="休業"</formula>
    </cfRule>
    <cfRule type="expression" dxfId="345" priority="32">
      <formula>$CA4="有給"</formula>
    </cfRule>
  </conditionalFormatting>
  <conditionalFormatting sqref="CF4:CF34">
    <cfRule type="expression" dxfId="344" priority="34">
      <formula>$CF4="有給"</formula>
    </cfRule>
    <cfRule type="expression" dxfId="343" priority="35">
      <formula>$CF4="休業"</formula>
    </cfRule>
  </conditionalFormatting>
  <conditionalFormatting sqref="CK4:CK34">
    <cfRule type="expression" dxfId="342" priority="37">
      <formula>$CK4="休業"</formula>
    </cfRule>
    <cfRule type="expression" dxfId="341" priority="36">
      <formula>$CK4="有給"</formula>
    </cfRule>
  </conditionalFormatting>
  <conditionalFormatting sqref="CP4:CP34">
    <cfRule type="expression" dxfId="340" priority="38">
      <formula>$CP4="有給"</formula>
    </cfRule>
    <cfRule type="expression" dxfId="339" priority="39">
      <formula>$CP4="休業"</formula>
    </cfRule>
  </conditionalFormatting>
  <conditionalFormatting sqref="CU4:CU34">
    <cfRule type="expression" dxfId="338" priority="40">
      <formula>$CU4="有給"</formula>
    </cfRule>
    <cfRule type="expression" dxfId="337" priority="41">
      <formula>$CU4="休業"</formula>
    </cfRule>
  </conditionalFormatting>
  <conditionalFormatting sqref="CZ4:CZ34">
    <cfRule type="expression" dxfId="336" priority="42">
      <formula>$CZ4="有給"</formula>
    </cfRule>
    <cfRule type="expression" dxfId="335" priority="43">
      <formula>$CZ4="休業"</formula>
    </cfRule>
  </conditionalFormatting>
  <conditionalFormatting sqref="DE4:DE34">
    <cfRule type="expression" dxfId="334" priority="44">
      <formula>$DE4="有給"</formula>
    </cfRule>
    <cfRule type="expression" dxfId="333" priority="45">
      <formula>$DE4="休業"</formula>
    </cfRule>
  </conditionalFormatting>
  <conditionalFormatting sqref="DJ4:DJ34">
    <cfRule type="expression" dxfId="332" priority="46">
      <formula>$DJ4="有給"</formula>
    </cfRule>
    <cfRule type="expression" dxfId="331" priority="47">
      <formula>$DJ4="休業"</formula>
    </cfRule>
  </conditionalFormatting>
  <conditionalFormatting sqref="DO4:DO34">
    <cfRule type="expression" dxfId="330" priority="48">
      <formula>$DO4="有給"</formula>
    </cfRule>
    <cfRule type="expression" dxfId="329" priority="49">
      <formula>$DO4="休業"</formula>
    </cfRule>
  </conditionalFormatting>
  <conditionalFormatting sqref="DT4:DT34">
    <cfRule type="expression" dxfId="328" priority="51">
      <formula>$DT4="休業"</formula>
    </cfRule>
    <cfRule type="expression" dxfId="327" priority="50">
      <formula>$DT4="有給"</formula>
    </cfRule>
  </conditionalFormatting>
  <conditionalFormatting sqref="DY4:DY34">
    <cfRule type="expression" dxfId="326" priority="52">
      <formula>$DY4="有給"</formula>
    </cfRule>
    <cfRule type="expression" dxfId="325" priority="53">
      <formula>$DY4="休業"</formula>
    </cfRule>
  </conditionalFormatting>
  <conditionalFormatting sqref="ED4:ED34">
    <cfRule type="expression" dxfId="324" priority="54">
      <formula>$ED4="有給"</formula>
    </cfRule>
    <cfRule type="expression" dxfId="323" priority="55">
      <formula>$ED4="休業"</formula>
    </cfRule>
  </conditionalFormatting>
  <conditionalFormatting sqref="EI4:EI34">
    <cfRule type="expression" dxfId="322" priority="56">
      <formula>$EI4="有給"</formula>
    </cfRule>
    <cfRule type="expression" dxfId="321" priority="57">
      <formula>$EI4="休業"</formula>
    </cfRule>
  </conditionalFormatting>
  <conditionalFormatting sqref="EN4:EN34">
    <cfRule type="expression" dxfId="320" priority="58">
      <formula>$EN4="有給"</formula>
    </cfRule>
    <cfRule type="expression" dxfId="319" priority="59">
      <formula>$EN4="休業"</formula>
    </cfRule>
  </conditionalFormatting>
  <conditionalFormatting sqref="ES4:ES34">
    <cfRule type="expression" dxfId="318" priority="60">
      <formula>$ES4="有給"</formula>
    </cfRule>
    <cfRule type="expression" dxfId="317" priority="61">
      <formula>$ES4="休業"</formula>
    </cfRule>
  </conditionalFormatting>
  <pageMargins left="0.31496062992125984" right="0.31496062992125984" top="0.98425196850393704" bottom="0.98425196850393704" header="0.51181102362204722" footer="0.51181102362204722"/>
  <pageSetup paperSize="8" scale="14" orientation="landscape" horizontalDpi="300" verticalDpi="300" r:id="rId1"/>
  <headerFooter>
    <oddFooter>&amp;C&amp;"ＭＳ Ｐゴシック,標準"制作：有限会社水越設備&amp;Rsp-mizukoshi.jp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00000000-0002-0000-0B00-000000000000}">
          <x14:formula1>
            <xm:f>現場マスタ!$C$4:$C$43</xm:f>
          </x14:formula1>
          <x14:formula2>
            <xm:f>0</xm:f>
          </x14:formula2>
          <xm:sqref>D4:E34 I4:J34 N4:O34 S4:T34 X4:Y34 AC4:AD34 AH4:AI34 AM4:AN34 AR4:AS34 AW4:AX34 BB4:BC34 BG4:BH34 BL4:BM34 BQ4:BR34 BV4:BW34 CA4:CB34 CF4:CG34 CK4:CL34 CP4:CQ34 CU4:CV34 CZ4:DA34 DE4:DF34 DJ4:DK34 DO4:DP34 DT4:DU34 DY4:DZ34 ED4:EE34 EI4:EJ34 EN4:EO34 ES4:ET34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EW40"/>
  <sheetViews>
    <sheetView zoomScaleNormal="100" workbookViewId="0">
      <pane xSplit="3" ySplit="3" topLeftCell="D4" activePane="bottomRight" state="frozen"/>
      <selection sqref="A1:EW1"/>
      <selection pane="topRight" sqref="A1:EW1"/>
      <selection pane="bottomLeft" sqref="A1:EW1"/>
      <selection pane="bottomRight" sqref="A1:EW1"/>
    </sheetView>
  </sheetViews>
  <sheetFormatPr defaultColWidth="8.7109375" defaultRowHeight="15"/>
  <cols>
    <col min="1" max="1" width="5" customWidth="1"/>
    <col min="2" max="3" width="4" customWidth="1"/>
    <col min="4" max="5" width="13" customWidth="1"/>
    <col min="6" max="7" width="6" customWidth="1"/>
    <col min="8" max="8" width="7" customWidth="1"/>
    <col min="9" max="10" width="13" customWidth="1"/>
    <col min="11" max="12" width="6" customWidth="1"/>
    <col min="13" max="13" width="7" customWidth="1"/>
    <col min="14" max="15" width="13" customWidth="1"/>
    <col min="16" max="17" width="6" customWidth="1"/>
    <col min="18" max="18" width="7" customWidth="1"/>
    <col min="19" max="20" width="13" customWidth="1"/>
    <col min="21" max="22" width="6" customWidth="1"/>
    <col min="23" max="23" width="7" customWidth="1"/>
    <col min="24" max="25" width="13" customWidth="1"/>
    <col min="26" max="27" width="6" customWidth="1"/>
    <col min="28" max="28" width="7" customWidth="1"/>
    <col min="29" max="30" width="13" customWidth="1"/>
    <col min="31" max="32" width="6" customWidth="1"/>
    <col min="33" max="33" width="7" customWidth="1"/>
    <col min="34" max="35" width="13" customWidth="1"/>
    <col min="36" max="37" width="6" customWidth="1"/>
    <col min="38" max="38" width="7" customWidth="1"/>
    <col min="39" max="40" width="13" customWidth="1"/>
    <col min="41" max="42" width="6" customWidth="1"/>
    <col min="43" max="43" width="7" customWidth="1"/>
    <col min="44" max="45" width="13" customWidth="1"/>
    <col min="46" max="47" width="6" customWidth="1"/>
    <col min="48" max="48" width="7" customWidth="1"/>
    <col min="49" max="50" width="13" customWidth="1"/>
    <col min="51" max="52" width="6" customWidth="1"/>
    <col min="53" max="53" width="7" customWidth="1"/>
    <col min="54" max="55" width="13" customWidth="1"/>
    <col min="56" max="57" width="6" customWidth="1"/>
    <col min="58" max="58" width="7" customWidth="1"/>
    <col min="59" max="60" width="13" customWidth="1"/>
    <col min="61" max="62" width="6" customWidth="1"/>
    <col min="63" max="63" width="7" customWidth="1"/>
    <col min="64" max="65" width="13" customWidth="1"/>
    <col min="66" max="67" width="6" customWidth="1"/>
    <col min="68" max="68" width="7" customWidth="1"/>
    <col min="69" max="70" width="13" customWidth="1"/>
    <col min="71" max="72" width="6" customWidth="1"/>
    <col min="73" max="73" width="7" customWidth="1"/>
    <col min="74" max="75" width="13" customWidth="1"/>
    <col min="76" max="77" width="6" customWidth="1"/>
    <col min="78" max="78" width="7" customWidth="1"/>
    <col min="79" max="80" width="13" customWidth="1"/>
    <col min="81" max="82" width="6" customWidth="1"/>
    <col min="83" max="83" width="7" customWidth="1"/>
    <col min="84" max="85" width="13" customWidth="1"/>
    <col min="86" max="87" width="6" customWidth="1"/>
    <col min="88" max="88" width="7" customWidth="1"/>
    <col min="89" max="90" width="13" customWidth="1"/>
    <col min="91" max="92" width="6" customWidth="1"/>
    <col min="93" max="93" width="7" customWidth="1"/>
    <col min="94" max="95" width="13" customWidth="1"/>
    <col min="96" max="97" width="6" customWidth="1"/>
    <col min="98" max="98" width="7" customWidth="1"/>
    <col min="99" max="100" width="13" customWidth="1"/>
    <col min="101" max="102" width="6" customWidth="1"/>
    <col min="103" max="103" width="7" customWidth="1"/>
    <col min="104" max="105" width="13" customWidth="1"/>
    <col min="106" max="107" width="6" customWidth="1"/>
    <col min="108" max="108" width="7" customWidth="1"/>
    <col min="109" max="110" width="13" customWidth="1"/>
    <col min="111" max="112" width="6" customWidth="1"/>
    <col min="113" max="113" width="7" customWidth="1"/>
    <col min="114" max="115" width="13" customWidth="1"/>
    <col min="116" max="117" width="6" customWidth="1"/>
    <col min="118" max="118" width="7" customWidth="1"/>
    <col min="119" max="120" width="13" customWidth="1"/>
    <col min="121" max="122" width="6" customWidth="1"/>
    <col min="123" max="123" width="7" customWidth="1"/>
    <col min="124" max="125" width="13" customWidth="1"/>
    <col min="126" max="127" width="6" customWidth="1"/>
    <col min="128" max="128" width="7" customWidth="1"/>
    <col min="129" max="130" width="13" customWidth="1"/>
    <col min="131" max="132" width="6" customWidth="1"/>
    <col min="133" max="133" width="7" customWidth="1"/>
    <col min="134" max="135" width="13" customWidth="1"/>
    <col min="136" max="137" width="6" customWidth="1"/>
    <col min="138" max="138" width="7" customWidth="1"/>
    <col min="139" max="140" width="13" customWidth="1"/>
    <col min="141" max="142" width="6" customWidth="1"/>
    <col min="143" max="143" width="7" customWidth="1"/>
    <col min="144" max="145" width="13" customWidth="1"/>
    <col min="146" max="147" width="6" customWidth="1"/>
    <col min="148" max="148" width="7" customWidth="1"/>
    <col min="149" max="150" width="13" customWidth="1"/>
    <col min="151" max="152" width="6" customWidth="1"/>
    <col min="153" max="153" width="7" customWidth="1"/>
  </cols>
  <sheetData>
    <row r="1" spans="1:153" ht="36" customHeight="1">
      <c r="A1" s="96" t="str">
        <f>" "&amp;対象年度&amp;"年 9月分　出面表　"</f>
        <v xml:space="preserve"> 2026年 9月分　出面表　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Y1" s="96"/>
      <c r="BZ1" s="96"/>
      <c r="CA1" s="96"/>
      <c r="CB1" s="96"/>
      <c r="CC1" s="96"/>
      <c r="CD1" s="96"/>
      <c r="CE1" s="96"/>
      <c r="CF1" s="96"/>
      <c r="CG1" s="96"/>
      <c r="CH1" s="96"/>
      <c r="CI1" s="96"/>
      <c r="CJ1" s="96"/>
      <c r="CK1" s="96"/>
      <c r="CL1" s="96"/>
      <c r="CM1" s="96"/>
      <c r="CN1" s="96"/>
      <c r="CO1" s="96"/>
      <c r="CP1" s="96"/>
      <c r="CQ1" s="96"/>
      <c r="CR1" s="96"/>
      <c r="CS1" s="96"/>
      <c r="CT1" s="96"/>
      <c r="CU1" s="96"/>
      <c r="CV1" s="96"/>
      <c r="CW1" s="96"/>
      <c r="CX1" s="96"/>
      <c r="CY1" s="96"/>
      <c r="CZ1" s="96"/>
      <c r="DA1" s="96"/>
      <c r="DB1" s="96"/>
      <c r="DC1" s="96"/>
      <c r="DD1" s="96"/>
      <c r="DE1" s="96"/>
      <c r="DF1" s="96"/>
      <c r="DG1" s="96"/>
      <c r="DH1" s="96"/>
      <c r="DI1" s="96"/>
      <c r="DJ1" s="96"/>
      <c r="DK1" s="96"/>
      <c r="DL1" s="96"/>
      <c r="DM1" s="96"/>
      <c r="DN1" s="96"/>
      <c r="DO1" s="96"/>
      <c r="DP1" s="96"/>
      <c r="DQ1" s="96"/>
      <c r="DR1" s="96"/>
      <c r="DS1" s="96"/>
      <c r="DT1" s="96"/>
      <c r="DU1" s="96"/>
      <c r="DV1" s="96"/>
      <c r="DW1" s="96"/>
      <c r="DX1" s="96"/>
      <c r="DY1" s="96"/>
      <c r="DZ1" s="96"/>
      <c r="EA1" s="96"/>
      <c r="EB1" s="96"/>
      <c r="EC1" s="96"/>
      <c r="ED1" s="96"/>
      <c r="EE1" s="96"/>
      <c r="EF1" s="96"/>
      <c r="EG1" s="96"/>
      <c r="EH1" s="96"/>
      <c r="EI1" s="96"/>
      <c r="EJ1" s="96"/>
      <c r="EK1" s="96"/>
      <c r="EL1" s="96"/>
      <c r="EM1" s="96"/>
      <c r="EN1" s="96"/>
      <c r="EO1" s="96"/>
      <c r="EP1" s="96"/>
      <c r="EQ1" s="96"/>
      <c r="ER1" s="96"/>
      <c r="ES1" s="96"/>
      <c r="ET1" s="96"/>
      <c r="EU1" s="96"/>
      <c r="EV1" s="96"/>
      <c r="EW1" s="96"/>
    </row>
    <row r="2" spans="1:153" ht="25.5" customHeight="1">
      <c r="A2" s="21"/>
      <c r="B2" s="21"/>
      <c r="C2" s="21"/>
      <c r="D2" s="97" t="str">
        <f>IFERROR(IF(従業員マスタ!$C$4="","",対象年度&amp;"年9月　"&amp;従業員マスタ!$C$4),"")</f>
        <v>2026年9月　代表 太郎</v>
      </c>
      <c r="E2" s="97"/>
      <c r="F2" s="97"/>
      <c r="G2" s="97"/>
      <c r="H2" s="97"/>
      <c r="I2" s="97" t="str">
        <f>IFERROR(IF(従業員マスタ!$C$5="","",対象年度&amp;"年9月　"&amp;従業員マスタ!$C$5),"")</f>
        <v>2026年9月　専務 次郎</v>
      </c>
      <c r="J2" s="97"/>
      <c r="K2" s="97"/>
      <c r="L2" s="97"/>
      <c r="M2" s="97"/>
      <c r="N2" s="97" t="str">
        <f>IFERROR(IF(従業員マスタ!$C$6="","",対象年度&amp;"年9月　"&amp;従業員マスタ!$C$6),"")</f>
        <v>2026年9月　山田 一郎</v>
      </c>
      <c r="O2" s="97"/>
      <c r="P2" s="97"/>
      <c r="Q2" s="97"/>
      <c r="R2" s="97"/>
      <c r="S2" s="97" t="str">
        <f>IFERROR(IF(従業員マスタ!$C$7="","",対象年度&amp;"年9月　"&amp;従業員マスタ!$C$7),"")</f>
        <v>2026年9月　鈴木 二郎</v>
      </c>
      <c r="T2" s="97"/>
      <c r="U2" s="97"/>
      <c r="V2" s="97"/>
      <c r="W2" s="97"/>
      <c r="X2" s="97" t="str">
        <f>IFERROR(IF(従業員マスタ!$C$8="","",対象年度&amp;"年9月　"&amp;従業員マスタ!$C$8),"")</f>
        <v>2026年9月　佐藤 三郎</v>
      </c>
      <c r="Y2" s="97"/>
      <c r="Z2" s="97"/>
      <c r="AA2" s="97"/>
      <c r="AB2" s="97"/>
      <c r="AC2" s="97" t="str">
        <f>IFERROR(IF(従業員マスタ!$C$9="","",対象年度&amp;"年9月　"&amp;従業員マスタ!$C$9),"")</f>
        <v>2026年9月　高橋 四郎</v>
      </c>
      <c r="AD2" s="97"/>
      <c r="AE2" s="97"/>
      <c r="AF2" s="97"/>
      <c r="AG2" s="97"/>
      <c r="AH2" s="97" t="str">
        <f>IFERROR(IF(従業員マスタ!$C$10="","",対象年度&amp;"年9月　"&amp;従業員マスタ!$C$10),"")</f>
        <v>2026年9月　田中 五郎</v>
      </c>
      <c r="AI2" s="97"/>
      <c r="AJ2" s="97"/>
      <c r="AK2" s="97"/>
      <c r="AL2" s="97"/>
      <c r="AM2" s="97" t="str">
        <f>IFERROR(IF(従業員マスタ!$C$11="","",対象年度&amp;"年9月　"&amp;従業員マスタ!$C$11),"")</f>
        <v>2026年9月　伊藤 六郎</v>
      </c>
      <c r="AN2" s="97"/>
      <c r="AO2" s="97"/>
      <c r="AP2" s="97"/>
      <c r="AQ2" s="97"/>
      <c r="AR2" s="97" t="str">
        <f>IFERROR(IF(従業員マスタ!$C$12="","",対象年度&amp;"年9月　"&amp;従業員マスタ!$C$12),"")</f>
        <v>2026年9月　渡辺 七郎</v>
      </c>
      <c r="AS2" s="97"/>
      <c r="AT2" s="97"/>
      <c r="AU2" s="97"/>
      <c r="AV2" s="97"/>
      <c r="AW2" s="97" t="str">
        <f>IFERROR(IF(従業員マスタ!$C$13="","",対象年度&amp;"年9月　"&amp;従業員マスタ!$C$13),"")</f>
        <v>2026年9月　中村 八郎</v>
      </c>
      <c r="AX2" s="97"/>
      <c r="AY2" s="97"/>
      <c r="AZ2" s="97"/>
      <c r="BA2" s="97"/>
      <c r="BB2" s="97" t="str">
        <f>IFERROR(IF(従業員マスタ!$C$14="","",対象年度&amp;"年9月　"&amp;従業員マスタ!$C$14),"")</f>
        <v>2026年9月　小林 九郎</v>
      </c>
      <c r="BC2" s="97"/>
      <c r="BD2" s="97"/>
      <c r="BE2" s="97"/>
      <c r="BF2" s="97"/>
      <c r="BG2" s="97" t="str">
        <f>IFERROR(IF(従業員マスタ!$C$15="","",対象年度&amp;"年9月　"&amp;従業員マスタ!$C$15),"")</f>
        <v>2026年9月　加藤 十郎</v>
      </c>
      <c r="BH2" s="97"/>
      <c r="BI2" s="97"/>
      <c r="BJ2" s="97"/>
      <c r="BK2" s="97"/>
      <c r="BL2" s="97" t="str">
        <f>IFERROR(IF(従業員マスタ!$C$16="","",対象年度&amp;"年9月　"&amp;従業員マスタ!$C$16),"")</f>
        <v/>
      </c>
      <c r="BM2" s="97"/>
      <c r="BN2" s="97"/>
      <c r="BO2" s="97"/>
      <c r="BP2" s="97"/>
      <c r="BQ2" s="97" t="str">
        <f>IFERROR(IF(従業員マスタ!$C$17="","",対象年度&amp;"年9月　"&amp;従業員マスタ!$C$17),"")</f>
        <v/>
      </c>
      <c r="BR2" s="97"/>
      <c r="BS2" s="97"/>
      <c r="BT2" s="97"/>
      <c r="BU2" s="97"/>
      <c r="BV2" s="97" t="str">
        <f>IFERROR(IF(従業員マスタ!$C$18="","",対象年度&amp;"年9月　"&amp;従業員マスタ!$C$18),"")</f>
        <v/>
      </c>
      <c r="BW2" s="97"/>
      <c r="BX2" s="97"/>
      <c r="BY2" s="97"/>
      <c r="BZ2" s="97"/>
      <c r="CA2" s="97" t="str">
        <f>IFERROR(IF(従業員マスタ!$C$19="","",対象年度&amp;"年9月　"&amp;従業員マスタ!$C$19),"")</f>
        <v/>
      </c>
      <c r="CB2" s="97"/>
      <c r="CC2" s="97"/>
      <c r="CD2" s="97"/>
      <c r="CE2" s="97"/>
      <c r="CF2" s="97" t="str">
        <f>IFERROR(IF(従業員マスタ!$C$20="","",対象年度&amp;"年9月　"&amp;従業員マスタ!$C$20),"")</f>
        <v/>
      </c>
      <c r="CG2" s="97"/>
      <c r="CH2" s="97"/>
      <c r="CI2" s="97"/>
      <c r="CJ2" s="97"/>
      <c r="CK2" s="97" t="str">
        <f>IFERROR(IF(従業員マスタ!$C$21="","",対象年度&amp;"年9月　"&amp;従業員マスタ!$C$21),"")</f>
        <v/>
      </c>
      <c r="CL2" s="97"/>
      <c r="CM2" s="97"/>
      <c r="CN2" s="97"/>
      <c r="CO2" s="97"/>
      <c r="CP2" s="97" t="str">
        <f>IFERROR(IF(従業員マスタ!$C$22="","",対象年度&amp;"年9月　"&amp;従業員マスタ!$C$22),"")</f>
        <v/>
      </c>
      <c r="CQ2" s="97"/>
      <c r="CR2" s="97"/>
      <c r="CS2" s="97"/>
      <c r="CT2" s="97"/>
      <c r="CU2" s="97" t="str">
        <f>IFERROR(IF(従業員マスタ!$C$23="","",対象年度&amp;"年9月　"&amp;従業員マスタ!$C$23),"")</f>
        <v/>
      </c>
      <c r="CV2" s="97"/>
      <c r="CW2" s="97"/>
      <c r="CX2" s="97"/>
      <c r="CY2" s="97"/>
      <c r="CZ2" s="97" t="str">
        <f>IFERROR(IF(従業員マスタ!$C$24="","",対象年度&amp;"年9月　"&amp;従業員マスタ!$C$24),"")</f>
        <v/>
      </c>
      <c r="DA2" s="97"/>
      <c r="DB2" s="97"/>
      <c r="DC2" s="97"/>
      <c r="DD2" s="97"/>
      <c r="DE2" s="97" t="str">
        <f>IFERROR(IF(従業員マスタ!$C$25="","",対象年度&amp;"年9月　"&amp;従業員マスタ!$C$25),"")</f>
        <v/>
      </c>
      <c r="DF2" s="97"/>
      <c r="DG2" s="97"/>
      <c r="DH2" s="97"/>
      <c r="DI2" s="97"/>
      <c r="DJ2" s="97" t="str">
        <f>IFERROR(IF(従業員マスタ!$C$26="","",対象年度&amp;"年9月　"&amp;従業員マスタ!$C$26),"")</f>
        <v/>
      </c>
      <c r="DK2" s="97"/>
      <c r="DL2" s="97"/>
      <c r="DM2" s="97"/>
      <c r="DN2" s="97"/>
      <c r="DO2" s="97" t="str">
        <f>IFERROR(IF(従業員マスタ!$C$27="","",対象年度&amp;"年9月　"&amp;従業員マスタ!$C$27),"")</f>
        <v/>
      </c>
      <c r="DP2" s="97"/>
      <c r="DQ2" s="97"/>
      <c r="DR2" s="97"/>
      <c r="DS2" s="97"/>
      <c r="DT2" s="97" t="str">
        <f>IFERROR(IF(従業員マスタ!$C$28="","",対象年度&amp;"年9月　"&amp;従業員マスタ!$C$28),"")</f>
        <v/>
      </c>
      <c r="DU2" s="97"/>
      <c r="DV2" s="97"/>
      <c r="DW2" s="97"/>
      <c r="DX2" s="97"/>
      <c r="DY2" s="97" t="str">
        <f>IFERROR(IF(従業員マスタ!$C$29="","",対象年度&amp;"年9月　"&amp;従業員マスタ!$C$29),"")</f>
        <v/>
      </c>
      <c r="DZ2" s="97"/>
      <c r="EA2" s="97"/>
      <c r="EB2" s="97"/>
      <c r="EC2" s="97"/>
      <c r="ED2" s="97" t="str">
        <f>IFERROR(IF(従業員マスタ!$C$30="","",対象年度&amp;"年9月　"&amp;従業員マスタ!$C$30),"")</f>
        <v/>
      </c>
      <c r="EE2" s="97"/>
      <c r="EF2" s="97"/>
      <c r="EG2" s="97"/>
      <c r="EH2" s="97"/>
      <c r="EI2" s="97" t="str">
        <f>IFERROR(IF(従業員マスタ!$C$31="","",対象年度&amp;"年9月　"&amp;従業員マスタ!$C$31),"")</f>
        <v/>
      </c>
      <c r="EJ2" s="97"/>
      <c r="EK2" s="97"/>
      <c r="EL2" s="97"/>
      <c r="EM2" s="97"/>
      <c r="EN2" s="97" t="str">
        <f>IFERROR(IF(従業員マスタ!$C$32="","",対象年度&amp;"年9月　"&amp;従業員マスタ!$C$32),"")</f>
        <v/>
      </c>
      <c r="EO2" s="97"/>
      <c r="EP2" s="97"/>
      <c r="EQ2" s="97"/>
      <c r="ER2" s="97"/>
      <c r="ES2" s="97" t="str">
        <f>IFERROR(IF(従業員マスタ!$C$33="","",対象年度&amp;"年9月　"&amp;従業員マスタ!$C$33),"")</f>
        <v/>
      </c>
      <c r="ET2" s="97"/>
      <c r="EU2" s="97"/>
      <c r="EV2" s="97"/>
      <c r="EW2" s="97"/>
    </row>
    <row r="3" spans="1:153" ht="24" customHeight="1">
      <c r="A3" s="22" t="s">
        <v>108</v>
      </c>
      <c r="B3" s="22" t="s">
        <v>109</v>
      </c>
      <c r="C3" s="22" t="s">
        <v>110</v>
      </c>
      <c r="D3" s="23" t="s">
        <v>111</v>
      </c>
      <c r="E3" s="24" t="s">
        <v>112</v>
      </c>
      <c r="F3" s="22" t="s">
        <v>113</v>
      </c>
      <c r="G3" s="22" t="s">
        <v>114</v>
      </c>
      <c r="H3" s="25" t="s">
        <v>115</v>
      </c>
      <c r="I3" s="23" t="s">
        <v>111</v>
      </c>
      <c r="J3" s="24" t="s">
        <v>112</v>
      </c>
      <c r="K3" s="22" t="s">
        <v>113</v>
      </c>
      <c r="L3" s="22" t="s">
        <v>114</v>
      </c>
      <c r="M3" s="25" t="s">
        <v>115</v>
      </c>
      <c r="N3" s="23" t="s">
        <v>111</v>
      </c>
      <c r="O3" s="24" t="s">
        <v>112</v>
      </c>
      <c r="P3" s="22" t="s">
        <v>113</v>
      </c>
      <c r="Q3" s="22" t="s">
        <v>114</v>
      </c>
      <c r="R3" s="25" t="s">
        <v>115</v>
      </c>
      <c r="S3" s="23" t="s">
        <v>111</v>
      </c>
      <c r="T3" s="24" t="s">
        <v>112</v>
      </c>
      <c r="U3" s="22" t="s">
        <v>113</v>
      </c>
      <c r="V3" s="22" t="s">
        <v>114</v>
      </c>
      <c r="W3" s="25" t="s">
        <v>115</v>
      </c>
      <c r="X3" s="23" t="s">
        <v>111</v>
      </c>
      <c r="Y3" s="24" t="s">
        <v>112</v>
      </c>
      <c r="Z3" s="22" t="s">
        <v>113</v>
      </c>
      <c r="AA3" s="22" t="s">
        <v>114</v>
      </c>
      <c r="AB3" s="25" t="s">
        <v>115</v>
      </c>
      <c r="AC3" s="23" t="s">
        <v>111</v>
      </c>
      <c r="AD3" s="24" t="s">
        <v>112</v>
      </c>
      <c r="AE3" s="22" t="s">
        <v>113</v>
      </c>
      <c r="AF3" s="22" t="s">
        <v>114</v>
      </c>
      <c r="AG3" s="25" t="s">
        <v>115</v>
      </c>
      <c r="AH3" s="23" t="s">
        <v>111</v>
      </c>
      <c r="AI3" s="24" t="s">
        <v>112</v>
      </c>
      <c r="AJ3" s="22" t="s">
        <v>113</v>
      </c>
      <c r="AK3" s="22" t="s">
        <v>114</v>
      </c>
      <c r="AL3" s="25" t="s">
        <v>115</v>
      </c>
      <c r="AM3" s="23" t="s">
        <v>111</v>
      </c>
      <c r="AN3" s="24" t="s">
        <v>112</v>
      </c>
      <c r="AO3" s="22" t="s">
        <v>113</v>
      </c>
      <c r="AP3" s="22" t="s">
        <v>114</v>
      </c>
      <c r="AQ3" s="25" t="s">
        <v>115</v>
      </c>
      <c r="AR3" s="23" t="s">
        <v>111</v>
      </c>
      <c r="AS3" s="24" t="s">
        <v>112</v>
      </c>
      <c r="AT3" s="22" t="s">
        <v>113</v>
      </c>
      <c r="AU3" s="22" t="s">
        <v>114</v>
      </c>
      <c r="AV3" s="25" t="s">
        <v>115</v>
      </c>
      <c r="AW3" s="23" t="s">
        <v>111</v>
      </c>
      <c r="AX3" s="24" t="s">
        <v>112</v>
      </c>
      <c r="AY3" s="22" t="s">
        <v>113</v>
      </c>
      <c r="AZ3" s="22" t="s">
        <v>114</v>
      </c>
      <c r="BA3" s="25" t="s">
        <v>115</v>
      </c>
      <c r="BB3" s="23" t="s">
        <v>111</v>
      </c>
      <c r="BC3" s="24" t="s">
        <v>112</v>
      </c>
      <c r="BD3" s="22" t="s">
        <v>113</v>
      </c>
      <c r="BE3" s="22" t="s">
        <v>114</v>
      </c>
      <c r="BF3" s="25" t="s">
        <v>115</v>
      </c>
      <c r="BG3" s="23" t="s">
        <v>111</v>
      </c>
      <c r="BH3" s="24" t="s">
        <v>112</v>
      </c>
      <c r="BI3" s="22" t="s">
        <v>113</v>
      </c>
      <c r="BJ3" s="22" t="s">
        <v>114</v>
      </c>
      <c r="BK3" s="25" t="s">
        <v>115</v>
      </c>
      <c r="BL3" s="23" t="s">
        <v>111</v>
      </c>
      <c r="BM3" s="24" t="s">
        <v>112</v>
      </c>
      <c r="BN3" s="22" t="s">
        <v>113</v>
      </c>
      <c r="BO3" s="22" t="s">
        <v>114</v>
      </c>
      <c r="BP3" s="25" t="s">
        <v>115</v>
      </c>
      <c r="BQ3" s="23" t="s">
        <v>111</v>
      </c>
      <c r="BR3" s="24" t="s">
        <v>112</v>
      </c>
      <c r="BS3" s="22" t="s">
        <v>113</v>
      </c>
      <c r="BT3" s="22" t="s">
        <v>114</v>
      </c>
      <c r="BU3" s="25" t="s">
        <v>115</v>
      </c>
      <c r="BV3" s="23" t="s">
        <v>111</v>
      </c>
      <c r="BW3" s="24" t="s">
        <v>112</v>
      </c>
      <c r="BX3" s="22" t="s">
        <v>113</v>
      </c>
      <c r="BY3" s="22" t="s">
        <v>114</v>
      </c>
      <c r="BZ3" s="25" t="s">
        <v>115</v>
      </c>
      <c r="CA3" s="23" t="s">
        <v>111</v>
      </c>
      <c r="CB3" s="24" t="s">
        <v>112</v>
      </c>
      <c r="CC3" s="22" t="s">
        <v>113</v>
      </c>
      <c r="CD3" s="22" t="s">
        <v>114</v>
      </c>
      <c r="CE3" s="25" t="s">
        <v>115</v>
      </c>
      <c r="CF3" s="23" t="s">
        <v>111</v>
      </c>
      <c r="CG3" s="24" t="s">
        <v>112</v>
      </c>
      <c r="CH3" s="22" t="s">
        <v>113</v>
      </c>
      <c r="CI3" s="22" t="s">
        <v>114</v>
      </c>
      <c r="CJ3" s="25" t="s">
        <v>115</v>
      </c>
      <c r="CK3" s="23" t="s">
        <v>111</v>
      </c>
      <c r="CL3" s="24" t="s">
        <v>112</v>
      </c>
      <c r="CM3" s="22" t="s">
        <v>113</v>
      </c>
      <c r="CN3" s="22" t="s">
        <v>114</v>
      </c>
      <c r="CO3" s="25" t="s">
        <v>115</v>
      </c>
      <c r="CP3" s="23" t="s">
        <v>111</v>
      </c>
      <c r="CQ3" s="24" t="s">
        <v>112</v>
      </c>
      <c r="CR3" s="22" t="s">
        <v>113</v>
      </c>
      <c r="CS3" s="22" t="s">
        <v>114</v>
      </c>
      <c r="CT3" s="25" t="s">
        <v>115</v>
      </c>
      <c r="CU3" s="23" t="s">
        <v>111</v>
      </c>
      <c r="CV3" s="24" t="s">
        <v>112</v>
      </c>
      <c r="CW3" s="22" t="s">
        <v>113</v>
      </c>
      <c r="CX3" s="22" t="s">
        <v>114</v>
      </c>
      <c r="CY3" s="25" t="s">
        <v>115</v>
      </c>
      <c r="CZ3" s="23" t="s">
        <v>111</v>
      </c>
      <c r="DA3" s="24" t="s">
        <v>112</v>
      </c>
      <c r="DB3" s="22" t="s">
        <v>113</v>
      </c>
      <c r="DC3" s="22" t="s">
        <v>114</v>
      </c>
      <c r="DD3" s="25" t="s">
        <v>115</v>
      </c>
      <c r="DE3" s="23" t="s">
        <v>111</v>
      </c>
      <c r="DF3" s="24" t="s">
        <v>112</v>
      </c>
      <c r="DG3" s="22" t="s">
        <v>113</v>
      </c>
      <c r="DH3" s="22" t="s">
        <v>114</v>
      </c>
      <c r="DI3" s="25" t="s">
        <v>115</v>
      </c>
      <c r="DJ3" s="23" t="s">
        <v>111</v>
      </c>
      <c r="DK3" s="24" t="s">
        <v>112</v>
      </c>
      <c r="DL3" s="22" t="s">
        <v>113</v>
      </c>
      <c r="DM3" s="22" t="s">
        <v>114</v>
      </c>
      <c r="DN3" s="25" t="s">
        <v>115</v>
      </c>
      <c r="DO3" s="23" t="s">
        <v>111</v>
      </c>
      <c r="DP3" s="24" t="s">
        <v>112</v>
      </c>
      <c r="DQ3" s="22" t="s">
        <v>113</v>
      </c>
      <c r="DR3" s="22" t="s">
        <v>114</v>
      </c>
      <c r="DS3" s="25" t="s">
        <v>115</v>
      </c>
      <c r="DT3" s="23" t="s">
        <v>111</v>
      </c>
      <c r="DU3" s="24" t="s">
        <v>112</v>
      </c>
      <c r="DV3" s="22" t="s">
        <v>113</v>
      </c>
      <c r="DW3" s="22" t="s">
        <v>114</v>
      </c>
      <c r="DX3" s="25" t="s">
        <v>115</v>
      </c>
      <c r="DY3" s="23" t="s">
        <v>111</v>
      </c>
      <c r="DZ3" s="24" t="s">
        <v>112</v>
      </c>
      <c r="EA3" s="22" t="s">
        <v>113</v>
      </c>
      <c r="EB3" s="22" t="s">
        <v>114</v>
      </c>
      <c r="EC3" s="25" t="s">
        <v>115</v>
      </c>
      <c r="ED3" s="23" t="s">
        <v>111</v>
      </c>
      <c r="EE3" s="24" t="s">
        <v>112</v>
      </c>
      <c r="EF3" s="22" t="s">
        <v>113</v>
      </c>
      <c r="EG3" s="22" t="s">
        <v>114</v>
      </c>
      <c r="EH3" s="25" t="s">
        <v>115</v>
      </c>
      <c r="EI3" s="23" t="s">
        <v>111</v>
      </c>
      <c r="EJ3" s="24" t="s">
        <v>112</v>
      </c>
      <c r="EK3" s="22" t="s">
        <v>113</v>
      </c>
      <c r="EL3" s="22" t="s">
        <v>114</v>
      </c>
      <c r="EM3" s="25" t="s">
        <v>115</v>
      </c>
      <c r="EN3" s="23" t="s">
        <v>111</v>
      </c>
      <c r="EO3" s="24" t="s">
        <v>112</v>
      </c>
      <c r="EP3" s="22" t="s">
        <v>113</v>
      </c>
      <c r="EQ3" s="22" t="s">
        <v>114</v>
      </c>
      <c r="ER3" s="25" t="s">
        <v>115</v>
      </c>
      <c r="ES3" s="23" t="s">
        <v>111</v>
      </c>
      <c r="ET3" s="24" t="s">
        <v>112</v>
      </c>
      <c r="EU3" s="22" t="s">
        <v>113</v>
      </c>
      <c r="EV3" s="22" t="s">
        <v>114</v>
      </c>
      <c r="EW3" s="25" t="s">
        <v>115</v>
      </c>
    </row>
    <row r="4" spans="1:153" ht="19.5" customHeight="1">
      <c r="A4" s="26">
        <f>IF(DAY(DATE(対象年度,9,1))&lt;&gt;1,"",1)</f>
        <v>1</v>
      </c>
      <c r="B4" s="26" t="str">
        <f>IF(DAY(DATE(対象年度,9,1))&lt;&gt;1,"",CHOOSE(WEEKDAY(DATE(対象年度,9,1),2),"月","火","水","木","金","土","日"))</f>
        <v>火</v>
      </c>
      <c r="C4" s="26" t="str">
        <f>IF(DAY(DATE(対象年度,9,1))&lt;&gt;1,"",IF(ISNUMBER(MATCH(DATE(対象年度,9,1),祝日リスト,0)),"祝",""))</f>
        <v/>
      </c>
      <c r="D4" s="27"/>
      <c r="E4" s="28"/>
      <c r="F4" s="29" t="str">
        <f t="shared" ref="F4:F34" si="0">IF(D4="","",IF(ISNUMBER(SEARCH("夜勤",D4)),"",IF(A4="","","○")))</f>
        <v/>
      </c>
      <c r="G4" s="30" t="str">
        <f t="shared" ref="G4:G34" si="1">IF(A4="","",IF(OR(AND(E4&lt;&gt;"",NOT(OR(E4="有給",E4="休業"))),ISNUMBER(SEARCH("夜勤",D4))),"○",""))</f>
        <v/>
      </c>
      <c r="H4" s="31"/>
      <c r="I4" s="27"/>
      <c r="J4" s="28"/>
      <c r="K4" s="29" t="str">
        <f t="shared" ref="K4:K34" si="2">IF(I4="","",IF(ISNUMBER(SEARCH("夜勤",I4)),"",IF(A4="","","○")))</f>
        <v/>
      </c>
      <c r="L4" s="30" t="str">
        <f t="shared" ref="L4:L34" si="3">IF(A4="","",IF(OR(AND(J4&lt;&gt;"",NOT(OR(J4="有給",J4="休業"))),ISNUMBER(SEARCH("夜勤",I4))),"○",""))</f>
        <v/>
      </c>
      <c r="M4" s="31"/>
      <c r="N4" s="27"/>
      <c r="O4" s="28"/>
      <c r="P4" s="29" t="str">
        <f t="shared" ref="P4:P34" si="4">IF(N4="","",IF(ISNUMBER(SEARCH("夜勤",N4)),"",IF(A4="","","○")))</f>
        <v/>
      </c>
      <c r="Q4" s="30" t="str">
        <f t="shared" ref="Q4:Q34" si="5">IF(A4="","",IF(OR(AND(O4&lt;&gt;"",NOT(OR(O4="有給",O4="休業"))),ISNUMBER(SEARCH("夜勤",N4))),"○",""))</f>
        <v/>
      </c>
      <c r="R4" s="31"/>
      <c r="S4" s="27"/>
      <c r="T4" s="28"/>
      <c r="U4" s="29" t="str">
        <f t="shared" ref="U4:U34" si="6">IF(S4="","",IF(ISNUMBER(SEARCH("夜勤",S4)),"",IF(A4="","","○")))</f>
        <v/>
      </c>
      <c r="V4" s="30" t="str">
        <f t="shared" ref="V4:V34" si="7">IF(A4="","",IF(OR(AND(T4&lt;&gt;"",NOT(OR(T4="有給",T4="休業"))),ISNUMBER(SEARCH("夜勤",S4))),"○",""))</f>
        <v/>
      </c>
      <c r="W4" s="31"/>
      <c r="X4" s="27"/>
      <c r="Y4" s="28"/>
      <c r="Z4" s="29" t="str">
        <f t="shared" ref="Z4:Z34" si="8">IF(X4="","",IF(ISNUMBER(SEARCH("夜勤",X4)),"",IF(A4="","","○")))</f>
        <v/>
      </c>
      <c r="AA4" s="30" t="str">
        <f t="shared" ref="AA4:AA34" si="9">IF(A4="","",IF(OR(AND(Y4&lt;&gt;"",NOT(OR(Y4="有給",Y4="休業"))),ISNUMBER(SEARCH("夜勤",X4))),"○",""))</f>
        <v/>
      </c>
      <c r="AB4" s="31"/>
      <c r="AC4" s="27"/>
      <c r="AD4" s="28"/>
      <c r="AE4" s="29" t="str">
        <f t="shared" ref="AE4:AE34" si="10">IF(AC4="","",IF(ISNUMBER(SEARCH("夜勤",AC4)),"",IF(A4="","","○")))</f>
        <v/>
      </c>
      <c r="AF4" s="30" t="str">
        <f t="shared" ref="AF4:AF34" si="11">IF(A4="","",IF(OR(AND(AD4&lt;&gt;"",NOT(OR(AD4="有給",AD4="休業"))),ISNUMBER(SEARCH("夜勤",AC4))),"○",""))</f>
        <v/>
      </c>
      <c r="AG4" s="31"/>
      <c r="AH4" s="27"/>
      <c r="AI4" s="28"/>
      <c r="AJ4" s="29" t="str">
        <f t="shared" ref="AJ4:AJ34" si="12">IF(AH4="","",IF(ISNUMBER(SEARCH("夜勤",AH4)),"",IF(A4="","","○")))</f>
        <v/>
      </c>
      <c r="AK4" s="30" t="str">
        <f t="shared" ref="AK4:AK34" si="13">IF(A4="","",IF(OR(AND(AI4&lt;&gt;"",NOT(OR(AI4="有給",AI4="休業"))),ISNUMBER(SEARCH("夜勤",AH4))),"○",""))</f>
        <v/>
      </c>
      <c r="AL4" s="31"/>
      <c r="AM4" s="27"/>
      <c r="AN4" s="28"/>
      <c r="AO4" s="29" t="str">
        <f t="shared" ref="AO4:AO34" si="14">IF(AM4="","",IF(ISNUMBER(SEARCH("夜勤",AM4)),"",IF(A4="","","○")))</f>
        <v/>
      </c>
      <c r="AP4" s="30" t="str">
        <f t="shared" ref="AP4:AP34" si="15">IF(A4="","",IF(OR(AND(AN4&lt;&gt;"",NOT(OR(AN4="有給",AN4="休業"))),ISNUMBER(SEARCH("夜勤",AM4))),"○",""))</f>
        <v/>
      </c>
      <c r="AQ4" s="31"/>
      <c r="AR4" s="27"/>
      <c r="AS4" s="28"/>
      <c r="AT4" s="29" t="str">
        <f t="shared" ref="AT4:AT34" si="16">IF(AR4="","",IF(ISNUMBER(SEARCH("夜勤",AR4)),"",IF(A4="","","○")))</f>
        <v/>
      </c>
      <c r="AU4" s="30" t="str">
        <f t="shared" ref="AU4:AU34" si="17">IF(A4="","",IF(OR(AND(AS4&lt;&gt;"",NOT(OR(AS4="有給",AS4="休業"))),ISNUMBER(SEARCH("夜勤",AR4))),"○",""))</f>
        <v/>
      </c>
      <c r="AV4" s="31"/>
      <c r="AW4" s="27"/>
      <c r="AX4" s="28"/>
      <c r="AY4" s="29" t="str">
        <f t="shared" ref="AY4:AY34" si="18">IF(AW4="","",IF(ISNUMBER(SEARCH("夜勤",AW4)),"",IF(A4="","","○")))</f>
        <v/>
      </c>
      <c r="AZ4" s="30" t="str">
        <f t="shared" ref="AZ4:AZ34" si="19">IF(A4="","",IF(OR(AND(AX4&lt;&gt;"",NOT(OR(AX4="有給",AX4="休業"))),ISNUMBER(SEARCH("夜勤",AW4))),"○",""))</f>
        <v/>
      </c>
      <c r="BA4" s="31"/>
      <c r="BB4" s="27"/>
      <c r="BC4" s="28"/>
      <c r="BD4" s="29" t="str">
        <f t="shared" ref="BD4:BD34" si="20">IF(BB4="","",IF(ISNUMBER(SEARCH("夜勤",BB4)),"",IF(A4="","","○")))</f>
        <v/>
      </c>
      <c r="BE4" s="30" t="str">
        <f t="shared" ref="BE4:BE34" si="21">IF(A4="","",IF(OR(AND(BC4&lt;&gt;"",NOT(OR(BC4="有給",BC4="休業"))),ISNUMBER(SEARCH("夜勤",BB4))),"○",""))</f>
        <v/>
      </c>
      <c r="BF4" s="31"/>
      <c r="BG4" s="27"/>
      <c r="BH4" s="28"/>
      <c r="BI4" s="29" t="str">
        <f t="shared" ref="BI4:BI34" si="22">IF(BG4="","",IF(ISNUMBER(SEARCH("夜勤",BG4)),"",IF(A4="","","○")))</f>
        <v/>
      </c>
      <c r="BJ4" s="30" t="str">
        <f t="shared" ref="BJ4:BJ34" si="23">IF(A4="","",IF(OR(AND(BH4&lt;&gt;"",NOT(OR(BH4="有給",BH4="休業"))),ISNUMBER(SEARCH("夜勤",BG4))),"○",""))</f>
        <v/>
      </c>
      <c r="BK4" s="31"/>
      <c r="BL4" s="27"/>
      <c r="BM4" s="28"/>
      <c r="BN4" s="29" t="str">
        <f t="shared" ref="BN4:BN34" si="24">IF(BL4="","",IF(ISNUMBER(SEARCH("夜勤",BL4)),"",IF(A4="","","○")))</f>
        <v/>
      </c>
      <c r="BO4" s="30" t="str">
        <f t="shared" ref="BO4:BO34" si="25">IF(A4="","",IF(OR(AND(BM4&lt;&gt;"",NOT(OR(BM4="有給",BM4="休業"))),ISNUMBER(SEARCH("夜勤",BL4))),"○",""))</f>
        <v/>
      </c>
      <c r="BP4" s="31"/>
      <c r="BQ4" s="27"/>
      <c r="BR4" s="28"/>
      <c r="BS4" s="29" t="str">
        <f t="shared" ref="BS4:BS34" si="26">IF(BQ4="","",IF(ISNUMBER(SEARCH("夜勤",BQ4)),"",IF(A4="","","○")))</f>
        <v/>
      </c>
      <c r="BT4" s="30" t="str">
        <f t="shared" ref="BT4:BT34" si="27">IF(A4="","",IF(OR(AND(BR4&lt;&gt;"",NOT(OR(BR4="有給",BR4="休業"))),ISNUMBER(SEARCH("夜勤",BQ4))),"○",""))</f>
        <v/>
      </c>
      <c r="BU4" s="31"/>
      <c r="BV4" s="27"/>
      <c r="BW4" s="28"/>
      <c r="BX4" s="29" t="str">
        <f t="shared" ref="BX4:BX34" si="28">IF(BV4="","",IF(ISNUMBER(SEARCH("夜勤",BV4)),"",IF(A4="","","○")))</f>
        <v/>
      </c>
      <c r="BY4" s="30" t="str">
        <f t="shared" ref="BY4:BY34" si="29">IF(A4="","",IF(OR(AND(BW4&lt;&gt;"",NOT(OR(BW4="有給",BW4="休業"))),ISNUMBER(SEARCH("夜勤",BV4))),"○",""))</f>
        <v/>
      </c>
      <c r="BZ4" s="31"/>
      <c r="CA4" s="27"/>
      <c r="CB4" s="28"/>
      <c r="CC4" s="29" t="str">
        <f t="shared" ref="CC4:CC34" si="30">IF(CA4="","",IF(ISNUMBER(SEARCH("夜勤",CA4)),"",IF(A4="","","○")))</f>
        <v/>
      </c>
      <c r="CD4" s="30" t="str">
        <f t="shared" ref="CD4:CD34" si="31">IF(A4="","",IF(OR(AND(CB4&lt;&gt;"",NOT(OR(CB4="有給",CB4="休業"))),ISNUMBER(SEARCH("夜勤",CA4))),"○",""))</f>
        <v/>
      </c>
      <c r="CE4" s="31"/>
      <c r="CF4" s="27"/>
      <c r="CG4" s="28"/>
      <c r="CH4" s="29" t="str">
        <f t="shared" ref="CH4:CH34" si="32">IF(CF4="","",IF(ISNUMBER(SEARCH("夜勤",CF4)),"",IF(A4="","","○")))</f>
        <v/>
      </c>
      <c r="CI4" s="30" t="str">
        <f t="shared" ref="CI4:CI34" si="33">IF(A4="","",IF(OR(AND(CG4&lt;&gt;"",NOT(OR(CG4="有給",CG4="休業"))),ISNUMBER(SEARCH("夜勤",CF4))),"○",""))</f>
        <v/>
      </c>
      <c r="CJ4" s="31"/>
      <c r="CK4" s="27"/>
      <c r="CL4" s="28"/>
      <c r="CM4" s="29" t="str">
        <f t="shared" ref="CM4:CM34" si="34">IF(CK4="","",IF(ISNUMBER(SEARCH("夜勤",CK4)),"",IF(A4="","","○")))</f>
        <v/>
      </c>
      <c r="CN4" s="30" t="str">
        <f t="shared" ref="CN4:CN34" si="35">IF(A4="","",IF(OR(AND(CL4&lt;&gt;"",NOT(OR(CL4="有給",CL4="休業"))),ISNUMBER(SEARCH("夜勤",CK4))),"○",""))</f>
        <v/>
      </c>
      <c r="CO4" s="31"/>
      <c r="CP4" s="27"/>
      <c r="CQ4" s="28"/>
      <c r="CR4" s="29" t="str">
        <f t="shared" ref="CR4:CR34" si="36">IF(CP4="","",IF(ISNUMBER(SEARCH("夜勤",CP4)),"",IF(A4="","","○")))</f>
        <v/>
      </c>
      <c r="CS4" s="30" t="str">
        <f t="shared" ref="CS4:CS34" si="37">IF(A4="","",IF(OR(AND(CQ4&lt;&gt;"",NOT(OR(CQ4="有給",CQ4="休業"))),ISNUMBER(SEARCH("夜勤",CP4))),"○",""))</f>
        <v/>
      </c>
      <c r="CT4" s="31"/>
      <c r="CU4" s="27"/>
      <c r="CV4" s="28"/>
      <c r="CW4" s="29" t="str">
        <f t="shared" ref="CW4:CW34" si="38">IF(CU4="","",IF(ISNUMBER(SEARCH("夜勤",CU4)),"",IF(A4="","","○")))</f>
        <v/>
      </c>
      <c r="CX4" s="30" t="str">
        <f t="shared" ref="CX4:CX34" si="39">IF(A4="","",IF(OR(AND(CV4&lt;&gt;"",NOT(OR(CV4="有給",CV4="休業"))),ISNUMBER(SEARCH("夜勤",CU4))),"○",""))</f>
        <v/>
      </c>
      <c r="CY4" s="31"/>
      <c r="CZ4" s="27"/>
      <c r="DA4" s="28"/>
      <c r="DB4" s="29" t="str">
        <f t="shared" ref="DB4:DB34" si="40">IF(CZ4="","",IF(ISNUMBER(SEARCH("夜勤",CZ4)),"",IF(A4="","","○")))</f>
        <v/>
      </c>
      <c r="DC4" s="30" t="str">
        <f t="shared" ref="DC4:DC34" si="41">IF(A4="","",IF(OR(AND(DA4&lt;&gt;"",NOT(OR(DA4="有給",DA4="休業"))),ISNUMBER(SEARCH("夜勤",CZ4))),"○",""))</f>
        <v/>
      </c>
      <c r="DD4" s="31"/>
      <c r="DE4" s="27"/>
      <c r="DF4" s="28"/>
      <c r="DG4" s="29" t="str">
        <f t="shared" ref="DG4:DG34" si="42">IF(DE4="","",IF(ISNUMBER(SEARCH("夜勤",DE4)),"",IF(A4="","","○")))</f>
        <v/>
      </c>
      <c r="DH4" s="30" t="str">
        <f t="shared" ref="DH4:DH34" si="43">IF(A4="","",IF(OR(AND(DF4&lt;&gt;"",NOT(OR(DF4="有給",DF4="休業"))),ISNUMBER(SEARCH("夜勤",DE4))),"○",""))</f>
        <v/>
      </c>
      <c r="DI4" s="31"/>
      <c r="DJ4" s="27"/>
      <c r="DK4" s="28"/>
      <c r="DL4" s="29" t="str">
        <f t="shared" ref="DL4:DL34" si="44">IF(DJ4="","",IF(ISNUMBER(SEARCH("夜勤",DJ4)),"",IF(A4="","","○")))</f>
        <v/>
      </c>
      <c r="DM4" s="30" t="str">
        <f t="shared" ref="DM4:DM34" si="45">IF(A4="","",IF(OR(AND(DK4&lt;&gt;"",NOT(OR(DK4="有給",DK4="休業"))),ISNUMBER(SEARCH("夜勤",DJ4))),"○",""))</f>
        <v/>
      </c>
      <c r="DN4" s="31"/>
      <c r="DO4" s="27"/>
      <c r="DP4" s="28"/>
      <c r="DQ4" s="29" t="str">
        <f t="shared" ref="DQ4:DQ34" si="46">IF(DO4="","",IF(ISNUMBER(SEARCH("夜勤",DO4)),"",IF(A4="","","○")))</f>
        <v/>
      </c>
      <c r="DR4" s="30" t="str">
        <f t="shared" ref="DR4:DR34" si="47">IF(A4="","",IF(OR(AND(DP4&lt;&gt;"",NOT(OR(DP4="有給",DP4="休業"))),ISNUMBER(SEARCH("夜勤",DO4))),"○",""))</f>
        <v/>
      </c>
      <c r="DS4" s="31"/>
      <c r="DT4" s="27"/>
      <c r="DU4" s="28"/>
      <c r="DV4" s="29" t="str">
        <f t="shared" ref="DV4:DV34" si="48">IF(DT4="","",IF(ISNUMBER(SEARCH("夜勤",DT4)),"",IF(A4="","","○")))</f>
        <v/>
      </c>
      <c r="DW4" s="30" t="str">
        <f t="shared" ref="DW4:DW34" si="49">IF(A4="","",IF(OR(AND(DU4&lt;&gt;"",NOT(OR(DU4="有給",DU4="休業"))),ISNUMBER(SEARCH("夜勤",DT4))),"○",""))</f>
        <v/>
      </c>
      <c r="DX4" s="31"/>
      <c r="DY4" s="27"/>
      <c r="DZ4" s="28"/>
      <c r="EA4" s="29" t="str">
        <f t="shared" ref="EA4:EA34" si="50">IF(DY4="","",IF(ISNUMBER(SEARCH("夜勤",DY4)),"",IF(A4="","","○")))</f>
        <v/>
      </c>
      <c r="EB4" s="30" t="str">
        <f t="shared" ref="EB4:EB34" si="51">IF(A4="","",IF(OR(AND(DZ4&lt;&gt;"",NOT(OR(DZ4="有給",DZ4="休業"))),ISNUMBER(SEARCH("夜勤",DY4))),"○",""))</f>
        <v/>
      </c>
      <c r="EC4" s="31"/>
      <c r="ED4" s="27"/>
      <c r="EE4" s="28"/>
      <c r="EF4" s="29" t="str">
        <f t="shared" ref="EF4:EF34" si="52">IF(ED4="","",IF(ISNUMBER(SEARCH("夜勤",ED4)),"",IF(A4="","","○")))</f>
        <v/>
      </c>
      <c r="EG4" s="30" t="str">
        <f t="shared" ref="EG4:EG34" si="53">IF(A4="","",IF(OR(AND(EE4&lt;&gt;"",NOT(OR(EE4="有給",EE4="休業"))),ISNUMBER(SEARCH("夜勤",ED4))),"○",""))</f>
        <v/>
      </c>
      <c r="EH4" s="31"/>
      <c r="EI4" s="27"/>
      <c r="EJ4" s="28"/>
      <c r="EK4" s="29" t="str">
        <f t="shared" ref="EK4:EK34" si="54">IF(EI4="","",IF(ISNUMBER(SEARCH("夜勤",EI4)),"",IF(A4="","","○")))</f>
        <v/>
      </c>
      <c r="EL4" s="30" t="str">
        <f t="shared" ref="EL4:EL34" si="55">IF(A4="","",IF(OR(AND(EJ4&lt;&gt;"",NOT(OR(EJ4="有給",EJ4="休業"))),ISNUMBER(SEARCH("夜勤",EI4))),"○",""))</f>
        <v/>
      </c>
      <c r="EM4" s="31"/>
      <c r="EN4" s="27"/>
      <c r="EO4" s="28"/>
      <c r="EP4" s="29" t="str">
        <f t="shared" ref="EP4:EP34" si="56">IF(EN4="","",IF(ISNUMBER(SEARCH("夜勤",EN4)),"",IF(A4="","","○")))</f>
        <v/>
      </c>
      <c r="EQ4" s="30" t="str">
        <f t="shared" ref="EQ4:EQ34" si="57">IF(A4="","",IF(OR(AND(EO4&lt;&gt;"",NOT(OR(EO4="有給",EO4="休業"))),ISNUMBER(SEARCH("夜勤",EN4))),"○",""))</f>
        <v/>
      </c>
      <c r="ER4" s="31"/>
      <c r="ES4" s="27"/>
      <c r="ET4" s="28"/>
      <c r="EU4" s="29" t="str">
        <f t="shared" ref="EU4:EU34" si="58">IF(ES4="","",IF(ISNUMBER(SEARCH("夜勤",ES4)),"",IF(A4="","","○")))</f>
        <v/>
      </c>
      <c r="EV4" s="30" t="str">
        <f t="shared" ref="EV4:EV34" si="59">IF(A4="","",IF(OR(AND(ET4&lt;&gt;"",NOT(OR(ET4="有給",ET4="休業"))),ISNUMBER(SEARCH("夜勤",ES4))),"○",""))</f>
        <v/>
      </c>
      <c r="EW4" s="31"/>
    </row>
    <row r="5" spans="1:153" ht="19.5" customHeight="1">
      <c r="A5" s="32">
        <f>IF(DAY(DATE(対象年度,9,2))&lt;&gt;2,"",2)</f>
        <v>2</v>
      </c>
      <c r="B5" s="32" t="str">
        <f>IF(DAY(DATE(対象年度,9,2))&lt;&gt;2,"",CHOOSE(WEEKDAY(DATE(対象年度,9,2),2),"月","火","水","木","金","土","日"))</f>
        <v>水</v>
      </c>
      <c r="C5" s="32" t="str">
        <f>IF(DAY(DATE(対象年度,9,2))&lt;&gt;2,"",IF(ISNUMBER(MATCH(DATE(対象年度,9,2),祝日リスト,0)),"祝",""))</f>
        <v/>
      </c>
      <c r="D5" s="33"/>
      <c r="E5" s="34"/>
      <c r="F5" s="35" t="str">
        <f t="shared" si="0"/>
        <v/>
      </c>
      <c r="G5" s="36" t="str">
        <f t="shared" si="1"/>
        <v/>
      </c>
      <c r="H5" s="37"/>
      <c r="I5" s="33"/>
      <c r="J5" s="34"/>
      <c r="K5" s="35" t="str">
        <f t="shared" si="2"/>
        <v/>
      </c>
      <c r="L5" s="36" t="str">
        <f t="shared" si="3"/>
        <v/>
      </c>
      <c r="M5" s="37"/>
      <c r="N5" s="33"/>
      <c r="O5" s="34"/>
      <c r="P5" s="35" t="str">
        <f t="shared" si="4"/>
        <v/>
      </c>
      <c r="Q5" s="36" t="str">
        <f t="shared" si="5"/>
        <v/>
      </c>
      <c r="R5" s="37"/>
      <c r="S5" s="33"/>
      <c r="T5" s="34"/>
      <c r="U5" s="35" t="str">
        <f t="shared" si="6"/>
        <v/>
      </c>
      <c r="V5" s="36" t="str">
        <f t="shared" si="7"/>
        <v/>
      </c>
      <c r="W5" s="37"/>
      <c r="X5" s="33"/>
      <c r="Y5" s="34"/>
      <c r="Z5" s="35" t="str">
        <f t="shared" si="8"/>
        <v/>
      </c>
      <c r="AA5" s="36" t="str">
        <f t="shared" si="9"/>
        <v/>
      </c>
      <c r="AB5" s="37"/>
      <c r="AC5" s="33"/>
      <c r="AD5" s="34"/>
      <c r="AE5" s="35" t="str">
        <f t="shared" si="10"/>
        <v/>
      </c>
      <c r="AF5" s="36" t="str">
        <f t="shared" si="11"/>
        <v/>
      </c>
      <c r="AG5" s="37"/>
      <c r="AH5" s="33"/>
      <c r="AI5" s="34"/>
      <c r="AJ5" s="35" t="str">
        <f t="shared" si="12"/>
        <v/>
      </c>
      <c r="AK5" s="36" t="str">
        <f t="shared" si="13"/>
        <v/>
      </c>
      <c r="AL5" s="37"/>
      <c r="AM5" s="33"/>
      <c r="AN5" s="34"/>
      <c r="AO5" s="35" t="str">
        <f t="shared" si="14"/>
        <v/>
      </c>
      <c r="AP5" s="36" t="str">
        <f t="shared" si="15"/>
        <v/>
      </c>
      <c r="AQ5" s="37"/>
      <c r="AR5" s="33"/>
      <c r="AS5" s="34"/>
      <c r="AT5" s="35" t="str">
        <f t="shared" si="16"/>
        <v/>
      </c>
      <c r="AU5" s="36" t="str">
        <f t="shared" si="17"/>
        <v/>
      </c>
      <c r="AV5" s="37"/>
      <c r="AW5" s="33"/>
      <c r="AX5" s="34"/>
      <c r="AY5" s="35" t="str">
        <f t="shared" si="18"/>
        <v/>
      </c>
      <c r="AZ5" s="36" t="str">
        <f t="shared" si="19"/>
        <v/>
      </c>
      <c r="BA5" s="37"/>
      <c r="BB5" s="33"/>
      <c r="BC5" s="34"/>
      <c r="BD5" s="35" t="str">
        <f t="shared" si="20"/>
        <v/>
      </c>
      <c r="BE5" s="36" t="str">
        <f t="shared" si="21"/>
        <v/>
      </c>
      <c r="BF5" s="37"/>
      <c r="BG5" s="33"/>
      <c r="BH5" s="34"/>
      <c r="BI5" s="35" t="str">
        <f t="shared" si="22"/>
        <v/>
      </c>
      <c r="BJ5" s="36" t="str">
        <f t="shared" si="23"/>
        <v/>
      </c>
      <c r="BK5" s="37"/>
      <c r="BL5" s="33"/>
      <c r="BM5" s="34"/>
      <c r="BN5" s="35" t="str">
        <f t="shared" si="24"/>
        <v/>
      </c>
      <c r="BO5" s="36" t="str">
        <f t="shared" si="25"/>
        <v/>
      </c>
      <c r="BP5" s="37"/>
      <c r="BQ5" s="33"/>
      <c r="BR5" s="34"/>
      <c r="BS5" s="35" t="str">
        <f t="shared" si="26"/>
        <v/>
      </c>
      <c r="BT5" s="36" t="str">
        <f t="shared" si="27"/>
        <v/>
      </c>
      <c r="BU5" s="37"/>
      <c r="BV5" s="33"/>
      <c r="BW5" s="34"/>
      <c r="BX5" s="35" t="str">
        <f t="shared" si="28"/>
        <v/>
      </c>
      <c r="BY5" s="36" t="str">
        <f t="shared" si="29"/>
        <v/>
      </c>
      <c r="BZ5" s="37"/>
      <c r="CA5" s="33"/>
      <c r="CB5" s="34"/>
      <c r="CC5" s="35" t="str">
        <f t="shared" si="30"/>
        <v/>
      </c>
      <c r="CD5" s="36" t="str">
        <f t="shared" si="31"/>
        <v/>
      </c>
      <c r="CE5" s="37"/>
      <c r="CF5" s="33"/>
      <c r="CG5" s="34"/>
      <c r="CH5" s="35" t="str">
        <f t="shared" si="32"/>
        <v/>
      </c>
      <c r="CI5" s="36" t="str">
        <f t="shared" si="33"/>
        <v/>
      </c>
      <c r="CJ5" s="37"/>
      <c r="CK5" s="33"/>
      <c r="CL5" s="34"/>
      <c r="CM5" s="35" t="str">
        <f t="shared" si="34"/>
        <v/>
      </c>
      <c r="CN5" s="36" t="str">
        <f t="shared" si="35"/>
        <v/>
      </c>
      <c r="CO5" s="37"/>
      <c r="CP5" s="33"/>
      <c r="CQ5" s="34"/>
      <c r="CR5" s="35" t="str">
        <f t="shared" si="36"/>
        <v/>
      </c>
      <c r="CS5" s="36" t="str">
        <f t="shared" si="37"/>
        <v/>
      </c>
      <c r="CT5" s="37"/>
      <c r="CU5" s="33"/>
      <c r="CV5" s="34"/>
      <c r="CW5" s="35" t="str">
        <f t="shared" si="38"/>
        <v/>
      </c>
      <c r="CX5" s="36" t="str">
        <f t="shared" si="39"/>
        <v/>
      </c>
      <c r="CY5" s="37"/>
      <c r="CZ5" s="33"/>
      <c r="DA5" s="34"/>
      <c r="DB5" s="35" t="str">
        <f t="shared" si="40"/>
        <v/>
      </c>
      <c r="DC5" s="36" t="str">
        <f t="shared" si="41"/>
        <v/>
      </c>
      <c r="DD5" s="37"/>
      <c r="DE5" s="33"/>
      <c r="DF5" s="34"/>
      <c r="DG5" s="35" t="str">
        <f t="shared" si="42"/>
        <v/>
      </c>
      <c r="DH5" s="36" t="str">
        <f t="shared" si="43"/>
        <v/>
      </c>
      <c r="DI5" s="37"/>
      <c r="DJ5" s="33"/>
      <c r="DK5" s="34"/>
      <c r="DL5" s="35" t="str">
        <f t="shared" si="44"/>
        <v/>
      </c>
      <c r="DM5" s="36" t="str">
        <f t="shared" si="45"/>
        <v/>
      </c>
      <c r="DN5" s="37"/>
      <c r="DO5" s="33"/>
      <c r="DP5" s="34"/>
      <c r="DQ5" s="35" t="str">
        <f t="shared" si="46"/>
        <v/>
      </c>
      <c r="DR5" s="36" t="str">
        <f t="shared" si="47"/>
        <v/>
      </c>
      <c r="DS5" s="37"/>
      <c r="DT5" s="33"/>
      <c r="DU5" s="34"/>
      <c r="DV5" s="35" t="str">
        <f t="shared" si="48"/>
        <v/>
      </c>
      <c r="DW5" s="36" t="str">
        <f t="shared" si="49"/>
        <v/>
      </c>
      <c r="DX5" s="37"/>
      <c r="DY5" s="33"/>
      <c r="DZ5" s="34"/>
      <c r="EA5" s="35" t="str">
        <f t="shared" si="50"/>
        <v/>
      </c>
      <c r="EB5" s="36" t="str">
        <f t="shared" si="51"/>
        <v/>
      </c>
      <c r="EC5" s="37"/>
      <c r="ED5" s="33"/>
      <c r="EE5" s="34"/>
      <c r="EF5" s="35" t="str">
        <f t="shared" si="52"/>
        <v/>
      </c>
      <c r="EG5" s="36" t="str">
        <f t="shared" si="53"/>
        <v/>
      </c>
      <c r="EH5" s="37"/>
      <c r="EI5" s="33"/>
      <c r="EJ5" s="34"/>
      <c r="EK5" s="35" t="str">
        <f t="shared" si="54"/>
        <v/>
      </c>
      <c r="EL5" s="36" t="str">
        <f t="shared" si="55"/>
        <v/>
      </c>
      <c r="EM5" s="37"/>
      <c r="EN5" s="33"/>
      <c r="EO5" s="34"/>
      <c r="EP5" s="35" t="str">
        <f t="shared" si="56"/>
        <v/>
      </c>
      <c r="EQ5" s="36" t="str">
        <f t="shared" si="57"/>
        <v/>
      </c>
      <c r="ER5" s="37"/>
      <c r="ES5" s="33"/>
      <c r="ET5" s="34"/>
      <c r="EU5" s="35" t="str">
        <f t="shared" si="58"/>
        <v/>
      </c>
      <c r="EV5" s="36" t="str">
        <f t="shared" si="59"/>
        <v/>
      </c>
      <c r="EW5" s="37"/>
    </row>
    <row r="6" spans="1:153" ht="19.5" customHeight="1">
      <c r="A6" s="32">
        <f>IF(DAY(DATE(対象年度,9,3))&lt;&gt;3,"",3)</f>
        <v>3</v>
      </c>
      <c r="B6" s="32" t="str">
        <f>IF(DAY(DATE(対象年度,9,3))&lt;&gt;3,"",CHOOSE(WEEKDAY(DATE(対象年度,9,3),2),"月","火","水","木","金","土","日"))</f>
        <v>木</v>
      </c>
      <c r="C6" s="32" t="str">
        <f>IF(DAY(DATE(対象年度,9,3))&lt;&gt;3,"",IF(ISNUMBER(MATCH(DATE(対象年度,9,3),祝日リスト,0)),"祝",""))</f>
        <v/>
      </c>
      <c r="D6" s="33"/>
      <c r="E6" s="34"/>
      <c r="F6" s="35" t="str">
        <f t="shared" si="0"/>
        <v/>
      </c>
      <c r="G6" s="36" t="str">
        <f t="shared" si="1"/>
        <v/>
      </c>
      <c r="H6" s="37"/>
      <c r="I6" s="33"/>
      <c r="J6" s="34"/>
      <c r="K6" s="35" t="str">
        <f t="shared" si="2"/>
        <v/>
      </c>
      <c r="L6" s="36" t="str">
        <f t="shared" si="3"/>
        <v/>
      </c>
      <c r="M6" s="37"/>
      <c r="N6" s="33"/>
      <c r="O6" s="34"/>
      <c r="P6" s="35" t="str">
        <f t="shared" si="4"/>
        <v/>
      </c>
      <c r="Q6" s="36" t="str">
        <f t="shared" si="5"/>
        <v/>
      </c>
      <c r="R6" s="37"/>
      <c r="S6" s="33"/>
      <c r="T6" s="34"/>
      <c r="U6" s="35" t="str">
        <f t="shared" si="6"/>
        <v/>
      </c>
      <c r="V6" s="36" t="str">
        <f t="shared" si="7"/>
        <v/>
      </c>
      <c r="W6" s="37"/>
      <c r="X6" s="33"/>
      <c r="Y6" s="34"/>
      <c r="Z6" s="35" t="str">
        <f t="shared" si="8"/>
        <v/>
      </c>
      <c r="AA6" s="36" t="str">
        <f t="shared" si="9"/>
        <v/>
      </c>
      <c r="AB6" s="37"/>
      <c r="AC6" s="33"/>
      <c r="AD6" s="34"/>
      <c r="AE6" s="35" t="str">
        <f t="shared" si="10"/>
        <v/>
      </c>
      <c r="AF6" s="36" t="str">
        <f t="shared" si="11"/>
        <v/>
      </c>
      <c r="AG6" s="37"/>
      <c r="AH6" s="33"/>
      <c r="AI6" s="34"/>
      <c r="AJ6" s="35" t="str">
        <f t="shared" si="12"/>
        <v/>
      </c>
      <c r="AK6" s="36" t="str">
        <f t="shared" si="13"/>
        <v/>
      </c>
      <c r="AL6" s="37"/>
      <c r="AM6" s="33"/>
      <c r="AN6" s="34"/>
      <c r="AO6" s="35" t="str">
        <f t="shared" si="14"/>
        <v/>
      </c>
      <c r="AP6" s="36" t="str">
        <f t="shared" si="15"/>
        <v/>
      </c>
      <c r="AQ6" s="37"/>
      <c r="AR6" s="33"/>
      <c r="AS6" s="34"/>
      <c r="AT6" s="35" t="str">
        <f t="shared" si="16"/>
        <v/>
      </c>
      <c r="AU6" s="36" t="str">
        <f t="shared" si="17"/>
        <v/>
      </c>
      <c r="AV6" s="37"/>
      <c r="AW6" s="33"/>
      <c r="AX6" s="34"/>
      <c r="AY6" s="35" t="str">
        <f t="shared" si="18"/>
        <v/>
      </c>
      <c r="AZ6" s="36" t="str">
        <f t="shared" si="19"/>
        <v/>
      </c>
      <c r="BA6" s="37"/>
      <c r="BB6" s="33"/>
      <c r="BC6" s="34"/>
      <c r="BD6" s="35" t="str">
        <f t="shared" si="20"/>
        <v/>
      </c>
      <c r="BE6" s="36" t="str">
        <f t="shared" si="21"/>
        <v/>
      </c>
      <c r="BF6" s="37"/>
      <c r="BG6" s="33"/>
      <c r="BH6" s="34"/>
      <c r="BI6" s="35" t="str">
        <f t="shared" si="22"/>
        <v/>
      </c>
      <c r="BJ6" s="36" t="str">
        <f t="shared" si="23"/>
        <v/>
      </c>
      <c r="BK6" s="37"/>
      <c r="BL6" s="33"/>
      <c r="BM6" s="34"/>
      <c r="BN6" s="35" t="str">
        <f t="shared" si="24"/>
        <v/>
      </c>
      <c r="BO6" s="36" t="str">
        <f t="shared" si="25"/>
        <v/>
      </c>
      <c r="BP6" s="37"/>
      <c r="BQ6" s="33"/>
      <c r="BR6" s="34"/>
      <c r="BS6" s="35" t="str">
        <f t="shared" si="26"/>
        <v/>
      </c>
      <c r="BT6" s="36" t="str">
        <f t="shared" si="27"/>
        <v/>
      </c>
      <c r="BU6" s="37"/>
      <c r="BV6" s="33"/>
      <c r="BW6" s="34"/>
      <c r="BX6" s="35" t="str">
        <f t="shared" si="28"/>
        <v/>
      </c>
      <c r="BY6" s="36" t="str">
        <f t="shared" si="29"/>
        <v/>
      </c>
      <c r="BZ6" s="37"/>
      <c r="CA6" s="33"/>
      <c r="CB6" s="34"/>
      <c r="CC6" s="35" t="str">
        <f t="shared" si="30"/>
        <v/>
      </c>
      <c r="CD6" s="36" t="str">
        <f t="shared" si="31"/>
        <v/>
      </c>
      <c r="CE6" s="37"/>
      <c r="CF6" s="33"/>
      <c r="CG6" s="34"/>
      <c r="CH6" s="35" t="str">
        <f t="shared" si="32"/>
        <v/>
      </c>
      <c r="CI6" s="36" t="str">
        <f t="shared" si="33"/>
        <v/>
      </c>
      <c r="CJ6" s="37"/>
      <c r="CK6" s="33"/>
      <c r="CL6" s="34"/>
      <c r="CM6" s="35" t="str">
        <f t="shared" si="34"/>
        <v/>
      </c>
      <c r="CN6" s="36" t="str">
        <f t="shared" si="35"/>
        <v/>
      </c>
      <c r="CO6" s="37"/>
      <c r="CP6" s="33"/>
      <c r="CQ6" s="34"/>
      <c r="CR6" s="35" t="str">
        <f t="shared" si="36"/>
        <v/>
      </c>
      <c r="CS6" s="36" t="str">
        <f t="shared" si="37"/>
        <v/>
      </c>
      <c r="CT6" s="37"/>
      <c r="CU6" s="33"/>
      <c r="CV6" s="34"/>
      <c r="CW6" s="35" t="str">
        <f t="shared" si="38"/>
        <v/>
      </c>
      <c r="CX6" s="36" t="str">
        <f t="shared" si="39"/>
        <v/>
      </c>
      <c r="CY6" s="37"/>
      <c r="CZ6" s="33"/>
      <c r="DA6" s="34"/>
      <c r="DB6" s="35" t="str">
        <f t="shared" si="40"/>
        <v/>
      </c>
      <c r="DC6" s="36" t="str">
        <f t="shared" si="41"/>
        <v/>
      </c>
      <c r="DD6" s="37"/>
      <c r="DE6" s="33"/>
      <c r="DF6" s="34"/>
      <c r="DG6" s="35" t="str">
        <f t="shared" si="42"/>
        <v/>
      </c>
      <c r="DH6" s="36" t="str">
        <f t="shared" si="43"/>
        <v/>
      </c>
      <c r="DI6" s="37"/>
      <c r="DJ6" s="33"/>
      <c r="DK6" s="34"/>
      <c r="DL6" s="35" t="str">
        <f t="shared" si="44"/>
        <v/>
      </c>
      <c r="DM6" s="36" t="str">
        <f t="shared" si="45"/>
        <v/>
      </c>
      <c r="DN6" s="37"/>
      <c r="DO6" s="33"/>
      <c r="DP6" s="34"/>
      <c r="DQ6" s="35" t="str">
        <f t="shared" si="46"/>
        <v/>
      </c>
      <c r="DR6" s="36" t="str">
        <f t="shared" si="47"/>
        <v/>
      </c>
      <c r="DS6" s="37"/>
      <c r="DT6" s="33"/>
      <c r="DU6" s="34"/>
      <c r="DV6" s="35" t="str">
        <f t="shared" si="48"/>
        <v/>
      </c>
      <c r="DW6" s="36" t="str">
        <f t="shared" si="49"/>
        <v/>
      </c>
      <c r="DX6" s="37"/>
      <c r="DY6" s="33"/>
      <c r="DZ6" s="34"/>
      <c r="EA6" s="35" t="str">
        <f t="shared" si="50"/>
        <v/>
      </c>
      <c r="EB6" s="36" t="str">
        <f t="shared" si="51"/>
        <v/>
      </c>
      <c r="EC6" s="37"/>
      <c r="ED6" s="33"/>
      <c r="EE6" s="34"/>
      <c r="EF6" s="35" t="str">
        <f t="shared" si="52"/>
        <v/>
      </c>
      <c r="EG6" s="36" t="str">
        <f t="shared" si="53"/>
        <v/>
      </c>
      <c r="EH6" s="37"/>
      <c r="EI6" s="33"/>
      <c r="EJ6" s="34"/>
      <c r="EK6" s="35" t="str">
        <f t="shared" si="54"/>
        <v/>
      </c>
      <c r="EL6" s="36" t="str">
        <f t="shared" si="55"/>
        <v/>
      </c>
      <c r="EM6" s="37"/>
      <c r="EN6" s="33"/>
      <c r="EO6" s="34"/>
      <c r="EP6" s="35" t="str">
        <f t="shared" si="56"/>
        <v/>
      </c>
      <c r="EQ6" s="36" t="str">
        <f t="shared" si="57"/>
        <v/>
      </c>
      <c r="ER6" s="37"/>
      <c r="ES6" s="33"/>
      <c r="ET6" s="34"/>
      <c r="EU6" s="35" t="str">
        <f t="shared" si="58"/>
        <v/>
      </c>
      <c r="EV6" s="36" t="str">
        <f t="shared" si="59"/>
        <v/>
      </c>
      <c r="EW6" s="37"/>
    </row>
    <row r="7" spans="1:153" ht="19.5" customHeight="1">
      <c r="A7" s="32">
        <f>IF(DAY(DATE(対象年度,9,4))&lt;&gt;4,"",4)</f>
        <v>4</v>
      </c>
      <c r="B7" s="32" t="str">
        <f>IF(DAY(DATE(対象年度,9,4))&lt;&gt;4,"",CHOOSE(WEEKDAY(DATE(対象年度,9,4),2),"月","火","水","木","金","土","日"))</f>
        <v>金</v>
      </c>
      <c r="C7" s="32" t="str">
        <f>IF(DAY(DATE(対象年度,9,4))&lt;&gt;4,"",IF(ISNUMBER(MATCH(DATE(対象年度,9,4),祝日リスト,0)),"祝",""))</f>
        <v/>
      </c>
      <c r="D7" s="33"/>
      <c r="E7" s="34"/>
      <c r="F7" s="35" t="str">
        <f t="shared" si="0"/>
        <v/>
      </c>
      <c r="G7" s="36" t="str">
        <f t="shared" si="1"/>
        <v/>
      </c>
      <c r="H7" s="37"/>
      <c r="I7" s="33"/>
      <c r="J7" s="34"/>
      <c r="K7" s="35" t="str">
        <f t="shared" si="2"/>
        <v/>
      </c>
      <c r="L7" s="36" t="str">
        <f t="shared" si="3"/>
        <v/>
      </c>
      <c r="M7" s="37"/>
      <c r="N7" s="33"/>
      <c r="O7" s="34"/>
      <c r="P7" s="35" t="str">
        <f t="shared" si="4"/>
        <v/>
      </c>
      <c r="Q7" s="36" t="str">
        <f t="shared" si="5"/>
        <v/>
      </c>
      <c r="R7" s="37"/>
      <c r="S7" s="33"/>
      <c r="T7" s="34"/>
      <c r="U7" s="35" t="str">
        <f t="shared" si="6"/>
        <v/>
      </c>
      <c r="V7" s="36" t="str">
        <f t="shared" si="7"/>
        <v/>
      </c>
      <c r="W7" s="37"/>
      <c r="X7" s="33"/>
      <c r="Y7" s="34"/>
      <c r="Z7" s="35" t="str">
        <f t="shared" si="8"/>
        <v/>
      </c>
      <c r="AA7" s="36" t="str">
        <f t="shared" si="9"/>
        <v/>
      </c>
      <c r="AB7" s="37"/>
      <c r="AC7" s="33"/>
      <c r="AD7" s="34"/>
      <c r="AE7" s="35" t="str">
        <f t="shared" si="10"/>
        <v/>
      </c>
      <c r="AF7" s="36" t="str">
        <f t="shared" si="11"/>
        <v/>
      </c>
      <c r="AG7" s="37"/>
      <c r="AH7" s="33"/>
      <c r="AI7" s="34"/>
      <c r="AJ7" s="35" t="str">
        <f t="shared" si="12"/>
        <v/>
      </c>
      <c r="AK7" s="36" t="str">
        <f t="shared" si="13"/>
        <v/>
      </c>
      <c r="AL7" s="37"/>
      <c r="AM7" s="33"/>
      <c r="AN7" s="34"/>
      <c r="AO7" s="35" t="str">
        <f t="shared" si="14"/>
        <v/>
      </c>
      <c r="AP7" s="36" t="str">
        <f t="shared" si="15"/>
        <v/>
      </c>
      <c r="AQ7" s="37"/>
      <c r="AR7" s="33"/>
      <c r="AS7" s="34"/>
      <c r="AT7" s="35" t="str">
        <f t="shared" si="16"/>
        <v/>
      </c>
      <c r="AU7" s="36" t="str">
        <f t="shared" si="17"/>
        <v/>
      </c>
      <c r="AV7" s="37"/>
      <c r="AW7" s="33"/>
      <c r="AX7" s="34"/>
      <c r="AY7" s="35" t="str">
        <f t="shared" si="18"/>
        <v/>
      </c>
      <c r="AZ7" s="36" t="str">
        <f t="shared" si="19"/>
        <v/>
      </c>
      <c r="BA7" s="37"/>
      <c r="BB7" s="33"/>
      <c r="BC7" s="34"/>
      <c r="BD7" s="35" t="str">
        <f t="shared" si="20"/>
        <v/>
      </c>
      <c r="BE7" s="36" t="str">
        <f t="shared" si="21"/>
        <v/>
      </c>
      <c r="BF7" s="37"/>
      <c r="BG7" s="33"/>
      <c r="BH7" s="34"/>
      <c r="BI7" s="35" t="str">
        <f t="shared" si="22"/>
        <v/>
      </c>
      <c r="BJ7" s="36" t="str">
        <f t="shared" si="23"/>
        <v/>
      </c>
      <c r="BK7" s="37"/>
      <c r="BL7" s="33"/>
      <c r="BM7" s="34"/>
      <c r="BN7" s="35" t="str">
        <f t="shared" si="24"/>
        <v/>
      </c>
      <c r="BO7" s="36" t="str">
        <f t="shared" si="25"/>
        <v/>
      </c>
      <c r="BP7" s="37"/>
      <c r="BQ7" s="33"/>
      <c r="BR7" s="34"/>
      <c r="BS7" s="35" t="str">
        <f t="shared" si="26"/>
        <v/>
      </c>
      <c r="BT7" s="36" t="str">
        <f t="shared" si="27"/>
        <v/>
      </c>
      <c r="BU7" s="37"/>
      <c r="BV7" s="33"/>
      <c r="BW7" s="34"/>
      <c r="BX7" s="35" t="str">
        <f t="shared" si="28"/>
        <v/>
      </c>
      <c r="BY7" s="36" t="str">
        <f t="shared" si="29"/>
        <v/>
      </c>
      <c r="BZ7" s="37"/>
      <c r="CA7" s="33"/>
      <c r="CB7" s="34"/>
      <c r="CC7" s="35" t="str">
        <f t="shared" si="30"/>
        <v/>
      </c>
      <c r="CD7" s="36" t="str">
        <f t="shared" si="31"/>
        <v/>
      </c>
      <c r="CE7" s="37"/>
      <c r="CF7" s="33"/>
      <c r="CG7" s="34"/>
      <c r="CH7" s="35" t="str">
        <f t="shared" si="32"/>
        <v/>
      </c>
      <c r="CI7" s="36" t="str">
        <f t="shared" si="33"/>
        <v/>
      </c>
      <c r="CJ7" s="37"/>
      <c r="CK7" s="33"/>
      <c r="CL7" s="34"/>
      <c r="CM7" s="35" t="str">
        <f t="shared" si="34"/>
        <v/>
      </c>
      <c r="CN7" s="36" t="str">
        <f t="shared" si="35"/>
        <v/>
      </c>
      <c r="CO7" s="37"/>
      <c r="CP7" s="33"/>
      <c r="CQ7" s="34"/>
      <c r="CR7" s="35" t="str">
        <f t="shared" si="36"/>
        <v/>
      </c>
      <c r="CS7" s="36" t="str">
        <f t="shared" si="37"/>
        <v/>
      </c>
      <c r="CT7" s="37"/>
      <c r="CU7" s="33"/>
      <c r="CV7" s="34"/>
      <c r="CW7" s="35" t="str">
        <f t="shared" si="38"/>
        <v/>
      </c>
      <c r="CX7" s="36" t="str">
        <f t="shared" si="39"/>
        <v/>
      </c>
      <c r="CY7" s="37"/>
      <c r="CZ7" s="33"/>
      <c r="DA7" s="34"/>
      <c r="DB7" s="35" t="str">
        <f t="shared" si="40"/>
        <v/>
      </c>
      <c r="DC7" s="36" t="str">
        <f t="shared" si="41"/>
        <v/>
      </c>
      <c r="DD7" s="37"/>
      <c r="DE7" s="33"/>
      <c r="DF7" s="34"/>
      <c r="DG7" s="35" t="str">
        <f t="shared" si="42"/>
        <v/>
      </c>
      <c r="DH7" s="36" t="str">
        <f t="shared" si="43"/>
        <v/>
      </c>
      <c r="DI7" s="37"/>
      <c r="DJ7" s="33"/>
      <c r="DK7" s="34"/>
      <c r="DL7" s="35" t="str">
        <f t="shared" si="44"/>
        <v/>
      </c>
      <c r="DM7" s="36" t="str">
        <f t="shared" si="45"/>
        <v/>
      </c>
      <c r="DN7" s="37"/>
      <c r="DO7" s="33"/>
      <c r="DP7" s="34"/>
      <c r="DQ7" s="35" t="str">
        <f t="shared" si="46"/>
        <v/>
      </c>
      <c r="DR7" s="36" t="str">
        <f t="shared" si="47"/>
        <v/>
      </c>
      <c r="DS7" s="37"/>
      <c r="DT7" s="33"/>
      <c r="DU7" s="34"/>
      <c r="DV7" s="35" t="str">
        <f t="shared" si="48"/>
        <v/>
      </c>
      <c r="DW7" s="36" t="str">
        <f t="shared" si="49"/>
        <v/>
      </c>
      <c r="DX7" s="37"/>
      <c r="DY7" s="33"/>
      <c r="DZ7" s="34"/>
      <c r="EA7" s="35" t="str">
        <f t="shared" si="50"/>
        <v/>
      </c>
      <c r="EB7" s="36" t="str">
        <f t="shared" si="51"/>
        <v/>
      </c>
      <c r="EC7" s="37"/>
      <c r="ED7" s="33"/>
      <c r="EE7" s="34"/>
      <c r="EF7" s="35" t="str">
        <f t="shared" si="52"/>
        <v/>
      </c>
      <c r="EG7" s="36" t="str">
        <f t="shared" si="53"/>
        <v/>
      </c>
      <c r="EH7" s="37"/>
      <c r="EI7" s="33"/>
      <c r="EJ7" s="34"/>
      <c r="EK7" s="35" t="str">
        <f t="shared" si="54"/>
        <v/>
      </c>
      <c r="EL7" s="36" t="str">
        <f t="shared" si="55"/>
        <v/>
      </c>
      <c r="EM7" s="37"/>
      <c r="EN7" s="33"/>
      <c r="EO7" s="34"/>
      <c r="EP7" s="35" t="str">
        <f t="shared" si="56"/>
        <v/>
      </c>
      <c r="EQ7" s="36" t="str">
        <f t="shared" si="57"/>
        <v/>
      </c>
      <c r="ER7" s="37"/>
      <c r="ES7" s="33"/>
      <c r="ET7" s="34"/>
      <c r="EU7" s="35" t="str">
        <f t="shared" si="58"/>
        <v/>
      </c>
      <c r="EV7" s="36" t="str">
        <f t="shared" si="59"/>
        <v/>
      </c>
      <c r="EW7" s="37"/>
    </row>
    <row r="8" spans="1:153" ht="19.5" customHeight="1">
      <c r="A8" s="32">
        <f>IF(DAY(DATE(対象年度,9,5))&lt;&gt;5,"",5)</f>
        <v>5</v>
      </c>
      <c r="B8" s="32" t="str">
        <f>IF(DAY(DATE(対象年度,9,5))&lt;&gt;5,"",CHOOSE(WEEKDAY(DATE(対象年度,9,5),2),"月","火","水","木","金","土","日"))</f>
        <v>土</v>
      </c>
      <c r="C8" s="32" t="str">
        <f>IF(DAY(DATE(対象年度,9,5))&lt;&gt;5,"",IF(ISNUMBER(MATCH(DATE(対象年度,9,5),祝日リスト,0)),"祝",""))</f>
        <v/>
      </c>
      <c r="D8" s="33"/>
      <c r="E8" s="34"/>
      <c r="F8" s="35" t="str">
        <f t="shared" si="0"/>
        <v/>
      </c>
      <c r="G8" s="36" t="str">
        <f t="shared" si="1"/>
        <v/>
      </c>
      <c r="H8" s="37"/>
      <c r="I8" s="33"/>
      <c r="J8" s="34"/>
      <c r="K8" s="35" t="str">
        <f t="shared" si="2"/>
        <v/>
      </c>
      <c r="L8" s="36" t="str">
        <f t="shared" si="3"/>
        <v/>
      </c>
      <c r="M8" s="37"/>
      <c r="N8" s="33"/>
      <c r="O8" s="34"/>
      <c r="P8" s="35" t="str">
        <f t="shared" si="4"/>
        <v/>
      </c>
      <c r="Q8" s="36" t="str">
        <f t="shared" si="5"/>
        <v/>
      </c>
      <c r="R8" s="37"/>
      <c r="S8" s="33"/>
      <c r="T8" s="34"/>
      <c r="U8" s="35" t="str">
        <f t="shared" si="6"/>
        <v/>
      </c>
      <c r="V8" s="36" t="str">
        <f t="shared" si="7"/>
        <v/>
      </c>
      <c r="W8" s="37"/>
      <c r="X8" s="33"/>
      <c r="Y8" s="34"/>
      <c r="Z8" s="35" t="str">
        <f t="shared" si="8"/>
        <v/>
      </c>
      <c r="AA8" s="36" t="str">
        <f t="shared" si="9"/>
        <v/>
      </c>
      <c r="AB8" s="37"/>
      <c r="AC8" s="33"/>
      <c r="AD8" s="34"/>
      <c r="AE8" s="35" t="str">
        <f t="shared" si="10"/>
        <v/>
      </c>
      <c r="AF8" s="36" t="str">
        <f t="shared" si="11"/>
        <v/>
      </c>
      <c r="AG8" s="37"/>
      <c r="AH8" s="33"/>
      <c r="AI8" s="34"/>
      <c r="AJ8" s="35" t="str">
        <f t="shared" si="12"/>
        <v/>
      </c>
      <c r="AK8" s="36" t="str">
        <f t="shared" si="13"/>
        <v/>
      </c>
      <c r="AL8" s="37"/>
      <c r="AM8" s="33"/>
      <c r="AN8" s="34"/>
      <c r="AO8" s="35" t="str">
        <f t="shared" si="14"/>
        <v/>
      </c>
      <c r="AP8" s="36" t="str">
        <f t="shared" si="15"/>
        <v/>
      </c>
      <c r="AQ8" s="37"/>
      <c r="AR8" s="33"/>
      <c r="AS8" s="34"/>
      <c r="AT8" s="35" t="str">
        <f t="shared" si="16"/>
        <v/>
      </c>
      <c r="AU8" s="36" t="str">
        <f t="shared" si="17"/>
        <v/>
      </c>
      <c r="AV8" s="37"/>
      <c r="AW8" s="33"/>
      <c r="AX8" s="34"/>
      <c r="AY8" s="35" t="str">
        <f t="shared" si="18"/>
        <v/>
      </c>
      <c r="AZ8" s="36" t="str">
        <f t="shared" si="19"/>
        <v/>
      </c>
      <c r="BA8" s="37"/>
      <c r="BB8" s="33"/>
      <c r="BC8" s="34"/>
      <c r="BD8" s="35" t="str">
        <f t="shared" si="20"/>
        <v/>
      </c>
      <c r="BE8" s="36" t="str">
        <f t="shared" si="21"/>
        <v/>
      </c>
      <c r="BF8" s="37"/>
      <c r="BG8" s="33"/>
      <c r="BH8" s="34"/>
      <c r="BI8" s="35" t="str">
        <f t="shared" si="22"/>
        <v/>
      </c>
      <c r="BJ8" s="36" t="str">
        <f t="shared" si="23"/>
        <v/>
      </c>
      <c r="BK8" s="37"/>
      <c r="BL8" s="33"/>
      <c r="BM8" s="34"/>
      <c r="BN8" s="35" t="str">
        <f t="shared" si="24"/>
        <v/>
      </c>
      <c r="BO8" s="36" t="str">
        <f t="shared" si="25"/>
        <v/>
      </c>
      <c r="BP8" s="37"/>
      <c r="BQ8" s="33"/>
      <c r="BR8" s="34"/>
      <c r="BS8" s="35" t="str">
        <f t="shared" si="26"/>
        <v/>
      </c>
      <c r="BT8" s="36" t="str">
        <f t="shared" si="27"/>
        <v/>
      </c>
      <c r="BU8" s="37"/>
      <c r="BV8" s="33"/>
      <c r="BW8" s="34"/>
      <c r="BX8" s="35" t="str">
        <f t="shared" si="28"/>
        <v/>
      </c>
      <c r="BY8" s="36" t="str">
        <f t="shared" si="29"/>
        <v/>
      </c>
      <c r="BZ8" s="37"/>
      <c r="CA8" s="33"/>
      <c r="CB8" s="34"/>
      <c r="CC8" s="35" t="str">
        <f t="shared" si="30"/>
        <v/>
      </c>
      <c r="CD8" s="36" t="str">
        <f t="shared" si="31"/>
        <v/>
      </c>
      <c r="CE8" s="37"/>
      <c r="CF8" s="33"/>
      <c r="CG8" s="34"/>
      <c r="CH8" s="35" t="str">
        <f t="shared" si="32"/>
        <v/>
      </c>
      <c r="CI8" s="36" t="str">
        <f t="shared" si="33"/>
        <v/>
      </c>
      <c r="CJ8" s="37"/>
      <c r="CK8" s="33"/>
      <c r="CL8" s="34"/>
      <c r="CM8" s="35" t="str">
        <f t="shared" si="34"/>
        <v/>
      </c>
      <c r="CN8" s="36" t="str">
        <f t="shared" si="35"/>
        <v/>
      </c>
      <c r="CO8" s="37"/>
      <c r="CP8" s="33"/>
      <c r="CQ8" s="34"/>
      <c r="CR8" s="35" t="str">
        <f t="shared" si="36"/>
        <v/>
      </c>
      <c r="CS8" s="36" t="str">
        <f t="shared" si="37"/>
        <v/>
      </c>
      <c r="CT8" s="37"/>
      <c r="CU8" s="33"/>
      <c r="CV8" s="34"/>
      <c r="CW8" s="35" t="str">
        <f t="shared" si="38"/>
        <v/>
      </c>
      <c r="CX8" s="36" t="str">
        <f t="shared" si="39"/>
        <v/>
      </c>
      <c r="CY8" s="37"/>
      <c r="CZ8" s="33"/>
      <c r="DA8" s="34"/>
      <c r="DB8" s="35" t="str">
        <f t="shared" si="40"/>
        <v/>
      </c>
      <c r="DC8" s="36" t="str">
        <f t="shared" si="41"/>
        <v/>
      </c>
      <c r="DD8" s="37"/>
      <c r="DE8" s="33"/>
      <c r="DF8" s="34"/>
      <c r="DG8" s="35" t="str">
        <f t="shared" si="42"/>
        <v/>
      </c>
      <c r="DH8" s="36" t="str">
        <f t="shared" si="43"/>
        <v/>
      </c>
      <c r="DI8" s="37"/>
      <c r="DJ8" s="33"/>
      <c r="DK8" s="34"/>
      <c r="DL8" s="35" t="str">
        <f t="shared" si="44"/>
        <v/>
      </c>
      <c r="DM8" s="36" t="str">
        <f t="shared" si="45"/>
        <v/>
      </c>
      <c r="DN8" s="37"/>
      <c r="DO8" s="33"/>
      <c r="DP8" s="34"/>
      <c r="DQ8" s="35" t="str">
        <f t="shared" si="46"/>
        <v/>
      </c>
      <c r="DR8" s="36" t="str">
        <f t="shared" si="47"/>
        <v/>
      </c>
      <c r="DS8" s="37"/>
      <c r="DT8" s="33"/>
      <c r="DU8" s="34"/>
      <c r="DV8" s="35" t="str">
        <f t="shared" si="48"/>
        <v/>
      </c>
      <c r="DW8" s="36" t="str">
        <f t="shared" si="49"/>
        <v/>
      </c>
      <c r="DX8" s="37"/>
      <c r="DY8" s="33"/>
      <c r="DZ8" s="34"/>
      <c r="EA8" s="35" t="str">
        <f t="shared" si="50"/>
        <v/>
      </c>
      <c r="EB8" s="36" t="str">
        <f t="shared" si="51"/>
        <v/>
      </c>
      <c r="EC8" s="37"/>
      <c r="ED8" s="33"/>
      <c r="EE8" s="34"/>
      <c r="EF8" s="35" t="str">
        <f t="shared" si="52"/>
        <v/>
      </c>
      <c r="EG8" s="36" t="str">
        <f t="shared" si="53"/>
        <v/>
      </c>
      <c r="EH8" s="37"/>
      <c r="EI8" s="33"/>
      <c r="EJ8" s="34"/>
      <c r="EK8" s="35" t="str">
        <f t="shared" si="54"/>
        <v/>
      </c>
      <c r="EL8" s="36" t="str">
        <f t="shared" si="55"/>
        <v/>
      </c>
      <c r="EM8" s="37"/>
      <c r="EN8" s="33"/>
      <c r="EO8" s="34"/>
      <c r="EP8" s="35" t="str">
        <f t="shared" si="56"/>
        <v/>
      </c>
      <c r="EQ8" s="36" t="str">
        <f t="shared" si="57"/>
        <v/>
      </c>
      <c r="ER8" s="37"/>
      <c r="ES8" s="33"/>
      <c r="ET8" s="34"/>
      <c r="EU8" s="35" t="str">
        <f t="shared" si="58"/>
        <v/>
      </c>
      <c r="EV8" s="36" t="str">
        <f t="shared" si="59"/>
        <v/>
      </c>
      <c r="EW8" s="37"/>
    </row>
    <row r="9" spans="1:153" ht="19.5" customHeight="1">
      <c r="A9" s="32">
        <f>IF(DAY(DATE(対象年度,9,6))&lt;&gt;6,"",6)</f>
        <v>6</v>
      </c>
      <c r="B9" s="32" t="str">
        <f>IF(DAY(DATE(対象年度,9,6))&lt;&gt;6,"",CHOOSE(WEEKDAY(DATE(対象年度,9,6),2),"月","火","水","木","金","土","日"))</f>
        <v>日</v>
      </c>
      <c r="C9" s="32" t="str">
        <f>IF(DAY(DATE(対象年度,9,6))&lt;&gt;6,"",IF(ISNUMBER(MATCH(DATE(対象年度,9,6),祝日リスト,0)),"祝",""))</f>
        <v/>
      </c>
      <c r="D9" s="33"/>
      <c r="E9" s="34"/>
      <c r="F9" s="35" t="str">
        <f t="shared" si="0"/>
        <v/>
      </c>
      <c r="G9" s="36" t="str">
        <f t="shared" si="1"/>
        <v/>
      </c>
      <c r="H9" s="37"/>
      <c r="I9" s="33"/>
      <c r="J9" s="34"/>
      <c r="K9" s="35" t="str">
        <f t="shared" si="2"/>
        <v/>
      </c>
      <c r="L9" s="36" t="str">
        <f t="shared" si="3"/>
        <v/>
      </c>
      <c r="M9" s="37"/>
      <c r="N9" s="33"/>
      <c r="O9" s="34"/>
      <c r="P9" s="35" t="str">
        <f t="shared" si="4"/>
        <v/>
      </c>
      <c r="Q9" s="36" t="str">
        <f t="shared" si="5"/>
        <v/>
      </c>
      <c r="R9" s="37"/>
      <c r="S9" s="33"/>
      <c r="T9" s="34"/>
      <c r="U9" s="35" t="str">
        <f t="shared" si="6"/>
        <v/>
      </c>
      <c r="V9" s="36" t="str">
        <f t="shared" si="7"/>
        <v/>
      </c>
      <c r="W9" s="37"/>
      <c r="X9" s="33"/>
      <c r="Y9" s="34"/>
      <c r="Z9" s="35" t="str">
        <f t="shared" si="8"/>
        <v/>
      </c>
      <c r="AA9" s="36" t="str">
        <f t="shared" si="9"/>
        <v/>
      </c>
      <c r="AB9" s="37"/>
      <c r="AC9" s="33"/>
      <c r="AD9" s="34"/>
      <c r="AE9" s="35" t="str">
        <f t="shared" si="10"/>
        <v/>
      </c>
      <c r="AF9" s="36" t="str">
        <f t="shared" si="11"/>
        <v/>
      </c>
      <c r="AG9" s="37"/>
      <c r="AH9" s="33"/>
      <c r="AI9" s="34"/>
      <c r="AJ9" s="35" t="str">
        <f t="shared" si="12"/>
        <v/>
      </c>
      <c r="AK9" s="36" t="str">
        <f t="shared" si="13"/>
        <v/>
      </c>
      <c r="AL9" s="37"/>
      <c r="AM9" s="33"/>
      <c r="AN9" s="34"/>
      <c r="AO9" s="35" t="str">
        <f t="shared" si="14"/>
        <v/>
      </c>
      <c r="AP9" s="36" t="str">
        <f t="shared" si="15"/>
        <v/>
      </c>
      <c r="AQ9" s="37"/>
      <c r="AR9" s="33"/>
      <c r="AS9" s="34"/>
      <c r="AT9" s="35" t="str">
        <f t="shared" si="16"/>
        <v/>
      </c>
      <c r="AU9" s="36" t="str">
        <f t="shared" si="17"/>
        <v/>
      </c>
      <c r="AV9" s="37"/>
      <c r="AW9" s="33"/>
      <c r="AX9" s="34"/>
      <c r="AY9" s="35" t="str">
        <f t="shared" si="18"/>
        <v/>
      </c>
      <c r="AZ9" s="36" t="str">
        <f t="shared" si="19"/>
        <v/>
      </c>
      <c r="BA9" s="37"/>
      <c r="BB9" s="33"/>
      <c r="BC9" s="34"/>
      <c r="BD9" s="35" t="str">
        <f t="shared" si="20"/>
        <v/>
      </c>
      <c r="BE9" s="36" t="str">
        <f t="shared" si="21"/>
        <v/>
      </c>
      <c r="BF9" s="37"/>
      <c r="BG9" s="33"/>
      <c r="BH9" s="34"/>
      <c r="BI9" s="35" t="str">
        <f t="shared" si="22"/>
        <v/>
      </c>
      <c r="BJ9" s="36" t="str">
        <f t="shared" si="23"/>
        <v/>
      </c>
      <c r="BK9" s="37"/>
      <c r="BL9" s="33"/>
      <c r="BM9" s="34"/>
      <c r="BN9" s="35" t="str">
        <f t="shared" si="24"/>
        <v/>
      </c>
      <c r="BO9" s="36" t="str">
        <f t="shared" si="25"/>
        <v/>
      </c>
      <c r="BP9" s="37"/>
      <c r="BQ9" s="33"/>
      <c r="BR9" s="34"/>
      <c r="BS9" s="35" t="str">
        <f t="shared" si="26"/>
        <v/>
      </c>
      <c r="BT9" s="36" t="str">
        <f t="shared" si="27"/>
        <v/>
      </c>
      <c r="BU9" s="37"/>
      <c r="BV9" s="33"/>
      <c r="BW9" s="34"/>
      <c r="BX9" s="35" t="str">
        <f t="shared" si="28"/>
        <v/>
      </c>
      <c r="BY9" s="36" t="str">
        <f t="shared" si="29"/>
        <v/>
      </c>
      <c r="BZ9" s="37"/>
      <c r="CA9" s="33"/>
      <c r="CB9" s="34"/>
      <c r="CC9" s="35" t="str">
        <f t="shared" si="30"/>
        <v/>
      </c>
      <c r="CD9" s="36" t="str">
        <f t="shared" si="31"/>
        <v/>
      </c>
      <c r="CE9" s="37"/>
      <c r="CF9" s="33"/>
      <c r="CG9" s="34"/>
      <c r="CH9" s="35" t="str">
        <f t="shared" si="32"/>
        <v/>
      </c>
      <c r="CI9" s="36" t="str">
        <f t="shared" si="33"/>
        <v/>
      </c>
      <c r="CJ9" s="37"/>
      <c r="CK9" s="33"/>
      <c r="CL9" s="34"/>
      <c r="CM9" s="35" t="str">
        <f t="shared" si="34"/>
        <v/>
      </c>
      <c r="CN9" s="36" t="str">
        <f t="shared" si="35"/>
        <v/>
      </c>
      <c r="CO9" s="37"/>
      <c r="CP9" s="33"/>
      <c r="CQ9" s="34"/>
      <c r="CR9" s="35" t="str">
        <f t="shared" si="36"/>
        <v/>
      </c>
      <c r="CS9" s="36" t="str">
        <f t="shared" si="37"/>
        <v/>
      </c>
      <c r="CT9" s="37"/>
      <c r="CU9" s="33"/>
      <c r="CV9" s="34"/>
      <c r="CW9" s="35" t="str">
        <f t="shared" si="38"/>
        <v/>
      </c>
      <c r="CX9" s="36" t="str">
        <f t="shared" si="39"/>
        <v/>
      </c>
      <c r="CY9" s="37"/>
      <c r="CZ9" s="33"/>
      <c r="DA9" s="34"/>
      <c r="DB9" s="35" t="str">
        <f t="shared" si="40"/>
        <v/>
      </c>
      <c r="DC9" s="36" t="str">
        <f t="shared" si="41"/>
        <v/>
      </c>
      <c r="DD9" s="37"/>
      <c r="DE9" s="33"/>
      <c r="DF9" s="34"/>
      <c r="DG9" s="35" t="str">
        <f t="shared" si="42"/>
        <v/>
      </c>
      <c r="DH9" s="36" t="str">
        <f t="shared" si="43"/>
        <v/>
      </c>
      <c r="DI9" s="37"/>
      <c r="DJ9" s="33"/>
      <c r="DK9" s="34"/>
      <c r="DL9" s="35" t="str">
        <f t="shared" si="44"/>
        <v/>
      </c>
      <c r="DM9" s="36" t="str">
        <f t="shared" si="45"/>
        <v/>
      </c>
      <c r="DN9" s="37"/>
      <c r="DO9" s="33"/>
      <c r="DP9" s="34"/>
      <c r="DQ9" s="35" t="str">
        <f t="shared" si="46"/>
        <v/>
      </c>
      <c r="DR9" s="36" t="str">
        <f t="shared" si="47"/>
        <v/>
      </c>
      <c r="DS9" s="37"/>
      <c r="DT9" s="33"/>
      <c r="DU9" s="34"/>
      <c r="DV9" s="35" t="str">
        <f t="shared" si="48"/>
        <v/>
      </c>
      <c r="DW9" s="36" t="str">
        <f t="shared" si="49"/>
        <v/>
      </c>
      <c r="DX9" s="37"/>
      <c r="DY9" s="33"/>
      <c r="DZ9" s="34"/>
      <c r="EA9" s="35" t="str">
        <f t="shared" si="50"/>
        <v/>
      </c>
      <c r="EB9" s="36" t="str">
        <f t="shared" si="51"/>
        <v/>
      </c>
      <c r="EC9" s="37"/>
      <c r="ED9" s="33"/>
      <c r="EE9" s="34"/>
      <c r="EF9" s="35" t="str">
        <f t="shared" si="52"/>
        <v/>
      </c>
      <c r="EG9" s="36" t="str">
        <f t="shared" si="53"/>
        <v/>
      </c>
      <c r="EH9" s="37"/>
      <c r="EI9" s="33"/>
      <c r="EJ9" s="34"/>
      <c r="EK9" s="35" t="str">
        <f t="shared" si="54"/>
        <v/>
      </c>
      <c r="EL9" s="36" t="str">
        <f t="shared" si="55"/>
        <v/>
      </c>
      <c r="EM9" s="37"/>
      <c r="EN9" s="33"/>
      <c r="EO9" s="34"/>
      <c r="EP9" s="35" t="str">
        <f t="shared" si="56"/>
        <v/>
      </c>
      <c r="EQ9" s="36" t="str">
        <f t="shared" si="57"/>
        <v/>
      </c>
      <c r="ER9" s="37"/>
      <c r="ES9" s="33"/>
      <c r="ET9" s="34"/>
      <c r="EU9" s="35" t="str">
        <f t="shared" si="58"/>
        <v/>
      </c>
      <c r="EV9" s="36" t="str">
        <f t="shared" si="59"/>
        <v/>
      </c>
      <c r="EW9" s="37"/>
    </row>
    <row r="10" spans="1:153" ht="19.5" customHeight="1">
      <c r="A10" s="32">
        <f>IF(DAY(DATE(対象年度,9,7))&lt;&gt;7,"",7)</f>
        <v>7</v>
      </c>
      <c r="B10" s="32" t="str">
        <f>IF(DAY(DATE(対象年度,9,7))&lt;&gt;7,"",CHOOSE(WEEKDAY(DATE(対象年度,9,7),2),"月","火","水","木","金","土","日"))</f>
        <v>月</v>
      </c>
      <c r="C10" s="32" t="str">
        <f>IF(DAY(DATE(対象年度,9,7))&lt;&gt;7,"",IF(ISNUMBER(MATCH(DATE(対象年度,9,7),祝日リスト,0)),"祝",""))</f>
        <v/>
      </c>
      <c r="D10" s="33"/>
      <c r="E10" s="34"/>
      <c r="F10" s="35" t="str">
        <f t="shared" si="0"/>
        <v/>
      </c>
      <c r="G10" s="36" t="str">
        <f t="shared" si="1"/>
        <v/>
      </c>
      <c r="H10" s="37"/>
      <c r="I10" s="33"/>
      <c r="J10" s="34"/>
      <c r="K10" s="35" t="str">
        <f t="shared" si="2"/>
        <v/>
      </c>
      <c r="L10" s="36" t="str">
        <f t="shared" si="3"/>
        <v/>
      </c>
      <c r="M10" s="37"/>
      <c r="N10" s="33"/>
      <c r="O10" s="34"/>
      <c r="P10" s="35" t="str">
        <f t="shared" si="4"/>
        <v/>
      </c>
      <c r="Q10" s="36" t="str">
        <f t="shared" si="5"/>
        <v/>
      </c>
      <c r="R10" s="37"/>
      <c r="S10" s="33"/>
      <c r="T10" s="34"/>
      <c r="U10" s="35" t="str">
        <f t="shared" si="6"/>
        <v/>
      </c>
      <c r="V10" s="36" t="str">
        <f t="shared" si="7"/>
        <v/>
      </c>
      <c r="W10" s="37"/>
      <c r="X10" s="33"/>
      <c r="Y10" s="34"/>
      <c r="Z10" s="35" t="str">
        <f t="shared" si="8"/>
        <v/>
      </c>
      <c r="AA10" s="36" t="str">
        <f t="shared" si="9"/>
        <v/>
      </c>
      <c r="AB10" s="37"/>
      <c r="AC10" s="33"/>
      <c r="AD10" s="34"/>
      <c r="AE10" s="35" t="str">
        <f t="shared" si="10"/>
        <v/>
      </c>
      <c r="AF10" s="36" t="str">
        <f t="shared" si="11"/>
        <v/>
      </c>
      <c r="AG10" s="37"/>
      <c r="AH10" s="33"/>
      <c r="AI10" s="34"/>
      <c r="AJ10" s="35" t="str">
        <f t="shared" si="12"/>
        <v/>
      </c>
      <c r="AK10" s="36" t="str">
        <f t="shared" si="13"/>
        <v/>
      </c>
      <c r="AL10" s="37"/>
      <c r="AM10" s="33"/>
      <c r="AN10" s="34"/>
      <c r="AO10" s="35" t="str">
        <f t="shared" si="14"/>
        <v/>
      </c>
      <c r="AP10" s="36" t="str">
        <f t="shared" si="15"/>
        <v/>
      </c>
      <c r="AQ10" s="37"/>
      <c r="AR10" s="33"/>
      <c r="AS10" s="34"/>
      <c r="AT10" s="35" t="str">
        <f t="shared" si="16"/>
        <v/>
      </c>
      <c r="AU10" s="36" t="str">
        <f t="shared" si="17"/>
        <v/>
      </c>
      <c r="AV10" s="37"/>
      <c r="AW10" s="33"/>
      <c r="AX10" s="34"/>
      <c r="AY10" s="35" t="str">
        <f t="shared" si="18"/>
        <v/>
      </c>
      <c r="AZ10" s="36" t="str">
        <f t="shared" si="19"/>
        <v/>
      </c>
      <c r="BA10" s="37"/>
      <c r="BB10" s="33"/>
      <c r="BC10" s="34"/>
      <c r="BD10" s="35" t="str">
        <f t="shared" si="20"/>
        <v/>
      </c>
      <c r="BE10" s="36" t="str">
        <f t="shared" si="21"/>
        <v/>
      </c>
      <c r="BF10" s="37"/>
      <c r="BG10" s="33"/>
      <c r="BH10" s="34"/>
      <c r="BI10" s="35" t="str">
        <f t="shared" si="22"/>
        <v/>
      </c>
      <c r="BJ10" s="36" t="str">
        <f t="shared" si="23"/>
        <v/>
      </c>
      <c r="BK10" s="37"/>
      <c r="BL10" s="33"/>
      <c r="BM10" s="34"/>
      <c r="BN10" s="35" t="str">
        <f t="shared" si="24"/>
        <v/>
      </c>
      <c r="BO10" s="36" t="str">
        <f t="shared" si="25"/>
        <v/>
      </c>
      <c r="BP10" s="37"/>
      <c r="BQ10" s="33"/>
      <c r="BR10" s="34"/>
      <c r="BS10" s="35" t="str">
        <f t="shared" si="26"/>
        <v/>
      </c>
      <c r="BT10" s="36" t="str">
        <f t="shared" si="27"/>
        <v/>
      </c>
      <c r="BU10" s="37"/>
      <c r="BV10" s="33"/>
      <c r="BW10" s="34"/>
      <c r="BX10" s="35" t="str">
        <f t="shared" si="28"/>
        <v/>
      </c>
      <c r="BY10" s="36" t="str">
        <f t="shared" si="29"/>
        <v/>
      </c>
      <c r="BZ10" s="37"/>
      <c r="CA10" s="33"/>
      <c r="CB10" s="34"/>
      <c r="CC10" s="35" t="str">
        <f t="shared" si="30"/>
        <v/>
      </c>
      <c r="CD10" s="36" t="str">
        <f t="shared" si="31"/>
        <v/>
      </c>
      <c r="CE10" s="37"/>
      <c r="CF10" s="33"/>
      <c r="CG10" s="34"/>
      <c r="CH10" s="35" t="str">
        <f t="shared" si="32"/>
        <v/>
      </c>
      <c r="CI10" s="36" t="str">
        <f t="shared" si="33"/>
        <v/>
      </c>
      <c r="CJ10" s="37"/>
      <c r="CK10" s="33"/>
      <c r="CL10" s="34"/>
      <c r="CM10" s="35" t="str">
        <f t="shared" si="34"/>
        <v/>
      </c>
      <c r="CN10" s="36" t="str">
        <f t="shared" si="35"/>
        <v/>
      </c>
      <c r="CO10" s="37"/>
      <c r="CP10" s="33"/>
      <c r="CQ10" s="34"/>
      <c r="CR10" s="35" t="str">
        <f t="shared" si="36"/>
        <v/>
      </c>
      <c r="CS10" s="36" t="str">
        <f t="shared" si="37"/>
        <v/>
      </c>
      <c r="CT10" s="37"/>
      <c r="CU10" s="33"/>
      <c r="CV10" s="34"/>
      <c r="CW10" s="35" t="str">
        <f t="shared" si="38"/>
        <v/>
      </c>
      <c r="CX10" s="36" t="str">
        <f t="shared" si="39"/>
        <v/>
      </c>
      <c r="CY10" s="37"/>
      <c r="CZ10" s="33"/>
      <c r="DA10" s="34"/>
      <c r="DB10" s="35" t="str">
        <f t="shared" si="40"/>
        <v/>
      </c>
      <c r="DC10" s="36" t="str">
        <f t="shared" si="41"/>
        <v/>
      </c>
      <c r="DD10" s="37"/>
      <c r="DE10" s="33"/>
      <c r="DF10" s="34"/>
      <c r="DG10" s="35" t="str">
        <f t="shared" si="42"/>
        <v/>
      </c>
      <c r="DH10" s="36" t="str">
        <f t="shared" si="43"/>
        <v/>
      </c>
      <c r="DI10" s="37"/>
      <c r="DJ10" s="33"/>
      <c r="DK10" s="34"/>
      <c r="DL10" s="35" t="str">
        <f t="shared" si="44"/>
        <v/>
      </c>
      <c r="DM10" s="36" t="str">
        <f t="shared" si="45"/>
        <v/>
      </c>
      <c r="DN10" s="37"/>
      <c r="DO10" s="33"/>
      <c r="DP10" s="34"/>
      <c r="DQ10" s="35" t="str">
        <f t="shared" si="46"/>
        <v/>
      </c>
      <c r="DR10" s="36" t="str">
        <f t="shared" si="47"/>
        <v/>
      </c>
      <c r="DS10" s="37"/>
      <c r="DT10" s="33"/>
      <c r="DU10" s="34"/>
      <c r="DV10" s="35" t="str">
        <f t="shared" si="48"/>
        <v/>
      </c>
      <c r="DW10" s="36" t="str">
        <f t="shared" si="49"/>
        <v/>
      </c>
      <c r="DX10" s="37"/>
      <c r="DY10" s="33"/>
      <c r="DZ10" s="34"/>
      <c r="EA10" s="35" t="str">
        <f t="shared" si="50"/>
        <v/>
      </c>
      <c r="EB10" s="36" t="str">
        <f t="shared" si="51"/>
        <v/>
      </c>
      <c r="EC10" s="37"/>
      <c r="ED10" s="33"/>
      <c r="EE10" s="34"/>
      <c r="EF10" s="35" t="str">
        <f t="shared" si="52"/>
        <v/>
      </c>
      <c r="EG10" s="36" t="str">
        <f t="shared" si="53"/>
        <v/>
      </c>
      <c r="EH10" s="37"/>
      <c r="EI10" s="33"/>
      <c r="EJ10" s="34"/>
      <c r="EK10" s="35" t="str">
        <f t="shared" si="54"/>
        <v/>
      </c>
      <c r="EL10" s="36" t="str">
        <f t="shared" si="55"/>
        <v/>
      </c>
      <c r="EM10" s="37"/>
      <c r="EN10" s="33"/>
      <c r="EO10" s="34"/>
      <c r="EP10" s="35" t="str">
        <f t="shared" si="56"/>
        <v/>
      </c>
      <c r="EQ10" s="36" t="str">
        <f t="shared" si="57"/>
        <v/>
      </c>
      <c r="ER10" s="37"/>
      <c r="ES10" s="33"/>
      <c r="ET10" s="34"/>
      <c r="EU10" s="35" t="str">
        <f t="shared" si="58"/>
        <v/>
      </c>
      <c r="EV10" s="36" t="str">
        <f t="shared" si="59"/>
        <v/>
      </c>
      <c r="EW10" s="37"/>
    </row>
    <row r="11" spans="1:153" ht="19.5" customHeight="1">
      <c r="A11" s="32">
        <f>IF(DAY(DATE(対象年度,9,8))&lt;&gt;8,"",8)</f>
        <v>8</v>
      </c>
      <c r="B11" s="32" t="str">
        <f>IF(DAY(DATE(対象年度,9,8))&lt;&gt;8,"",CHOOSE(WEEKDAY(DATE(対象年度,9,8),2),"月","火","水","木","金","土","日"))</f>
        <v>火</v>
      </c>
      <c r="C11" s="32" t="str">
        <f>IF(DAY(DATE(対象年度,9,8))&lt;&gt;8,"",IF(ISNUMBER(MATCH(DATE(対象年度,9,8),祝日リスト,0)),"祝",""))</f>
        <v/>
      </c>
      <c r="D11" s="33"/>
      <c r="E11" s="34"/>
      <c r="F11" s="35" t="str">
        <f t="shared" si="0"/>
        <v/>
      </c>
      <c r="G11" s="36" t="str">
        <f t="shared" si="1"/>
        <v/>
      </c>
      <c r="H11" s="37"/>
      <c r="I11" s="33"/>
      <c r="J11" s="34"/>
      <c r="K11" s="35" t="str">
        <f t="shared" si="2"/>
        <v/>
      </c>
      <c r="L11" s="36" t="str">
        <f t="shared" si="3"/>
        <v/>
      </c>
      <c r="M11" s="37"/>
      <c r="N11" s="33"/>
      <c r="O11" s="34"/>
      <c r="P11" s="35" t="str">
        <f t="shared" si="4"/>
        <v/>
      </c>
      <c r="Q11" s="36" t="str">
        <f t="shared" si="5"/>
        <v/>
      </c>
      <c r="R11" s="37"/>
      <c r="S11" s="33"/>
      <c r="T11" s="34"/>
      <c r="U11" s="35" t="str">
        <f t="shared" si="6"/>
        <v/>
      </c>
      <c r="V11" s="36" t="str">
        <f t="shared" si="7"/>
        <v/>
      </c>
      <c r="W11" s="37"/>
      <c r="X11" s="33"/>
      <c r="Y11" s="34"/>
      <c r="Z11" s="35" t="str">
        <f t="shared" si="8"/>
        <v/>
      </c>
      <c r="AA11" s="36" t="str">
        <f t="shared" si="9"/>
        <v/>
      </c>
      <c r="AB11" s="37"/>
      <c r="AC11" s="33"/>
      <c r="AD11" s="34"/>
      <c r="AE11" s="35" t="str">
        <f t="shared" si="10"/>
        <v/>
      </c>
      <c r="AF11" s="36" t="str">
        <f t="shared" si="11"/>
        <v/>
      </c>
      <c r="AG11" s="37"/>
      <c r="AH11" s="33"/>
      <c r="AI11" s="34"/>
      <c r="AJ11" s="35" t="str">
        <f t="shared" si="12"/>
        <v/>
      </c>
      <c r="AK11" s="36" t="str">
        <f t="shared" si="13"/>
        <v/>
      </c>
      <c r="AL11" s="37"/>
      <c r="AM11" s="33"/>
      <c r="AN11" s="34"/>
      <c r="AO11" s="35" t="str">
        <f t="shared" si="14"/>
        <v/>
      </c>
      <c r="AP11" s="36" t="str">
        <f t="shared" si="15"/>
        <v/>
      </c>
      <c r="AQ11" s="37"/>
      <c r="AR11" s="33"/>
      <c r="AS11" s="34"/>
      <c r="AT11" s="35" t="str">
        <f t="shared" si="16"/>
        <v/>
      </c>
      <c r="AU11" s="36" t="str">
        <f t="shared" si="17"/>
        <v/>
      </c>
      <c r="AV11" s="37"/>
      <c r="AW11" s="33"/>
      <c r="AX11" s="34"/>
      <c r="AY11" s="35" t="str">
        <f t="shared" si="18"/>
        <v/>
      </c>
      <c r="AZ11" s="36" t="str">
        <f t="shared" si="19"/>
        <v/>
      </c>
      <c r="BA11" s="37"/>
      <c r="BB11" s="33"/>
      <c r="BC11" s="34"/>
      <c r="BD11" s="35" t="str">
        <f t="shared" si="20"/>
        <v/>
      </c>
      <c r="BE11" s="36" t="str">
        <f t="shared" si="21"/>
        <v/>
      </c>
      <c r="BF11" s="37"/>
      <c r="BG11" s="33"/>
      <c r="BH11" s="34"/>
      <c r="BI11" s="35" t="str">
        <f t="shared" si="22"/>
        <v/>
      </c>
      <c r="BJ11" s="36" t="str">
        <f t="shared" si="23"/>
        <v/>
      </c>
      <c r="BK11" s="37"/>
      <c r="BL11" s="33"/>
      <c r="BM11" s="34"/>
      <c r="BN11" s="35" t="str">
        <f t="shared" si="24"/>
        <v/>
      </c>
      <c r="BO11" s="36" t="str">
        <f t="shared" si="25"/>
        <v/>
      </c>
      <c r="BP11" s="37"/>
      <c r="BQ11" s="33"/>
      <c r="BR11" s="34"/>
      <c r="BS11" s="35" t="str">
        <f t="shared" si="26"/>
        <v/>
      </c>
      <c r="BT11" s="36" t="str">
        <f t="shared" si="27"/>
        <v/>
      </c>
      <c r="BU11" s="37"/>
      <c r="BV11" s="33"/>
      <c r="BW11" s="34"/>
      <c r="BX11" s="35" t="str">
        <f t="shared" si="28"/>
        <v/>
      </c>
      <c r="BY11" s="36" t="str">
        <f t="shared" si="29"/>
        <v/>
      </c>
      <c r="BZ11" s="37"/>
      <c r="CA11" s="33"/>
      <c r="CB11" s="34"/>
      <c r="CC11" s="35" t="str">
        <f t="shared" si="30"/>
        <v/>
      </c>
      <c r="CD11" s="36" t="str">
        <f t="shared" si="31"/>
        <v/>
      </c>
      <c r="CE11" s="37"/>
      <c r="CF11" s="33"/>
      <c r="CG11" s="34"/>
      <c r="CH11" s="35" t="str">
        <f t="shared" si="32"/>
        <v/>
      </c>
      <c r="CI11" s="36" t="str">
        <f t="shared" si="33"/>
        <v/>
      </c>
      <c r="CJ11" s="37"/>
      <c r="CK11" s="33"/>
      <c r="CL11" s="34"/>
      <c r="CM11" s="35" t="str">
        <f t="shared" si="34"/>
        <v/>
      </c>
      <c r="CN11" s="36" t="str">
        <f t="shared" si="35"/>
        <v/>
      </c>
      <c r="CO11" s="37"/>
      <c r="CP11" s="33"/>
      <c r="CQ11" s="34"/>
      <c r="CR11" s="35" t="str">
        <f t="shared" si="36"/>
        <v/>
      </c>
      <c r="CS11" s="36" t="str">
        <f t="shared" si="37"/>
        <v/>
      </c>
      <c r="CT11" s="37"/>
      <c r="CU11" s="33"/>
      <c r="CV11" s="34"/>
      <c r="CW11" s="35" t="str">
        <f t="shared" si="38"/>
        <v/>
      </c>
      <c r="CX11" s="36" t="str">
        <f t="shared" si="39"/>
        <v/>
      </c>
      <c r="CY11" s="37"/>
      <c r="CZ11" s="33"/>
      <c r="DA11" s="34"/>
      <c r="DB11" s="35" t="str">
        <f t="shared" si="40"/>
        <v/>
      </c>
      <c r="DC11" s="36" t="str">
        <f t="shared" si="41"/>
        <v/>
      </c>
      <c r="DD11" s="37"/>
      <c r="DE11" s="33"/>
      <c r="DF11" s="34"/>
      <c r="DG11" s="35" t="str">
        <f t="shared" si="42"/>
        <v/>
      </c>
      <c r="DH11" s="36" t="str">
        <f t="shared" si="43"/>
        <v/>
      </c>
      <c r="DI11" s="37"/>
      <c r="DJ11" s="33"/>
      <c r="DK11" s="34"/>
      <c r="DL11" s="35" t="str">
        <f t="shared" si="44"/>
        <v/>
      </c>
      <c r="DM11" s="36" t="str">
        <f t="shared" si="45"/>
        <v/>
      </c>
      <c r="DN11" s="37"/>
      <c r="DO11" s="33"/>
      <c r="DP11" s="34"/>
      <c r="DQ11" s="35" t="str">
        <f t="shared" si="46"/>
        <v/>
      </c>
      <c r="DR11" s="36" t="str">
        <f t="shared" si="47"/>
        <v/>
      </c>
      <c r="DS11" s="37"/>
      <c r="DT11" s="33"/>
      <c r="DU11" s="34"/>
      <c r="DV11" s="35" t="str">
        <f t="shared" si="48"/>
        <v/>
      </c>
      <c r="DW11" s="36" t="str">
        <f t="shared" si="49"/>
        <v/>
      </c>
      <c r="DX11" s="37"/>
      <c r="DY11" s="33"/>
      <c r="DZ11" s="34"/>
      <c r="EA11" s="35" t="str">
        <f t="shared" si="50"/>
        <v/>
      </c>
      <c r="EB11" s="36" t="str">
        <f t="shared" si="51"/>
        <v/>
      </c>
      <c r="EC11" s="37"/>
      <c r="ED11" s="33"/>
      <c r="EE11" s="34"/>
      <c r="EF11" s="35" t="str">
        <f t="shared" si="52"/>
        <v/>
      </c>
      <c r="EG11" s="36" t="str">
        <f t="shared" si="53"/>
        <v/>
      </c>
      <c r="EH11" s="37"/>
      <c r="EI11" s="33"/>
      <c r="EJ11" s="34"/>
      <c r="EK11" s="35" t="str">
        <f t="shared" si="54"/>
        <v/>
      </c>
      <c r="EL11" s="36" t="str">
        <f t="shared" si="55"/>
        <v/>
      </c>
      <c r="EM11" s="37"/>
      <c r="EN11" s="33"/>
      <c r="EO11" s="34"/>
      <c r="EP11" s="35" t="str">
        <f t="shared" si="56"/>
        <v/>
      </c>
      <c r="EQ11" s="36" t="str">
        <f t="shared" si="57"/>
        <v/>
      </c>
      <c r="ER11" s="37"/>
      <c r="ES11" s="33"/>
      <c r="ET11" s="34"/>
      <c r="EU11" s="35" t="str">
        <f t="shared" si="58"/>
        <v/>
      </c>
      <c r="EV11" s="36" t="str">
        <f t="shared" si="59"/>
        <v/>
      </c>
      <c r="EW11" s="37"/>
    </row>
    <row r="12" spans="1:153" ht="19.5" customHeight="1">
      <c r="A12" s="32">
        <f>IF(DAY(DATE(対象年度,9,9))&lt;&gt;9,"",9)</f>
        <v>9</v>
      </c>
      <c r="B12" s="32" t="str">
        <f>IF(DAY(DATE(対象年度,9,9))&lt;&gt;9,"",CHOOSE(WEEKDAY(DATE(対象年度,9,9),2),"月","火","水","木","金","土","日"))</f>
        <v>水</v>
      </c>
      <c r="C12" s="32" t="str">
        <f>IF(DAY(DATE(対象年度,9,9))&lt;&gt;9,"",IF(ISNUMBER(MATCH(DATE(対象年度,9,9),祝日リスト,0)),"祝",""))</f>
        <v/>
      </c>
      <c r="D12" s="33"/>
      <c r="E12" s="34"/>
      <c r="F12" s="35" t="str">
        <f t="shared" si="0"/>
        <v/>
      </c>
      <c r="G12" s="36" t="str">
        <f t="shared" si="1"/>
        <v/>
      </c>
      <c r="H12" s="37"/>
      <c r="I12" s="33"/>
      <c r="J12" s="34"/>
      <c r="K12" s="35" t="str">
        <f t="shared" si="2"/>
        <v/>
      </c>
      <c r="L12" s="36" t="str">
        <f t="shared" si="3"/>
        <v/>
      </c>
      <c r="M12" s="37"/>
      <c r="N12" s="33"/>
      <c r="O12" s="34"/>
      <c r="P12" s="35" t="str">
        <f t="shared" si="4"/>
        <v/>
      </c>
      <c r="Q12" s="36" t="str">
        <f t="shared" si="5"/>
        <v/>
      </c>
      <c r="R12" s="37"/>
      <c r="S12" s="33"/>
      <c r="T12" s="34"/>
      <c r="U12" s="35" t="str">
        <f t="shared" si="6"/>
        <v/>
      </c>
      <c r="V12" s="36" t="str">
        <f t="shared" si="7"/>
        <v/>
      </c>
      <c r="W12" s="37"/>
      <c r="X12" s="33"/>
      <c r="Y12" s="34"/>
      <c r="Z12" s="35" t="str">
        <f t="shared" si="8"/>
        <v/>
      </c>
      <c r="AA12" s="36" t="str">
        <f t="shared" si="9"/>
        <v/>
      </c>
      <c r="AB12" s="37"/>
      <c r="AC12" s="33"/>
      <c r="AD12" s="34"/>
      <c r="AE12" s="35" t="str">
        <f t="shared" si="10"/>
        <v/>
      </c>
      <c r="AF12" s="36" t="str">
        <f t="shared" si="11"/>
        <v/>
      </c>
      <c r="AG12" s="37"/>
      <c r="AH12" s="33"/>
      <c r="AI12" s="34"/>
      <c r="AJ12" s="35" t="str">
        <f t="shared" si="12"/>
        <v/>
      </c>
      <c r="AK12" s="36" t="str">
        <f t="shared" si="13"/>
        <v/>
      </c>
      <c r="AL12" s="37"/>
      <c r="AM12" s="33"/>
      <c r="AN12" s="34"/>
      <c r="AO12" s="35" t="str">
        <f t="shared" si="14"/>
        <v/>
      </c>
      <c r="AP12" s="36" t="str">
        <f t="shared" si="15"/>
        <v/>
      </c>
      <c r="AQ12" s="37"/>
      <c r="AR12" s="33"/>
      <c r="AS12" s="34"/>
      <c r="AT12" s="35" t="str">
        <f t="shared" si="16"/>
        <v/>
      </c>
      <c r="AU12" s="36" t="str">
        <f t="shared" si="17"/>
        <v/>
      </c>
      <c r="AV12" s="37"/>
      <c r="AW12" s="33"/>
      <c r="AX12" s="34"/>
      <c r="AY12" s="35" t="str">
        <f t="shared" si="18"/>
        <v/>
      </c>
      <c r="AZ12" s="36" t="str">
        <f t="shared" si="19"/>
        <v/>
      </c>
      <c r="BA12" s="37"/>
      <c r="BB12" s="33"/>
      <c r="BC12" s="34"/>
      <c r="BD12" s="35" t="str">
        <f t="shared" si="20"/>
        <v/>
      </c>
      <c r="BE12" s="36" t="str">
        <f t="shared" si="21"/>
        <v/>
      </c>
      <c r="BF12" s="37"/>
      <c r="BG12" s="33"/>
      <c r="BH12" s="34"/>
      <c r="BI12" s="35" t="str">
        <f t="shared" si="22"/>
        <v/>
      </c>
      <c r="BJ12" s="36" t="str">
        <f t="shared" si="23"/>
        <v/>
      </c>
      <c r="BK12" s="37"/>
      <c r="BL12" s="33"/>
      <c r="BM12" s="34"/>
      <c r="BN12" s="35" t="str">
        <f t="shared" si="24"/>
        <v/>
      </c>
      <c r="BO12" s="36" t="str">
        <f t="shared" si="25"/>
        <v/>
      </c>
      <c r="BP12" s="37"/>
      <c r="BQ12" s="33"/>
      <c r="BR12" s="34"/>
      <c r="BS12" s="35" t="str">
        <f t="shared" si="26"/>
        <v/>
      </c>
      <c r="BT12" s="36" t="str">
        <f t="shared" si="27"/>
        <v/>
      </c>
      <c r="BU12" s="37"/>
      <c r="BV12" s="33"/>
      <c r="BW12" s="34"/>
      <c r="BX12" s="35" t="str">
        <f t="shared" si="28"/>
        <v/>
      </c>
      <c r="BY12" s="36" t="str">
        <f t="shared" si="29"/>
        <v/>
      </c>
      <c r="BZ12" s="37"/>
      <c r="CA12" s="33"/>
      <c r="CB12" s="34"/>
      <c r="CC12" s="35" t="str">
        <f t="shared" si="30"/>
        <v/>
      </c>
      <c r="CD12" s="36" t="str">
        <f t="shared" si="31"/>
        <v/>
      </c>
      <c r="CE12" s="37"/>
      <c r="CF12" s="33"/>
      <c r="CG12" s="34"/>
      <c r="CH12" s="35" t="str">
        <f t="shared" si="32"/>
        <v/>
      </c>
      <c r="CI12" s="36" t="str">
        <f t="shared" si="33"/>
        <v/>
      </c>
      <c r="CJ12" s="37"/>
      <c r="CK12" s="33"/>
      <c r="CL12" s="34"/>
      <c r="CM12" s="35" t="str">
        <f t="shared" si="34"/>
        <v/>
      </c>
      <c r="CN12" s="36" t="str">
        <f t="shared" si="35"/>
        <v/>
      </c>
      <c r="CO12" s="37"/>
      <c r="CP12" s="33"/>
      <c r="CQ12" s="34"/>
      <c r="CR12" s="35" t="str">
        <f t="shared" si="36"/>
        <v/>
      </c>
      <c r="CS12" s="36" t="str">
        <f t="shared" si="37"/>
        <v/>
      </c>
      <c r="CT12" s="37"/>
      <c r="CU12" s="33"/>
      <c r="CV12" s="34"/>
      <c r="CW12" s="35" t="str">
        <f t="shared" si="38"/>
        <v/>
      </c>
      <c r="CX12" s="36" t="str">
        <f t="shared" si="39"/>
        <v/>
      </c>
      <c r="CY12" s="37"/>
      <c r="CZ12" s="33"/>
      <c r="DA12" s="34"/>
      <c r="DB12" s="35" t="str">
        <f t="shared" si="40"/>
        <v/>
      </c>
      <c r="DC12" s="36" t="str">
        <f t="shared" si="41"/>
        <v/>
      </c>
      <c r="DD12" s="37"/>
      <c r="DE12" s="33"/>
      <c r="DF12" s="34"/>
      <c r="DG12" s="35" t="str">
        <f t="shared" si="42"/>
        <v/>
      </c>
      <c r="DH12" s="36" t="str">
        <f t="shared" si="43"/>
        <v/>
      </c>
      <c r="DI12" s="37"/>
      <c r="DJ12" s="33"/>
      <c r="DK12" s="34"/>
      <c r="DL12" s="35" t="str">
        <f t="shared" si="44"/>
        <v/>
      </c>
      <c r="DM12" s="36" t="str">
        <f t="shared" si="45"/>
        <v/>
      </c>
      <c r="DN12" s="37"/>
      <c r="DO12" s="33"/>
      <c r="DP12" s="34"/>
      <c r="DQ12" s="35" t="str">
        <f t="shared" si="46"/>
        <v/>
      </c>
      <c r="DR12" s="36" t="str">
        <f t="shared" si="47"/>
        <v/>
      </c>
      <c r="DS12" s="37"/>
      <c r="DT12" s="33"/>
      <c r="DU12" s="34"/>
      <c r="DV12" s="35" t="str">
        <f t="shared" si="48"/>
        <v/>
      </c>
      <c r="DW12" s="36" t="str">
        <f t="shared" si="49"/>
        <v/>
      </c>
      <c r="DX12" s="37"/>
      <c r="DY12" s="33"/>
      <c r="DZ12" s="34"/>
      <c r="EA12" s="35" t="str">
        <f t="shared" si="50"/>
        <v/>
      </c>
      <c r="EB12" s="36" t="str">
        <f t="shared" si="51"/>
        <v/>
      </c>
      <c r="EC12" s="37"/>
      <c r="ED12" s="33"/>
      <c r="EE12" s="34"/>
      <c r="EF12" s="35" t="str">
        <f t="shared" si="52"/>
        <v/>
      </c>
      <c r="EG12" s="36" t="str">
        <f t="shared" si="53"/>
        <v/>
      </c>
      <c r="EH12" s="37"/>
      <c r="EI12" s="33"/>
      <c r="EJ12" s="34"/>
      <c r="EK12" s="35" t="str">
        <f t="shared" si="54"/>
        <v/>
      </c>
      <c r="EL12" s="36" t="str">
        <f t="shared" si="55"/>
        <v/>
      </c>
      <c r="EM12" s="37"/>
      <c r="EN12" s="33"/>
      <c r="EO12" s="34"/>
      <c r="EP12" s="35" t="str">
        <f t="shared" si="56"/>
        <v/>
      </c>
      <c r="EQ12" s="36" t="str">
        <f t="shared" si="57"/>
        <v/>
      </c>
      <c r="ER12" s="37"/>
      <c r="ES12" s="33"/>
      <c r="ET12" s="34"/>
      <c r="EU12" s="35" t="str">
        <f t="shared" si="58"/>
        <v/>
      </c>
      <c r="EV12" s="36" t="str">
        <f t="shared" si="59"/>
        <v/>
      </c>
      <c r="EW12" s="37"/>
    </row>
    <row r="13" spans="1:153" ht="19.5" customHeight="1">
      <c r="A13" s="32">
        <f>IF(DAY(DATE(対象年度,9,10))&lt;&gt;10,"",10)</f>
        <v>10</v>
      </c>
      <c r="B13" s="32" t="str">
        <f>IF(DAY(DATE(対象年度,9,10))&lt;&gt;10,"",CHOOSE(WEEKDAY(DATE(対象年度,9,10),2),"月","火","水","木","金","土","日"))</f>
        <v>木</v>
      </c>
      <c r="C13" s="32" t="str">
        <f>IF(DAY(DATE(対象年度,9,10))&lt;&gt;10,"",IF(ISNUMBER(MATCH(DATE(対象年度,9,10),祝日リスト,0)),"祝",""))</f>
        <v/>
      </c>
      <c r="D13" s="33"/>
      <c r="E13" s="34"/>
      <c r="F13" s="35" t="str">
        <f t="shared" si="0"/>
        <v/>
      </c>
      <c r="G13" s="36" t="str">
        <f t="shared" si="1"/>
        <v/>
      </c>
      <c r="H13" s="37"/>
      <c r="I13" s="33"/>
      <c r="J13" s="34"/>
      <c r="K13" s="35" t="str">
        <f t="shared" si="2"/>
        <v/>
      </c>
      <c r="L13" s="36" t="str">
        <f t="shared" si="3"/>
        <v/>
      </c>
      <c r="M13" s="37"/>
      <c r="N13" s="33"/>
      <c r="O13" s="34"/>
      <c r="P13" s="35" t="str">
        <f t="shared" si="4"/>
        <v/>
      </c>
      <c r="Q13" s="36" t="str">
        <f t="shared" si="5"/>
        <v/>
      </c>
      <c r="R13" s="37"/>
      <c r="S13" s="33"/>
      <c r="T13" s="34"/>
      <c r="U13" s="35" t="str">
        <f t="shared" si="6"/>
        <v/>
      </c>
      <c r="V13" s="36" t="str">
        <f t="shared" si="7"/>
        <v/>
      </c>
      <c r="W13" s="37"/>
      <c r="X13" s="33"/>
      <c r="Y13" s="34"/>
      <c r="Z13" s="35" t="str">
        <f t="shared" si="8"/>
        <v/>
      </c>
      <c r="AA13" s="36" t="str">
        <f t="shared" si="9"/>
        <v/>
      </c>
      <c r="AB13" s="37"/>
      <c r="AC13" s="33"/>
      <c r="AD13" s="34"/>
      <c r="AE13" s="35" t="str">
        <f t="shared" si="10"/>
        <v/>
      </c>
      <c r="AF13" s="36" t="str">
        <f t="shared" si="11"/>
        <v/>
      </c>
      <c r="AG13" s="37"/>
      <c r="AH13" s="33"/>
      <c r="AI13" s="34"/>
      <c r="AJ13" s="35" t="str">
        <f t="shared" si="12"/>
        <v/>
      </c>
      <c r="AK13" s="36" t="str">
        <f t="shared" si="13"/>
        <v/>
      </c>
      <c r="AL13" s="37"/>
      <c r="AM13" s="33"/>
      <c r="AN13" s="34"/>
      <c r="AO13" s="35" t="str">
        <f t="shared" si="14"/>
        <v/>
      </c>
      <c r="AP13" s="36" t="str">
        <f t="shared" si="15"/>
        <v/>
      </c>
      <c r="AQ13" s="37"/>
      <c r="AR13" s="33"/>
      <c r="AS13" s="34"/>
      <c r="AT13" s="35" t="str">
        <f t="shared" si="16"/>
        <v/>
      </c>
      <c r="AU13" s="36" t="str">
        <f t="shared" si="17"/>
        <v/>
      </c>
      <c r="AV13" s="37"/>
      <c r="AW13" s="33"/>
      <c r="AX13" s="34"/>
      <c r="AY13" s="35" t="str">
        <f t="shared" si="18"/>
        <v/>
      </c>
      <c r="AZ13" s="36" t="str">
        <f t="shared" si="19"/>
        <v/>
      </c>
      <c r="BA13" s="37"/>
      <c r="BB13" s="33"/>
      <c r="BC13" s="34"/>
      <c r="BD13" s="35" t="str">
        <f t="shared" si="20"/>
        <v/>
      </c>
      <c r="BE13" s="36" t="str">
        <f t="shared" si="21"/>
        <v/>
      </c>
      <c r="BF13" s="37"/>
      <c r="BG13" s="33"/>
      <c r="BH13" s="34"/>
      <c r="BI13" s="35" t="str">
        <f t="shared" si="22"/>
        <v/>
      </c>
      <c r="BJ13" s="36" t="str">
        <f t="shared" si="23"/>
        <v/>
      </c>
      <c r="BK13" s="37"/>
      <c r="BL13" s="33"/>
      <c r="BM13" s="34"/>
      <c r="BN13" s="35" t="str">
        <f t="shared" si="24"/>
        <v/>
      </c>
      <c r="BO13" s="36" t="str">
        <f t="shared" si="25"/>
        <v/>
      </c>
      <c r="BP13" s="37"/>
      <c r="BQ13" s="33"/>
      <c r="BR13" s="34"/>
      <c r="BS13" s="35" t="str">
        <f t="shared" si="26"/>
        <v/>
      </c>
      <c r="BT13" s="36" t="str">
        <f t="shared" si="27"/>
        <v/>
      </c>
      <c r="BU13" s="37"/>
      <c r="BV13" s="33"/>
      <c r="BW13" s="34"/>
      <c r="BX13" s="35" t="str">
        <f t="shared" si="28"/>
        <v/>
      </c>
      <c r="BY13" s="36" t="str">
        <f t="shared" si="29"/>
        <v/>
      </c>
      <c r="BZ13" s="37"/>
      <c r="CA13" s="33"/>
      <c r="CB13" s="34"/>
      <c r="CC13" s="35" t="str">
        <f t="shared" si="30"/>
        <v/>
      </c>
      <c r="CD13" s="36" t="str">
        <f t="shared" si="31"/>
        <v/>
      </c>
      <c r="CE13" s="37"/>
      <c r="CF13" s="33"/>
      <c r="CG13" s="34"/>
      <c r="CH13" s="35" t="str">
        <f t="shared" si="32"/>
        <v/>
      </c>
      <c r="CI13" s="36" t="str">
        <f t="shared" si="33"/>
        <v/>
      </c>
      <c r="CJ13" s="37"/>
      <c r="CK13" s="33"/>
      <c r="CL13" s="34"/>
      <c r="CM13" s="35" t="str">
        <f t="shared" si="34"/>
        <v/>
      </c>
      <c r="CN13" s="36" t="str">
        <f t="shared" si="35"/>
        <v/>
      </c>
      <c r="CO13" s="37"/>
      <c r="CP13" s="33"/>
      <c r="CQ13" s="34"/>
      <c r="CR13" s="35" t="str">
        <f t="shared" si="36"/>
        <v/>
      </c>
      <c r="CS13" s="36" t="str">
        <f t="shared" si="37"/>
        <v/>
      </c>
      <c r="CT13" s="37"/>
      <c r="CU13" s="33"/>
      <c r="CV13" s="34"/>
      <c r="CW13" s="35" t="str">
        <f t="shared" si="38"/>
        <v/>
      </c>
      <c r="CX13" s="36" t="str">
        <f t="shared" si="39"/>
        <v/>
      </c>
      <c r="CY13" s="37"/>
      <c r="CZ13" s="33"/>
      <c r="DA13" s="34"/>
      <c r="DB13" s="35" t="str">
        <f t="shared" si="40"/>
        <v/>
      </c>
      <c r="DC13" s="36" t="str">
        <f t="shared" si="41"/>
        <v/>
      </c>
      <c r="DD13" s="37"/>
      <c r="DE13" s="33"/>
      <c r="DF13" s="34"/>
      <c r="DG13" s="35" t="str">
        <f t="shared" si="42"/>
        <v/>
      </c>
      <c r="DH13" s="36" t="str">
        <f t="shared" si="43"/>
        <v/>
      </c>
      <c r="DI13" s="37"/>
      <c r="DJ13" s="33"/>
      <c r="DK13" s="34"/>
      <c r="DL13" s="35" t="str">
        <f t="shared" si="44"/>
        <v/>
      </c>
      <c r="DM13" s="36" t="str">
        <f t="shared" si="45"/>
        <v/>
      </c>
      <c r="DN13" s="37"/>
      <c r="DO13" s="33"/>
      <c r="DP13" s="34"/>
      <c r="DQ13" s="35" t="str">
        <f t="shared" si="46"/>
        <v/>
      </c>
      <c r="DR13" s="36" t="str">
        <f t="shared" si="47"/>
        <v/>
      </c>
      <c r="DS13" s="37"/>
      <c r="DT13" s="33"/>
      <c r="DU13" s="34"/>
      <c r="DV13" s="35" t="str">
        <f t="shared" si="48"/>
        <v/>
      </c>
      <c r="DW13" s="36" t="str">
        <f t="shared" si="49"/>
        <v/>
      </c>
      <c r="DX13" s="37"/>
      <c r="DY13" s="33"/>
      <c r="DZ13" s="34"/>
      <c r="EA13" s="35" t="str">
        <f t="shared" si="50"/>
        <v/>
      </c>
      <c r="EB13" s="36" t="str">
        <f t="shared" si="51"/>
        <v/>
      </c>
      <c r="EC13" s="37"/>
      <c r="ED13" s="33"/>
      <c r="EE13" s="34"/>
      <c r="EF13" s="35" t="str">
        <f t="shared" si="52"/>
        <v/>
      </c>
      <c r="EG13" s="36" t="str">
        <f t="shared" si="53"/>
        <v/>
      </c>
      <c r="EH13" s="37"/>
      <c r="EI13" s="33"/>
      <c r="EJ13" s="34"/>
      <c r="EK13" s="35" t="str">
        <f t="shared" si="54"/>
        <v/>
      </c>
      <c r="EL13" s="36" t="str">
        <f t="shared" si="55"/>
        <v/>
      </c>
      <c r="EM13" s="37"/>
      <c r="EN13" s="33"/>
      <c r="EO13" s="34"/>
      <c r="EP13" s="35" t="str">
        <f t="shared" si="56"/>
        <v/>
      </c>
      <c r="EQ13" s="36" t="str">
        <f t="shared" si="57"/>
        <v/>
      </c>
      <c r="ER13" s="37"/>
      <c r="ES13" s="33"/>
      <c r="ET13" s="34"/>
      <c r="EU13" s="35" t="str">
        <f t="shared" si="58"/>
        <v/>
      </c>
      <c r="EV13" s="36" t="str">
        <f t="shared" si="59"/>
        <v/>
      </c>
      <c r="EW13" s="37"/>
    </row>
    <row r="14" spans="1:153" ht="19.5" customHeight="1">
      <c r="A14" s="32">
        <f>IF(DAY(DATE(対象年度,9,11))&lt;&gt;11,"",11)</f>
        <v>11</v>
      </c>
      <c r="B14" s="32" t="str">
        <f>IF(DAY(DATE(対象年度,9,11))&lt;&gt;11,"",CHOOSE(WEEKDAY(DATE(対象年度,9,11),2),"月","火","水","木","金","土","日"))</f>
        <v>金</v>
      </c>
      <c r="C14" s="32" t="str">
        <f>IF(DAY(DATE(対象年度,9,11))&lt;&gt;11,"",IF(ISNUMBER(MATCH(DATE(対象年度,9,11),祝日リスト,0)),"祝",""))</f>
        <v/>
      </c>
      <c r="D14" s="33"/>
      <c r="E14" s="34"/>
      <c r="F14" s="35" t="str">
        <f t="shared" si="0"/>
        <v/>
      </c>
      <c r="G14" s="36" t="str">
        <f t="shared" si="1"/>
        <v/>
      </c>
      <c r="H14" s="37"/>
      <c r="I14" s="33"/>
      <c r="J14" s="34"/>
      <c r="K14" s="35" t="str">
        <f t="shared" si="2"/>
        <v/>
      </c>
      <c r="L14" s="36" t="str">
        <f t="shared" si="3"/>
        <v/>
      </c>
      <c r="M14" s="37"/>
      <c r="N14" s="33"/>
      <c r="O14" s="34"/>
      <c r="P14" s="35" t="str">
        <f t="shared" si="4"/>
        <v/>
      </c>
      <c r="Q14" s="36" t="str">
        <f t="shared" si="5"/>
        <v/>
      </c>
      <c r="R14" s="37"/>
      <c r="S14" s="33"/>
      <c r="T14" s="34"/>
      <c r="U14" s="35" t="str">
        <f t="shared" si="6"/>
        <v/>
      </c>
      <c r="V14" s="36" t="str">
        <f t="shared" si="7"/>
        <v/>
      </c>
      <c r="W14" s="37"/>
      <c r="X14" s="33"/>
      <c r="Y14" s="34"/>
      <c r="Z14" s="35" t="str">
        <f t="shared" si="8"/>
        <v/>
      </c>
      <c r="AA14" s="36" t="str">
        <f t="shared" si="9"/>
        <v/>
      </c>
      <c r="AB14" s="37"/>
      <c r="AC14" s="33"/>
      <c r="AD14" s="34"/>
      <c r="AE14" s="35" t="str">
        <f t="shared" si="10"/>
        <v/>
      </c>
      <c r="AF14" s="36" t="str">
        <f t="shared" si="11"/>
        <v/>
      </c>
      <c r="AG14" s="37"/>
      <c r="AH14" s="33"/>
      <c r="AI14" s="34"/>
      <c r="AJ14" s="35" t="str">
        <f t="shared" si="12"/>
        <v/>
      </c>
      <c r="AK14" s="36" t="str">
        <f t="shared" si="13"/>
        <v/>
      </c>
      <c r="AL14" s="37"/>
      <c r="AM14" s="33"/>
      <c r="AN14" s="34"/>
      <c r="AO14" s="35" t="str">
        <f t="shared" si="14"/>
        <v/>
      </c>
      <c r="AP14" s="36" t="str">
        <f t="shared" si="15"/>
        <v/>
      </c>
      <c r="AQ14" s="37"/>
      <c r="AR14" s="33"/>
      <c r="AS14" s="34"/>
      <c r="AT14" s="35" t="str">
        <f t="shared" si="16"/>
        <v/>
      </c>
      <c r="AU14" s="36" t="str">
        <f t="shared" si="17"/>
        <v/>
      </c>
      <c r="AV14" s="37"/>
      <c r="AW14" s="33"/>
      <c r="AX14" s="34"/>
      <c r="AY14" s="35" t="str">
        <f t="shared" si="18"/>
        <v/>
      </c>
      <c r="AZ14" s="36" t="str">
        <f t="shared" si="19"/>
        <v/>
      </c>
      <c r="BA14" s="37"/>
      <c r="BB14" s="33"/>
      <c r="BC14" s="34"/>
      <c r="BD14" s="35" t="str">
        <f t="shared" si="20"/>
        <v/>
      </c>
      <c r="BE14" s="36" t="str">
        <f t="shared" si="21"/>
        <v/>
      </c>
      <c r="BF14" s="37"/>
      <c r="BG14" s="33"/>
      <c r="BH14" s="34"/>
      <c r="BI14" s="35" t="str">
        <f t="shared" si="22"/>
        <v/>
      </c>
      <c r="BJ14" s="36" t="str">
        <f t="shared" si="23"/>
        <v/>
      </c>
      <c r="BK14" s="37"/>
      <c r="BL14" s="33"/>
      <c r="BM14" s="34"/>
      <c r="BN14" s="35" t="str">
        <f t="shared" si="24"/>
        <v/>
      </c>
      <c r="BO14" s="36" t="str">
        <f t="shared" si="25"/>
        <v/>
      </c>
      <c r="BP14" s="37"/>
      <c r="BQ14" s="33"/>
      <c r="BR14" s="34"/>
      <c r="BS14" s="35" t="str">
        <f t="shared" si="26"/>
        <v/>
      </c>
      <c r="BT14" s="36" t="str">
        <f t="shared" si="27"/>
        <v/>
      </c>
      <c r="BU14" s="37"/>
      <c r="BV14" s="33"/>
      <c r="BW14" s="34"/>
      <c r="BX14" s="35" t="str">
        <f t="shared" si="28"/>
        <v/>
      </c>
      <c r="BY14" s="36" t="str">
        <f t="shared" si="29"/>
        <v/>
      </c>
      <c r="BZ14" s="37"/>
      <c r="CA14" s="33"/>
      <c r="CB14" s="34"/>
      <c r="CC14" s="35" t="str">
        <f t="shared" si="30"/>
        <v/>
      </c>
      <c r="CD14" s="36" t="str">
        <f t="shared" si="31"/>
        <v/>
      </c>
      <c r="CE14" s="37"/>
      <c r="CF14" s="33"/>
      <c r="CG14" s="34"/>
      <c r="CH14" s="35" t="str">
        <f t="shared" si="32"/>
        <v/>
      </c>
      <c r="CI14" s="36" t="str">
        <f t="shared" si="33"/>
        <v/>
      </c>
      <c r="CJ14" s="37"/>
      <c r="CK14" s="33"/>
      <c r="CL14" s="34"/>
      <c r="CM14" s="35" t="str">
        <f t="shared" si="34"/>
        <v/>
      </c>
      <c r="CN14" s="36" t="str">
        <f t="shared" si="35"/>
        <v/>
      </c>
      <c r="CO14" s="37"/>
      <c r="CP14" s="33"/>
      <c r="CQ14" s="34"/>
      <c r="CR14" s="35" t="str">
        <f t="shared" si="36"/>
        <v/>
      </c>
      <c r="CS14" s="36" t="str">
        <f t="shared" si="37"/>
        <v/>
      </c>
      <c r="CT14" s="37"/>
      <c r="CU14" s="33"/>
      <c r="CV14" s="34"/>
      <c r="CW14" s="35" t="str">
        <f t="shared" si="38"/>
        <v/>
      </c>
      <c r="CX14" s="36" t="str">
        <f t="shared" si="39"/>
        <v/>
      </c>
      <c r="CY14" s="37"/>
      <c r="CZ14" s="33"/>
      <c r="DA14" s="34"/>
      <c r="DB14" s="35" t="str">
        <f t="shared" si="40"/>
        <v/>
      </c>
      <c r="DC14" s="36" t="str">
        <f t="shared" si="41"/>
        <v/>
      </c>
      <c r="DD14" s="37"/>
      <c r="DE14" s="33"/>
      <c r="DF14" s="34"/>
      <c r="DG14" s="35" t="str">
        <f t="shared" si="42"/>
        <v/>
      </c>
      <c r="DH14" s="36" t="str">
        <f t="shared" si="43"/>
        <v/>
      </c>
      <c r="DI14" s="37"/>
      <c r="DJ14" s="33"/>
      <c r="DK14" s="34"/>
      <c r="DL14" s="35" t="str">
        <f t="shared" si="44"/>
        <v/>
      </c>
      <c r="DM14" s="36" t="str">
        <f t="shared" si="45"/>
        <v/>
      </c>
      <c r="DN14" s="37"/>
      <c r="DO14" s="33"/>
      <c r="DP14" s="34"/>
      <c r="DQ14" s="35" t="str">
        <f t="shared" si="46"/>
        <v/>
      </c>
      <c r="DR14" s="36" t="str">
        <f t="shared" si="47"/>
        <v/>
      </c>
      <c r="DS14" s="37"/>
      <c r="DT14" s="33"/>
      <c r="DU14" s="34"/>
      <c r="DV14" s="35" t="str">
        <f t="shared" si="48"/>
        <v/>
      </c>
      <c r="DW14" s="36" t="str">
        <f t="shared" si="49"/>
        <v/>
      </c>
      <c r="DX14" s="37"/>
      <c r="DY14" s="33"/>
      <c r="DZ14" s="34"/>
      <c r="EA14" s="35" t="str">
        <f t="shared" si="50"/>
        <v/>
      </c>
      <c r="EB14" s="36" t="str">
        <f t="shared" si="51"/>
        <v/>
      </c>
      <c r="EC14" s="37"/>
      <c r="ED14" s="33"/>
      <c r="EE14" s="34"/>
      <c r="EF14" s="35" t="str">
        <f t="shared" si="52"/>
        <v/>
      </c>
      <c r="EG14" s="36" t="str">
        <f t="shared" si="53"/>
        <v/>
      </c>
      <c r="EH14" s="37"/>
      <c r="EI14" s="33"/>
      <c r="EJ14" s="34"/>
      <c r="EK14" s="35" t="str">
        <f t="shared" si="54"/>
        <v/>
      </c>
      <c r="EL14" s="36" t="str">
        <f t="shared" si="55"/>
        <v/>
      </c>
      <c r="EM14" s="37"/>
      <c r="EN14" s="33"/>
      <c r="EO14" s="34"/>
      <c r="EP14" s="35" t="str">
        <f t="shared" si="56"/>
        <v/>
      </c>
      <c r="EQ14" s="36" t="str">
        <f t="shared" si="57"/>
        <v/>
      </c>
      <c r="ER14" s="37"/>
      <c r="ES14" s="33"/>
      <c r="ET14" s="34"/>
      <c r="EU14" s="35" t="str">
        <f t="shared" si="58"/>
        <v/>
      </c>
      <c r="EV14" s="36" t="str">
        <f t="shared" si="59"/>
        <v/>
      </c>
      <c r="EW14" s="37"/>
    </row>
    <row r="15" spans="1:153" ht="19.5" customHeight="1">
      <c r="A15" s="32">
        <f>IF(DAY(DATE(対象年度,9,12))&lt;&gt;12,"",12)</f>
        <v>12</v>
      </c>
      <c r="B15" s="32" t="str">
        <f>IF(DAY(DATE(対象年度,9,12))&lt;&gt;12,"",CHOOSE(WEEKDAY(DATE(対象年度,9,12),2),"月","火","水","木","金","土","日"))</f>
        <v>土</v>
      </c>
      <c r="C15" s="32" t="str">
        <f>IF(DAY(DATE(対象年度,9,12))&lt;&gt;12,"",IF(ISNUMBER(MATCH(DATE(対象年度,9,12),祝日リスト,0)),"祝",""))</f>
        <v/>
      </c>
      <c r="D15" s="33"/>
      <c r="E15" s="34"/>
      <c r="F15" s="35" t="str">
        <f t="shared" si="0"/>
        <v/>
      </c>
      <c r="G15" s="36" t="str">
        <f t="shared" si="1"/>
        <v/>
      </c>
      <c r="H15" s="37"/>
      <c r="I15" s="33"/>
      <c r="J15" s="34"/>
      <c r="K15" s="35" t="str">
        <f t="shared" si="2"/>
        <v/>
      </c>
      <c r="L15" s="36" t="str">
        <f t="shared" si="3"/>
        <v/>
      </c>
      <c r="M15" s="37"/>
      <c r="N15" s="33"/>
      <c r="O15" s="34"/>
      <c r="P15" s="35" t="str">
        <f t="shared" si="4"/>
        <v/>
      </c>
      <c r="Q15" s="36" t="str">
        <f t="shared" si="5"/>
        <v/>
      </c>
      <c r="R15" s="37"/>
      <c r="S15" s="33"/>
      <c r="T15" s="34"/>
      <c r="U15" s="35" t="str">
        <f t="shared" si="6"/>
        <v/>
      </c>
      <c r="V15" s="36" t="str">
        <f t="shared" si="7"/>
        <v/>
      </c>
      <c r="W15" s="37"/>
      <c r="X15" s="33"/>
      <c r="Y15" s="34"/>
      <c r="Z15" s="35" t="str">
        <f t="shared" si="8"/>
        <v/>
      </c>
      <c r="AA15" s="36" t="str">
        <f t="shared" si="9"/>
        <v/>
      </c>
      <c r="AB15" s="37"/>
      <c r="AC15" s="33"/>
      <c r="AD15" s="34"/>
      <c r="AE15" s="35" t="str">
        <f t="shared" si="10"/>
        <v/>
      </c>
      <c r="AF15" s="36" t="str">
        <f t="shared" si="11"/>
        <v/>
      </c>
      <c r="AG15" s="37"/>
      <c r="AH15" s="33"/>
      <c r="AI15" s="34"/>
      <c r="AJ15" s="35" t="str">
        <f t="shared" si="12"/>
        <v/>
      </c>
      <c r="AK15" s="36" t="str">
        <f t="shared" si="13"/>
        <v/>
      </c>
      <c r="AL15" s="37"/>
      <c r="AM15" s="33"/>
      <c r="AN15" s="34"/>
      <c r="AO15" s="35" t="str">
        <f t="shared" si="14"/>
        <v/>
      </c>
      <c r="AP15" s="36" t="str">
        <f t="shared" si="15"/>
        <v/>
      </c>
      <c r="AQ15" s="37"/>
      <c r="AR15" s="33"/>
      <c r="AS15" s="34"/>
      <c r="AT15" s="35" t="str">
        <f t="shared" si="16"/>
        <v/>
      </c>
      <c r="AU15" s="36" t="str">
        <f t="shared" si="17"/>
        <v/>
      </c>
      <c r="AV15" s="37"/>
      <c r="AW15" s="33"/>
      <c r="AX15" s="34"/>
      <c r="AY15" s="35" t="str">
        <f t="shared" si="18"/>
        <v/>
      </c>
      <c r="AZ15" s="36" t="str">
        <f t="shared" si="19"/>
        <v/>
      </c>
      <c r="BA15" s="37"/>
      <c r="BB15" s="33"/>
      <c r="BC15" s="34"/>
      <c r="BD15" s="35" t="str">
        <f t="shared" si="20"/>
        <v/>
      </c>
      <c r="BE15" s="36" t="str">
        <f t="shared" si="21"/>
        <v/>
      </c>
      <c r="BF15" s="37"/>
      <c r="BG15" s="33"/>
      <c r="BH15" s="34"/>
      <c r="BI15" s="35" t="str">
        <f t="shared" si="22"/>
        <v/>
      </c>
      <c r="BJ15" s="36" t="str">
        <f t="shared" si="23"/>
        <v/>
      </c>
      <c r="BK15" s="37"/>
      <c r="BL15" s="33"/>
      <c r="BM15" s="34"/>
      <c r="BN15" s="35" t="str">
        <f t="shared" si="24"/>
        <v/>
      </c>
      <c r="BO15" s="36" t="str">
        <f t="shared" si="25"/>
        <v/>
      </c>
      <c r="BP15" s="37"/>
      <c r="BQ15" s="33"/>
      <c r="BR15" s="34"/>
      <c r="BS15" s="35" t="str">
        <f t="shared" si="26"/>
        <v/>
      </c>
      <c r="BT15" s="36" t="str">
        <f t="shared" si="27"/>
        <v/>
      </c>
      <c r="BU15" s="37"/>
      <c r="BV15" s="33"/>
      <c r="BW15" s="34"/>
      <c r="BX15" s="35" t="str">
        <f t="shared" si="28"/>
        <v/>
      </c>
      <c r="BY15" s="36" t="str">
        <f t="shared" si="29"/>
        <v/>
      </c>
      <c r="BZ15" s="37"/>
      <c r="CA15" s="33"/>
      <c r="CB15" s="34"/>
      <c r="CC15" s="35" t="str">
        <f t="shared" si="30"/>
        <v/>
      </c>
      <c r="CD15" s="36" t="str">
        <f t="shared" si="31"/>
        <v/>
      </c>
      <c r="CE15" s="37"/>
      <c r="CF15" s="33"/>
      <c r="CG15" s="34"/>
      <c r="CH15" s="35" t="str">
        <f t="shared" si="32"/>
        <v/>
      </c>
      <c r="CI15" s="36" t="str">
        <f t="shared" si="33"/>
        <v/>
      </c>
      <c r="CJ15" s="37"/>
      <c r="CK15" s="33"/>
      <c r="CL15" s="34"/>
      <c r="CM15" s="35" t="str">
        <f t="shared" si="34"/>
        <v/>
      </c>
      <c r="CN15" s="36" t="str">
        <f t="shared" si="35"/>
        <v/>
      </c>
      <c r="CO15" s="37"/>
      <c r="CP15" s="33"/>
      <c r="CQ15" s="34"/>
      <c r="CR15" s="35" t="str">
        <f t="shared" si="36"/>
        <v/>
      </c>
      <c r="CS15" s="36" t="str">
        <f t="shared" si="37"/>
        <v/>
      </c>
      <c r="CT15" s="37"/>
      <c r="CU15" s="33"/>
      <c r="CV15" s="34"/>
      <c r="CW15" s="35" t="str">
        <f t="shared" si="38"/>
        <v/>
      </c>
      <c r="CX15" s="36" t="str">
        <f t="shared" si="39"/>
        <v/>
      </c>
      <c r="CY15" s="37"/>
      <c r="CZ15" s="33"/>
      <c r="DA15" s="34"/>
      <c r="DB15" s="35" t="str">
        <f t="shared" si="40"/>
        <v/>
      </c>
      <c r="DC15" s="36" t="str">
        <f t="shared" si="41"/>
        <v/>
      </c>
      <c r="DD15" s="37"/>
      <c r="DE15" s="33"/>
      <c r="DF15" s="34"/>
      <c r="DG15" s="35" t="str">
        <f t="shared" si="42"/>
        <v/>
      </c>
      <c r="DH15" s="36" t="str">
        <f t="shared" si="43"/>
        <v/>
      </c>
      <c r="DI15" s="37"/>
      <c r="DJ15" s="33"/>
      <c r="DK15" s="34"/>
      <c r="DL15" s="35" t="str">
        <f t="shared" si="44"/>
        <v/>
      </c>
      <c r="DM15" s="36" t="str">
        <f t="shared" si="45"/>
        <v/>
      </c>
      <c r="DN15" s="37"/>
      <c r="DO15" s="33"/>
      <c r="DP15" s="34"/>
      <c r="DQ15" s="35" t="str">
        <f t="shared" si="46"/>
        <v/>
      </c>
      <c r="DR15" s="36" t="str">
        <f t="shared" si="47"/>
        <v/>
      </c>
      <c r="DS15" s="37"/>
      <c r="DT15" s="33"/>
      <c r="DU15" s="34"/>
      <c r="DV15" s="35" t="str">
        <f t="shared" si="48"/>
        <v/>
      </c>
      <c r="DW15" s="36" t="str">
        <f t="shared" si="49"/>
        <v/>
      </c>
      <c r="DX15" s="37"/>
      <c r="DY15" s="33"/>
      <c r="DZ15" s="34"/>
      <c r="EA15" s="35" t="str">
        <f t="shared" si="50"/>
        <v/>
      </c>
      <c r="EB15" s="36" t="str">
        <f t="shared" si="51"/>
        <v/>
      </c>
      <c r="EC15" s="37"/>
      <c r="ED15" s="33"/>
      <c r="EE15" s="34"/>
      <c r="EF15" s="35" t="str">
        <f t="shared" si="52"/>
        <v/>
      </c>
      <c r="EG15" s="36" t="str">
        <f t="shared" si="53"/>
        <v/>
      </c>
      <c r="EH15" s="37"/>
      <c r="EI15" s="33"/>
      <c r="EJ15" s="34"/>
      <c r="EK15" s="35" t="str">
        <f t="shared" si="54"/>
        <v/>
      </c>
      <c r="EL15" s="36" t="str">
        <f t="shared" si="55"/>
        <v/>
      </c>
      <c r="EM15" s="37"/>
      <c r="EN15" s="33"/>
      <c r="EO15" s="34"/>
      <c r="EP15" s="35" t="str">
        <f t="shared" si="56"/>
        <v/>
      </c>
      <c r="EQ15" s="36" t="str">
        <f t="shared" si="57"/>
        <v/>
      </c>
      <c r="ER15" s="37"/>
      <c r="ES15" s="33"/>
      <c r="ET15" s="34"/>
      <c r="EU15" s="35" t="str">
        <f t="shared" si="58"/>
        <v/>
      </c>
      <c r="EV15" s="36" t="str">
        <f t="shared" si="59"/>
        <v/>
      </c>
      <c r="EW15" s="37"/>
    </row>
    <row r="16" spans="1:153" ht="19.5" customHeight="1">
      <c r="A16" s="32">
        <f>IF(DAY(DATE(対象年度,9,13))&lt;&gt;13,"",13)</f>
        <v>13</v>
      </c>
      <c r="B16" s="32" t="str">
        <f>IF(DAY(DATE(対象年度,9,13))&lt;&gt;13,"",CHOOSE(WEEKDAY(DATE(対象年度,9,13),2),"月","火","水","木","金","土","日"))</f>
        <v>日</v>
      </c>
      <c r="C16" s="32" t="str">
        <f>IF(DAY(DATE(対象年度,9,13))&lt;&gt;13,"",IF(ISNUMBER(MATCH(DATE(対象年度,9,13),祝日リスト,0)),"祝",""))</f>
        <v/>
      </c>
      <c r="D16" s="33"/>
      <c r="E16" s="34"/>
      <c r="F16" s="35" t="str">
        <f t="shared" si="0"/>
        <v/>
      </c>
      <c r="G16" s="36" t="str">
        <f t="shared" si="1"/>
        <v/>
      </c>
      <c r="H16" s="37"/>
      <c r="I16" s="33"/>
      <c r="J16" s="34"/>
      <c r="K16" s="35" t="str">
        <f t="shared" si="2"/>
        <v/>
      </c>
      <c r="L16" s="36" t="str">
        <f t="shared" si="3"/>
        <v/>
      </c>
      <c r="M16" s="37"/>
      <c r="N16" s="33"/>
      <c r="O16" s="34"/>
      <c r="P16" s="35" t="str">
        <f t="shared" si="4"/>
        <v/>
      </c>
      <c r="Q16" s="36" t="str">
        <f t="shared" si="5"/>
        <v/>
      </c>
      <c r="R16" s="37"/>
      <c r="S16" s="33"/>
      <c r="T16" s="34"/>
      <c r="U16" s="35" t="str">
        <f t="shared" si="6"/>
        <v/>
      </c>
      <c r="V16" s="36" t="str">
        <f t="shared" si="7"/>
        <v/>
      </c>
      <c r="W16" s="37"/>
      <c r="X16" s="33"/>
      <c r="Y16" s="34"/>
      <c r="Z16" s="35" t="str">
        <f t="shared" si="8"/>
        <v/>
      </c>
      <c r="AA16" s="36" t="str">
        <f t="shared" si="9"/>
        <v/>
      </c>
      <c r="AB16" s="37"/>
      <c r="AC16" s="33"/>
      <c r="AD16" s="34"/>
      <c r="AE16" s="35" t="str">
        <f t="shared" si="10"/>
        <v/>
      </c>
      <c r="AF16" s="36" t="str">
        <f t="shared" si="11"/>
        <v/>
      </c>
      <c r="AG16" s="37"/>
      <c r="AH16" s="33"/>
      <c r="AI16" s="34"/>
      <c r="AJ16" s="35" t="str">
        <f t="shared" si="12"/>
        <v/>
      </c>
      <c r="AK16" s="36" t="str">
        <f t="shared" si="13"/>
        <v/>
      </c>
      <c r="AL16" s="37"/>
      <c r="AM16" s="33"/>
      <c r="AN16" s="34"/>
      <c r="AO16" s="35" t="str">
        <f t="shared" si="14"/>
        <v/>
      </c>
      <c r="AP16" s="36" t="str">
        <f t="shared" si="15"/>
        <v/>
      </c>
      <c r="AQ16" s="37"/>
      <c r="AR16" s="33"/>
      <c r="AS16" s="34"/>
      <c r="AT16" s="35" t="str">
        <f t="shared" si="16"/>
        <v/>
      </c>
      <c r="AU16" s="36" t="str">
        <f t="shared" si="17"/>
        <v/>
      </c>
      <c r="AV16" s="37"/>
      <c r="AW16" s="33"/>
      <c r="AX16" s="34"/>
      <c r="AY16" s="35" t="str">
        <f t="shared" si="18"/>
        <v/>
      </c>
      <c r="AZ16" s="36" t="str">
        <f t="shared" si="19"/>
        <v/>
      </c>
      <c r="BA16" s="37"/>
      <c r="BB16" s="33"/>
      <c r="BC16" s="34"/>
      <c r="BD16" s="35" t="str">
        <f t="shared" si="20"/>
        <v/>
      </c>
      <c r="BE16" s="36" t="str">
        <f t="shared" si="21"/>
        <v/>
      </c>
      <c r="BF16" s="37"/>
      <c r="BG16" s="33"/>
      <c r="BH16" s="34"/>
      <c r="BI16" s="35" t="str">
        <f t="shared" si="22"/>
        <v/>
      </c>
      <c r="BJ16" s="36" t="str">
        <f t="shared" si="23"/>
        <v/>
      </c>
      <c r="BK16" s="37"/>
      <c r="BL16" s="33"/>
      <c r="BM16" s="34"/>
      <c r="BN16" s="35" t="str">
        <f t="shared" si="24"/>
        <v/>
      </c>
      <c r="BO16" s="36" t="str">
        <f t="shared" si="25"/>
        <v/>
      </c>
      <c r="BP16" s="37"/>
      <c r="BQ16" s="33"/>
      <c r="BR16" s="34"/>
      <c r="BS16" s="35" t="str">
        <f t="shared" si="26"/>
        <v/>
      </c>
      <c r="BT16" s="36" t="str">
        <f t="shared" si="27"/>
        <v/>
      </c>
      <c r="BU16" s="37"/>
      <c r="BV16" s="33"/>
      <c r="BW16" s="34"/>
      <c r="BX16" s="35" t="str">
        <f t="shared" si="28"/>
        <v/>
      </c>
      <c r="BY16" s="36" t="str">
        <f t="shared" si="29"/>
        <v/>
      </c>
      <c r="BZ16" s="37"/>
      <c r="CA16" s="33"/>
      <c r="CB16" s="34"/>
      <c r="CC16" s="35" t="str">
        <f t="shared" si="30"/>
        <v/>
      </c>
      <c r="CD16" s="36" t="str">
        <f t="shared" si="31"/>
        <v/>
      </c>
      <c r="CE16" s="37"/>
      <c r="CF16" s="33"/>
      <c r="CG16" s="34"/>
      <c r="CH16" s="35" t="str">
        <f t="shared" si="32"/>
        <v/>
      </c>
      <c r="CI16" s="36" t="str">
        <f t="shared" si="33"/>
        <v/>
      </c>
      <c r="CJ16" s="37"/>
      <c r="CK16" s="33"/>
      <c r="CL16" s="34"/>
      <c r="CM16" s="35" t="str">
        <f t="shared" si="34"/>
        <v/>
      </c>
      <c r="CN16" s="36" t="str">
        <f t="shared" si="35"/>
        <v/>
      </c>
      <c r="CO16" s="37"/>
      <c r="CP16" s="33"/>
      <c r="CQ16" s="34"/>
      <c r="CR16" s="35" t="str">
        <f t="shared" si="36"/>
        <v/>
      </c>
      <c r="CS16" s="36" t="str">
        <f t="shared" si="37"/>
        <v/>
      </c>
      <c r="CT16" s="37"/>
      <c r="CU16" s="33"/>
      <c r="CV16" s="34"/>
      <c r="CW16" s="35" t="str">
        <f t="shared" si="38"/>
        <v/>
      </c>
      <c r="CX16" s="36" t="str">
        <f t="shared" si="39"/>
        <v/>
      </c>
      <c r="CY16" s="37"/>
      <c r="CZ16" s="33"/>
      <c r="DA16" s="34"/>
      <c r="DB16" s="35" t="str">
        <f t="shared" si="40"/>
        <v/>
      </c>
      <c r="DC16" s="36" t="str">
        <f t="shared" si="41"/>
        <v/>
      </c>
      <c r="DD16" s="37"/>
      <c r="DE16" s="33"/>
      <c r="DF16" s="34"/>
      <c r="DG16" s="35" t="str">
        <f t="shared" si="42"/>
        <v/>
      </c>
      <c r="DH16" s="36" t="str">
        <f t="shared" si="43"/>
        <v/>
      </c>
      <c r="DI16" s="37"/>
      <c r="DJ16" s="33"/>
      <c r="DK16" s="34"/>
      <c r="DL16" s="35" t="str">
        <f t="shared" si="44"/>
        <v/>
      </c>
      <c r="DM16" s="36" t="str">
        <f t="shared" si="45"/>
        <v/>
      </c>
      <c r="DN16" s="37"/>
      <c r="DO16" s="33"/>
      <c r="DP16" s="34"/>
      <c r="DQ16" s="35" t="str">
        <f t="shared" si="46"/>
        <v/>
      </c>
      <c r="DR16" s="36" t="str">
        <f t="shared" si="47"/>
        <v/>
      </c>
      <c r="DS16" s="37"/>
      <c r="DT16" s="33"/>
      <c r="DU16" s="34"/>
      <c r="DV16" s="35" t="str">
        <f t="shared" si="48"/>
        <v/>
      </c>
      <c r="DW16" s="36" t="str">
        <f t="shared" si="49"/>
        <v/>
      </c>
      <c r="DX16" s="37"/>
      <c r="DY16" s="33"/>
      <c r="DZ16" s="34"/>
      <c r="EA16" s="35" t="str">
        <f t="shared" si="50"/>
        <v/>
      </c>
      <c r="EB16" s="36" t="str">
        <f t="shared" si="51"/>
        <v/>
      </c>
      <c r="EC16" s="37"/>
      <c r="ED16" s="33"/>
      <c r="EE16" s="34"/>
      <c r="EF16" s="35" t="str">
        <f t="shared" si="52"/>
        <v/>
      </c>
      <c r="EG16" s="36" t="str">
        <f t="shared" si="53"/>
        <v/>
      </c>
      <c r="EH16" s="37"/>
      <c r="EI16" s="33"/>
      <c r="EJ16" s="34"/>
      <c r="EK16" s="35" t="str">
        <f t="shared" si="54"/>
        <v/>
      </c>
      <c r="EL16" s="36" t="str">
        <f t="shared" si="55"/>
        <v/>
      </c>
      <c r="EM16" s="37"/>
      <c r="EN16" s="33"/>
      <c r="EO16" s="34"/>
      <c r="EP16" s="35" t="str">
        <f t="shared" si="56"/>
        <v/>
      </c>
      <c r="EQ16" s="36" t="str">
        <f t="shared" si="57"/>
        <v/>
      </c>
      <c r="ER16" s="37"/>
      <c r="ES16" s="33"/>
      <c r="ET16" s="34"/>
      <c r="EU16" s="35" t="str">
        <f t="shared" si="58"/>
        <v/>
      </c>
      <c r="EV16" s="36" t="str">
        <f t="shared" si="59"/>
        <v/>
      </c>
      <c r="EW16" s="37"/>
    </row>
    <row r="17" spans="1:153" ht="19.5" customHeight="1">
      <c r="A17" s="32">
        <f>IF(DAY(DATE(対象年度,9,14))&lt;&gt;14,"",14)</f>
        <v>14</v>
      </c>
      <c r="B17" s="32" t="str">
        <f>IF(DAY(DATE(対象年度,9,14))&lt;&gt;14,"",CHOOSE(WEEKDAY(DATE(対象年度,9,14),2),"月","火","水","木","金","土","日"))</f>
        <v>月</v>
      </c>
      <c r="C17" s="32" t="str">
        <f>IF(DAY(DATE(対象年度,9,14))&lt;&gt;14,"",IF(ISNUMBER(MATCH(DATE(対象年度,9,14),祝日リスト,0)),"祝",""))</f>
        <v/>
      </c>
      <c r="D17" s="33"/>
      <c r="E17" s="34"/>
      <c r="F17" s="35" t="str">
        <f t="shared" si="0"/>
        <v/>
      </c>
      <c r="G17" s="36" t="str">
        <f t="shared" si="1"/>
        <v/>
      </c>
      <c r="H17" s="37"/>
      <c r="I17" s="33"/>
      <c r="J17" s="34"/>
      <c r="K17" s="35" t="str">
        <f t="shared" si="2"/>
        <v/>
      </c>
      <c r="L17" s="36" t="str">
        <f t="shared" si="3"/>
        <v/>
      </c>
      <c r="M17" s="37"/>
      <c r="N17" s="33"/>
      <c r="O17" s="34"/>
      <c r="P17" s="35" t="str">
        <f t="shared" si="4"/>
        <v/>
      </c>
      <c r="Q17" s="36" t="str">
        <f t="shared" si="5"/>
        <v/>
      </c>
      <c r="R17" s="37"/>
      <c r="S17" s="33"/>
      <c r="T17" s="34"/>
      <c r="U17" s="35" t="str">
        <f t="shared" si="6"/>
        <v/>
      </c>
      <c r="V17" s="36" t="str">
        <f t="shared" si="7"/>
        <v/>
      </c>
      <c r="W17" s="37"/>
      <c r="X17" s="33"/>
      <c r="Y17" s="34"/>
      <c r="Z17" s="35" t="str">
        <f t="shared" si="8"/>
        <v/>
      </c>
      <c r="AA17" s="36" t="str">
        <f t="shared" si="9"/>
        <v/>
      </c>
      <c r="AB17" s="37"/>
      <c r="AC17" s="33"/>
      <c r="AD17" s="34"/>
      <c r="AE17" s="35" t="str">
        <f t="shared" si="10"/>
        <v/>
      </c>
      <c r="AF17" s="36" t="str">
        <f t="shared" si="11"/>
        <v/>
      </c>
      <c r="AG17" s="37"/>
      <c r="AH17" s="33"/>
      <c r="AI17" s="34"/>
      <c r="AJ17" s="35" t="str">
        <f t="shared" si="12"/>
        <v/>
      </c>
      <c r="AK17" s="36" t="str">
        <f t="shared" si="13"/>
        <v/>
      </c>
      <c r="AL17" s="37"/>
      <c r="AM17" s="33"/>
      <c r="AN17" s="34"/>
      <c r="AO17" s="35" t="str">
        <f t="shared" si="14"/>
        <v/>
      </c>
      <c r="AP17" s="36" t="str">
        <f t="shared" si="15"/>
        <v/>
      </c>
      <c r="AQ17" s="37"/>
      <c r="AR17" s="33"/>
      <c r="AS17" s="34"/>
      <c r="AT17" s="35" t="str">
        <f t="shared" si="16"/>
        <v/>
      </c>
      <c r="AU17" s="36" t="str">
        <f t="shared" si="17"/>
        <v/>
      </c>
      <c r="AV17" s="37"/>
      <c r="AW17" s="33"/>
      <c r="AX17" s="34"/>
      <c r="AY17" s="35" t="str">
        <f t="shared" si="18"/>
        <v/>
      </c>
      <c r="AZ17" s="36" t="str">
        <f t="shared" si="19"/>
        <v/>
      </c>
      <c r="BA17" s="37"/>
      <c r="BB17" s="33"/>
      <c r="BC17" s="34"/>
      <c r="BD17" s="35" t="str">
        <f t="shared" si="20"/>
        <v/>
      </c>
      <c r="BE17" s="36" t="str">
        <f t="shared" si="21"/>
        <v/>
      </c>
      <c r="BF17" s="37"/>
      <c r="BG17" s="33"/>
      <c r="BH17" s="34"/>
      <c r="BI17" s="35" t="str">
        <f t="shared" si="22"/>
        <v/>
      </c>
      <c r="BJ17" s="36" t="str">
        <f t="shared" si="23"/>
        <v/>
      </c>
      <c r="BK17" s="37"/>
      <c r="BL17" s="33"/>
      <c r="BM17" s="34"/>
      <c r="BN17" s="35" t="str">
        <f t="shared" si="24"/>
        <v/>
      </c>
      <c r="BO17" s="36" t="str">
        <f t="shared" si="25"/>
        <v/>
      </c>
      <c r="BP17" s="37"/>
      <c r="BQ17" s="33"/>
      <c r="BR17" s="34"/>
      <c r="BS17" s="35" t="str">
        <f t="shared" si="26"/>
        <v/>
      </c>
      <c r="BT17" s="36" t="str">
        <f t="shared" si="27"/>
        <v/>
      </c>
      <c r="BU17" s="37"/>
      <c r="BV17" s="33"/>
      <c r="BW17" s="34"/>
      <c r="BX17" s="35" t="str">
        <f t="shared" si="28"/>
        <v/>
      </c>
      <c r="BY17" s="36" t="str">
        <f t="shared" si="29"/>
        <v/>
      </c>
      <c r="BZ17" s="37"/>
      <c r="CA17" s="33"/>
      <c r="CB17" s="34"/>
      <c r="CC17" s="35" t="str">
        <f t="shared" si="30"/>
        <v/>
      </c>
      <c r="CD17" s="36" t="str">
        <f t="shared" si="31"/>
        <v/>
      </c>
      <c r="CE17" s="37"/>
      <c r="CF17" s="33"/>
      <c r="CG17" s="34"/>
      <c r="CH17" s="35" t="str">
        <f t="shared" si="32"/>
        <v/>
      </c>
      <c r="CI17" s="36" t="str">
        <f t="shared" si="33"/>
        <v/>
      </c>
      <c r="CJ17" s="37"/>
      <c r="CK17" s="33"/>
      <c r="CL17" s="34"/>
      <c r="CM17" s="35" t="str">
        <f t="shared" si="34"/>
        <v/>
      </c>
      <c r="CN17" s="36" t="str">
        <f t="shared" si="35"/>
        <v/>
      </c>
      <c r="CO17" s="37"/>
      <c r="CP17" s="33"/>
      <c r="CQ17" s="34"/>
      <c r="CR17" s="35" t="str">
        <f t="shared" si="36"/>
        <v/>
      </c>
      <c r="CS17" s="36" t="str">
        <f t="shared" si="37"/>
        <v/>
      </c>
      <c r="CT17" s="37"/>
      <c r="CU17" s="33"/>
      <c r="CV17" s="34"/>
      <c r="CW17" s="35" t="str">
        <f t="shared" si="38"/>
        <v/>
      </c>
      <c r="CX17" s="36" t="str">
        <f t="shared" si="39"/>
        <v/>
      </c>
      <c r="CY17" s="37"/>
      <c r="CZ17" s="33"/>
      <c r="DA17" s="34"/>
      <c r="DB17" s="35" t="str">
        <f t="shared" si="40"/>
        <v/>
      </c>
      <c r="DC17" s="36" t="str">
        <f t="shared" si="41"/>
        <v/>
      </c>
      <c r="DD17" s="37"/>
      <c r="DE17" s="33"/>
      <c r="DF17" s="34"/>
      <c r="DG17" s="35" t="str">
        <f t="shared" si="42"/>
        <v/>
      </c>
      <c r="DH17" s="36" t="str">
        <f t="shared" si="43"/>
        <v/>
      </c>
      <c r="DI17" s="37"/>
      <c r="DJ17" s="33"/>
      <c r="DK17" s="34"/>
      <c r="DL17" s="35" t="str">
        <f t="shared" si="44"/>
        <v/>
      </c>
      <c r="DM17" s="36" t="str">
        <f t="shared" si="45"/>
        <v/>
      </c>
      <c r="DN17" s="37"/>
      <c r="DO17" s="33"/>
      <c r="DP17" s="34"/>
      <c r="DQ17" s="35" t="str">
        <f t="shared" si="46"/>
        <v/>
      </c>
      <c r="DR17" s="36" t="str">
        <f t="shared" si="47"/>
        <v/>
      </c>
      <c r="DS17" s="37"/>
      <c r="DT17" s="33"/>
      <c r="DU17" s="34"/>
      <c r="DV17" s="35" t="str">
        <f t="shared" si="48"/>
        <v/>
      </c>
      <c r="DW17" s="36" t="str">
        <f t="shared" si="49"/>
        <v/>
      </c>
      <c r="DX17" s="37"/>
      <c r="DY17" s="33"/>
      <c r="DZ17" s="34"/>
      <c r="EA17" s="35" t="str">
        <f t="shared" si="50"/>
        <v/>
      </c>
      <c r="EB17" s="36" t="str">
        <f t="shared" si="51"/>
        <v/>
      </c>
      <c r="EC17" s="37"/>
      <c r="ED17" s="33"/>
      <c r="EE17" s="34"/>
      <c r="EF17" s="35" t="str">
        <f t="shared" si="52"/>
        <v/>
      </c>
      <c r="EG17" s="36" t="str">
        <f t="shared" si="53"/>
        <v/>
      </c>
      <c r="EH17" s="37"/>
      <c r="EI17" s="33"/>
      <c r="EJ17" s="34"/>
      <c r="EK17" s="35" t="str">
        <f t="shared" si="54"/>
        <v/>
      </c>
      <c r="EL17" s="36" t="str">
        <f t="shared" si="55"/>
        <v/>
      </c>
      <c r="EM17" s="37"/>
      <c r="EN17" s="33"/>
      <c r="EO17" s="34"/>
      <c r="EP17" s="35" t="str">
        <f t="shared" si="56"/>
        <v/>
      </c>
      <c r="EQ17" s="36" t="str">
        <f t="shared" si="57"/>
        <v/>
      </c>
      <c r="ER17" s="37"/>
      <c r="ES17" s="33"/>
      <c r="ET17" s="34"/>
      <c r="EU17" s="35" t="str">
        <f t="shared" si="58"/>
        <v/>
      </c>
      <c r="EV17" s="36" t="str">
        <f t="shared" si="59"/>
        <v/>
      </c>
      <c r="EW17" s="37"/>
    </row>
    <row r="18" spans="1:153" ht="19.5" customHeight="1">
      <c r="A18" s="32">
        <f>IF(DAY(DATE(対象年度,9,15))&lt;&gt;15,"",15)</f>
        <v>15</v>
      </c>
      <c r="B18" s="32" t="str">
        <f>IF(DAY(DATE(対象年度,9,15))&lt;&gt;15,"",CHOOSE(WEEKDAY(DATE(対象年度,9,15),2),"月","火","水","木","金","土","日"))</f>
        <v>火</v>
      </c>
      <c r="C18" s="32" t="str">
        <f>IF(DAY(DATE(対象年度,9,15))&lt;&gt;15,"",IF(ISNUMBER(MATCH(DATE(対象年度,9,15),祝日リスト,0)),"祝",""))</f>
        <v/>
      </c>
      <c r="D18" s="33"/>
      <c r="E18" s="34"/>
      <c r="F18" s="35" t="str">
        <f t="shared" si="0"/>
        <v/>
      </c>
      <c r="G18" s="36" t="str">
        <f t="shared" si="1"/>
        <v/>
      </c>
      <c r="H18" s="37"/>
      <c r="I18" s="33"/>
      <c r="J18" s="34"/>
      <c r="K18" s="35" t="str">
        <f t="shared" si="2"/>
        <v/>
      </c>
      <c r="L18" s="36" t="str">
        <f t="shared" si="3"/>
        <v/>
      </c>
      <c r="M18" s="37"/>
      <c r="N18" s="33"/>
      <c r="O18" s="34"/>
      <c r="P18" s="35" t="str">
        <f t="shared" si="4"/>
        <v/>
      </c>
      <c r="Q18" s="36" t="str">
        <f t="shared" si="5"/>
        <v/>
      </c>
      <c r="R18" s="37"/>
      <c r="S18" s="33"/>
      <c r="T18" s="34"/>
      <c r="U18" s="35" t="str">
        <f t="shared" si="6"/>
        <v/>
      </c>
      <c r="V18" s="36" t="str">
        <f t="shared" si="7"/>
        <v/>
      </c>
      <c r="W18" s="37"/>
      <c r="X18" s="33"/>
      <c r="Y18" s="34"/>
      <c r="Z18" s="35" t="str">
        <f t="shared" si="8"/>
        <v/>
      </c>
      <c r="AA18" s="36" t="str">
        <f t="shared" si="9"/>
        <v/>
      </c>
      <c r="AB18" s="37"/>
      <c r="AC18" s="33"/>
      <c r="AD18" s="34"/>
      <c r="AE18" s="35" t="str">
        <f t="shared" si="10"/>
        <v/>
      </c>
      <c r="AF18" s="36" t="str">
        <f t="shared" si="11"/>
        <v/>
      </c>
      <c r="AG18" s="37"/>
      <c r="AH18" s="33"/>
      <c r="AI18" s="34"/>
      <c r="AJ18" s="35" t="str">
        <f t="shared" si="12"/>
        <v/>
      </c>
      <c r="AK18" s="36" t="str">
        <f t="shared" si="13"/>
        <v/>
      </c>
      <c r="AL18" s="37"/>
      <c r="AM18" s="33"/>
      <c r="AN18" s="34"/>
      <c r="AO18" s="35" t="str">
        <f t="shared" si="14"/>
        <v/>
      </c>
      <c r="AP18" s="36" t="str">
        <f t="shared" si="15"/>
        <v/>
      </c>
      <c r="AQ18" s="37"/>
      <c r="AR18" s="33"/>
      <c r="AS18" s="34"/>
      <c r="AT18" s="35" t="str">
        <f t="shared" si="16"/>
        <v/>
      </c>
      <c r="AU18" s="36" t="str">
        <f t="shared" si="17"/>
        <v/>
      </c>
      <c r="AV18" s="37"/>
      <c r="AW18" s="33"/>
      <c r="AX18" s="34"/>
      <c r="AY18" s="35" t="str">
        <f t="shared" si="18"/>
        <v/>
      </c>
      <c r="AZ18" s="36" t="str">
        <f t="shared" si="19"/>
        <v/>
      </c>
      <c r="BA18" s="37"/>
      <c r="BB18" s="33"/>
      <c r="BC18" s="34"/>
      <c r="BD18" s="35" t="str">
        <f t="shared" si="20"/>
        <v/>
      </c>
      <c r="BE18" s="36" t="str">
        <f t="shared" si="21"/>
        <v/>
      </c>
      <c r="BF18" s="37"/>
      <c r="BG18" s="33"/>
      <c r="BH18" s="34"/>
      <c r="BI18" s="35" t="str">
        <f t="shared" si="22"/>
        <v/>
      </c>
      <c r="BJ18" s="36" t="str">
        <f t="shared" si="23"/>
        <v/>
      </c>
      <c r="BK18" s="37"/>
      <c r="BL18" s="33"/>
      <c r="BM18" s="34"/>
      <c r="BN18" s="35" t="str">
        <f t="shared" si="24"/>
        <v/>
      </c>
      <c r="BO18" s="36" t="str">
        <f t="shared" si="25"/>
        <v/>
      </c>
      <c r="BP18" s="37"/>
      <c r="BQ18" s="33"/>
      <c r="BR18" s="34"/>
      <c r="BS18" s="35" t="str">
        <f t="shared" si="26"/>
        <v/>
      </c>
      <c r="BT18" s="36" t="str">
        <f t="shared" si="27"/>
        <v/>
      </c>
      <c r="BU18" s="37"/>
      <c r="BV18" s="33"/>
      <c r="BW18" s="34"/>
      <c r="BX18" s="35" t="str">
        <f t="shared" si="28"/>
        <v/>
      </c>
      <c r="BY18" s="36" t="str">
        <f t="shared" si="29"/>
        <v/>
      </c>
      <c r="BZ18" s="37"/>
      <c r="CA18" s="33"/>
      <c r="CB18" s="34"/>
      <c r="CC18" s="35" t="str">
        <f t="shared" si="30"/>
        <v/>
      </c>
      <c r="CD18" s="36" t="str">
        <f t="shared" si="31"/>
        <v/>
      </c>
      <c r="CE18" s="37"/>
      <c r="CF18" s="33"/>
      <c r="CG18" s="34"/>
      <c r="CH18" s="35" t="str">
        <f t="shared" si="32"/>
        <v/>
      </c>
      <c r="CI18" s="36" t="str">
        <f t="shared" si="33"/>
        <v/>
      </c>
      <c r="CJ18" s="37"/>
      <c r="CK18" s="33"/>
      <c r="CL18" s="34"/>
      <c r="CM18" s="35" t="str">
        <f t="shared" si="34"/>
        <v/>
      </c>
      <c r="CN18" s="36" t="str">
        <f t="shared" si="35"/>
        <v/>
      </c>
      <c r="CO18" s="37"/>
      <c r="CP18" s="33"/>
      <c r="CQ18" s="34"/>
      <c r="CR18" s="35" t="str">
        <f t="shared" si="36"/>
        <v/>
      </c>
      <c r="CS18" s="36" t="str">
        <f t="shared" si="37"/>
        <v/>
      </c>
      <c r="CT18" s="37"/>
      <c r="CU18" s="33"/>
      <c r="CV18" s="34"/>
      <c r="CW18" s="35" t="str">
        <f t="shared" si="38"/>
        <v/>
      </c>
      <c r="CX18" s="36" t="str">
        <f t="shared" si="39"/>
        <v/>
      </c>
      <c r="CY18" s="37"/>
      <c r="CZ18" s="33"/>
      <c r="DA18" s="34"/>
      <c r="DB18" s="35" t="str">
        <f t="shared" si="40"/>
        <v/>
      </c>
      <c r="DC18" s="36" t="str">
        <f t="shared" si="41"/>
        <v/>
      </c>
      <c r="DD18" s="37"/>
      <c r="DE18" s="33"/>
      <c r="DF18" s="34"/>
      <c r="DG18" s="35" t="str">
        <f t="shared" si="42"/>
        <v/>
      </c>
      <c r="DH18" s="36" t="str">
        <f t="shared" si="43"/>
        <v/>
      </c>
      <c r="DI18" s="37"/>
      <c r="DJ18" s="33"/>
      <c r="DK18" s="34"/>
      <c r="DL18" s="35" t="str">
        <f t="shared" si="44"/>
        <v/>
      </c>
      <c r="DM18" s="36" t="str">
        <f t="shared" si="45"/>
        <v/>
      </c>
      <c r="DN18" s="37"/>
      <c r="DO18" s="33"/>
      <c r="DP18" s="34"/>
      <c r="DQ18" s="35" t="str">
        <f t="shared" si="46"/>
        <v/>
      </c>
      <c r="DR18" s="36" t="str">
        <f t="shared" si="47"/>
        <v/>
      </c>
      <c r="DS18" s="37"/>
      <c r="DT18" s="33"/>
      <c r="DU18" s="34"/>
      <c r="DV18" s="35" t="str">
        <f t="shared" si="48"/>
        <v/>
      </c>
      <c r="DW18" s="36" t="str">
        <f t="shared" si="49"/>
        <v/>
      </c>
      <c r="DX18" s="37"/>
      <c r="DY18" s="33"/>
      <c r="DZ18" s="34"/>
      <c r="EA18" s="35" t="str">
        <f t="shared" si="50"/>
        <v/>
      </c>
      <c r="EB18" s="36" t="str">
        <f t="shared" si="51"/>
        <v/>
      </c>
      <c r="EC18" s="37"/>
      <c r="ED18" s="33"/>
      <c r="EE18" s="34"/>
      <c r="EF18" s="35" t="str">
        <f t="shared" si="52"/>
        <v/>
      </c>
      <c r="EG18" s="36" t="str">
        <f t="shared" si="53"/>
        <v/>
      </c>
      <c r="EH18" s="37"/>
      <c r="EI18" s="33"/>
      <c r="EJ18" s="34"/>
      <c r="EK18" s="35" t="str">
        <f t="shared" si="54"/>
        <v/>
      </c>
      <c r="EL18" s="36" t="str">
        <f t="shared" si="55"/>
        <v/>
      </c>
      <c r="EM18" s="37"/>
      <c r="EN18" s="33"/>
      <c r="EO18" s="34"/>
      <c r="EP18" s="35" t="str">
        <f t="shared" si="56"/>
        <v/>
      </c>
      <c r="EQ18" s="36" t="str">
        <f t="shared" si="57"/>
        <v/>
      </c>
      <c r="ER18" s="37"/>
      <c r="ES18" s="33"/>
      <c r="ET18" s="34"/>
      <c r="EU18" s="35" t="str">
        <f t="shared" si="58"/>
        <v/>
      </c>
      <c r="EV18" s="36" t="str">
        <f t="shared" si="59"/>
        <v/>
      </c>
      <c r="EW18" s="37"/>
    </row>
    <row r="19" spans="1:153" ht="19.5" customHeight="1">
      <c r="A19" s="32">
        <f>IF(DAY(DATE(対象年度,9,16))&lt;&gt;16,"",16)</f>
        <v>16</v>
      </c>
      <c r="B19" s="32" t="str">
        <f>IF(DAY(DATE(対象年度,9,16))&lt;&gt;16,"",CHOOSE(WEEKDAY(DATE(対象年度,9,16),2),"月","火","水","木","金","土","日"))</f>
        <v>水</v>
      </c>
      <c r="C19" s="32" t="str">
        <f>IF(DAY(DATE(対象年度,9,16))&lt;&gt;16,"",IF(ISNUMBER(MATCH(DATE(対象年度,9,16),祝日リスト,0)),"祝",""))</f>
        <v/>
      </c>
      <c r="D19" s="33"/>
      <c r="E19" s="34"/>
      <c r="F19" s="35" t="str">
        <f t="shared" si="0"/>
        <v/>
      </c>
      <c r="G19" s="36" t="str">
        <f t="shared" si="1"/>
        <v/>
      </c>
      <c r="H19" s="37"/>
      <c r="I19" s="33"/>
      <c r="J19" s="34"/>
      <c r="K19" s="35" t="str">
        <f t="shared" si="2"/>
        <v/>
      </c>
      <c r="L19" s="36" t="str">
        <f t="shared" si="3"/>
        <v/>
      </c>
      <c r="M19" s="37"/>
      <c r="N19" s="33"/>
      <c r="O19" s="34"/>
      <c r="P19" s="35" t="str">
        <f t="shared" si="4"/>
        <v/>
      </c>
      <c r="Q19" s="36" t="str">
        <f t="shared" si="5"/>
        <v/>
      </c>
      <c r="R19" s="37"/>
      <c r="S19" s="33"/>
      <c r="T19" s="34"/>
      <c r="U19" s="35" t="str">
        <f t="shared" si="6"/>
        <v/>
      </c>
      <c r="V19" s="36" t="str">
        <f t="shared" si="7"/>
        <v/>
      </c>
      <c r="W19" s="37"/>
      <c r="X19" s="33"/>
      <c r="Y19" s="34"/>
      <c r="Z19" s="35" t="str">
        <f t="shared" si="8"/>
        <v/>
      </c>
      <c r="AA19" s="36" t="str">
        <f t="shared" si="9"/>
        <v/>
      </c>
      <c r="AB19" s="37"/>
      <c r="AC19" s="33"/>
      <c r="AD19" s="34"/>
      <c r="AE19" s="35" t="str">
        <f t="shared" si="10"/>
        <v/>
      </c>
      <c r="AF19" s="36" t="str">
        <f t="shared" si="11"/>
        <v/>
      </c>
      <c r="AG19" s="37"/>
      <c r="AH19" s="33"/>
      <c r="AI19" s="34"/>
      <c r="AJ19" s="35" t="str">
        <f t="shared" si="12"/>
        <v/>
      </c>
      <c r="AK19" s="36" t="str">
        <f t="shared" si="13"/>
        <v/>
      </c>
      <c r="AL19" s="37"/>
      <c r="AM19" s="33"/>
      <c r="AN19" s="34"/>
      <c r="AO19" s="35" t="str">
        <f t="shared" si="14"/>
        <v/>
      </c>
      <c r="AP19" s="36" t="str">
        <f t="shared" si="15"/>
        <v/>
      </c>
      <c r="AQ19" s="37"/>
      <c r="AR19" s="33"/>
      <c r="AS19" s="34"/>
      <c r="AT19" s="35" t="str">
        <f t="shared" si="16"/>
        <v/>
      </c>
      <c r="AU19" s="36" t="str">
        <f t="shared" si="17"/>
        <v/>
      </c>
      <c r="AV19" s="37"/>
      <c r="AW19" s="33"/>
      <c r="AX19" s="34"/>
      <c r="AY19" s="35" t="str">
        <f t="shared" si="18"/>
        <v/>
      </c>
      <c r="AZ19" s="36" t="str">
        <f t="shared" si="19"/>
        <v/>
      </c>
      <c r="BA19" s="37"/>
      <c r="BB19" s="33"/>
      <c r="BC19" s="34"/>
      <c r="BD19" s="35" t="str">
        <f t="shared" si="20"/>
        <v/>
      </c>
      <c r="BE19" s="36" t="str">
        <f t="shared" si="21"/>
        <v/>
      </c>
      <c r="BF19" s="37"/>
      <c r="BG19" s="33"/>
      <c r="BH19" s="34"/>
      <c r="BI19" s="35" t="str">
        <f t="shared" si="22"/>
        <v/>
      </c>
      <c r="BJ19" s="36" t="str">
        <f t="shared" si="23"/>
        <v/>
      </c>
      <c r="BK19" s="37"/>
      <c r="BL19" s="33"/>
      <c r="BM19" s="34"/>
      <c r="BN19" s="35" t="str">
        <f t="shared" si="24"/>
        <v/>
      </c>
      <c r="BO19" s="36" t="str">
        <f t="shared" si="25"/>
        <v/>
      </c>
      <c r="BP19" s="37"/>
      <c r="BQ19" s="33"/>
      <c r="BR19" s="34"/>
      <c r="BS19" s="35" t="str">
        <f t="shared" si="26"/>
        <v/>
      </c>
      <c r="BT19" s="36" t="str">
        <f t="shared" si="27"/>
        <v/>
      </c>
      <c r="BU19" s="37"/>
      <c r="BV19" s="33"/>
      <c r="BW19" s="34"/>
      <c r="BX19" s="35" t="str">
        <f t="shared" si="28"/>
        <v/>
      </c>
      <c r="BY19" s="36" t="str">
        <f t="shared" si="29"/>
        <v/>
      </c>
      <c r="BZ19" s="37"/>
      <c r="CA19" s="33"/>
      <c r="CB19" s="34"/>
      <c r="CC19" s="35" t="str">
        <f t="shared" si="30"/>
        <v/>
      </c>
      <c r="CD19" s="36" t="str">
        <f t="shared" si="31"/>
        <v/>
      </c>
      <c r="CE19" s="37"/>
      <c r="CF19" s="33"/>
      <c r="CG19" s="34"/>
      <c r="CH19" s="35" t="str">
        <f t="shared" si="32"/>
        <v/>
      </c>
      <c r="CI19" s="36" t="str">
        <f t="shared" si="33"/>
        <v/>
      </c>
      <c r="CJ19" s="37"/>
      <c r="CK19" s="33"/>
      <c r="CL19" s="34"/>
      <c r="CM19" s="35" t="str">
        <f t="shared" si="34"/>
        <v/>
      </c>
      <c r="CN19" s="36" t="str">
        <f t="shared" si="35"/>
        <v/>
      </c>
      <c r="CO19" s="37"/>
      <c r="CP19" s="33"/>
      <c r="CQ19" s="34"/>
      <c r="CR19" s="35" t="str">
        <f t="shared" si="36"/>
        <v/>
      </c>
      <c r="CS19" s="36" t="str">
        <f t="shared" si="37"/>
        <v/>
      </c>
      <c r="CT19" s="37"/>
      <c r="CU19" s="33"/>
      <c r="CV19" s="34"/>
      <c r="CW19" s="35" t="str">
        <f t="shared" si="38"/>
        <v/>
      </c>
      <c r="CX19" s="36" t="str">
        <f t="shared" si="39"/>
        <v/>
      </c>
      <c r="CY19" s="37"/>
      <c r="CZ19" s="33"/>
      <c r="DA19" s="34"/>
      <c r="DB19" s="35" t="str">
        <f t="shared" si="40"/>
        <v/>
      </c>
      <c r="DC19" s="36" t="str">
        <f t="shared" si="41"/>
        <v/>
      </c>
      <c r="DD19" s="37"/>
      <c r="DE19" s="33"/>
      <c r="DF19" s="34"/>
      <c r="DG19" s="35" t="str">
        <f t="shared" si="42"/>
        <v/>
      </c>
      <c r="DH19" s="36" t="str">
        <f t="shared" si="43"/>
        <v/>
      </c>
      <c r="DI19" s="37"/>
      <c r="DJ19" s="33"/>
      <c r="DK19" s="34"/>
      <c r="DL19" s="35" t="str">
        <f t="shared" si="44"/>
        <v/>
      </c>
      <c r="DM19" s="36" t="str">
        <f t="shared" si="45"/>
        <v/>
      </c>
      <c r="DN19" s="37"/>
      <c r="DO19" s="33"/>
      <c r="DP19" s="34"/>
      <c r="DQ19" s="35" t="str">
        <f t="shared" si="46"/>
        <v/>
      </c>
      <c r="DR19" s="36" t="str">
        <f t="shared" si="47"/>
        <v/>
      </c>
      <c r="DS19" s="37"/>
      <c r="DT19" s="33"/>
      <c r="DU19" s="34"/>
      <c r="DV19" s="35" t="str">
        <f t="shared" si="48"/>
        <v/>
      </c>
      <c r="DW19" s="36" t="str">
        <f t="shared" si="49"/>
        <v/>
      </c>
      <c r="DX19" s="37"/>
      <c r="DY19" s="33"/>
      <c r="DZ19" s="34"/>
      <c r="EA19" s="35" t="str">
        <f t="shared" si="50"/>
        <v/>
      </c>
      <c r="EB19" s="36" t="str">
        <f t="shared" si="51"/>
        <v/>
      </c>
      <c r="EC19" s="37"/>
      <c r="ED19" s="33"/>
      <c r="EE19" s="34"/>
      <c r="EF19" s="35" t="str">
        <f t="shared" si="52"/>
        <v/>
      </c>
      <c r="EG19" s="36" t="str">
        <f t="shared" si="53"/>
        <v/>
      </c>
      <c r="EH19" s="37"/>
      <c r="EI19" s="33"/>
      <c r="EJ19" s="34"/>
      <c r="EK19" s="35" t="str">
        <f t="shared" si="54"/>
        <v/>
      </c>
      <c r="EL19" s="36" t="str">
        <f t="shared" si="55"/>
        <v/>
      </c>
      <c r="EM19" s="37"/>
      <c r="EN19" s="33"/>
      <c r="EO19" s="34"/>
      <c r="EP19" s="35" t="str">
        <f t="shared" si="56"/>
        <v/>
      </c>
      <c r="EQ19" s="36" t="str">
        <f t="shared" si="57"/>
        <v/>
      </c>
      <c r="ER19" s="37"/>
      <c r="ES19" s="33"/>
      <c r="ET19" s="34"/>
      <c r="EU19" s="35" t="str">
        <f t="shared" si="58"/>
        <v/>
      </c>
      <c r="EV19" s="36" t="str">
        <f t="shared" si="59"/>
        <v/>
      </c>
      <c r="EW19" s="37"/>
    </row>
    <row r="20" spans="1:153" ht="19.5" customHeight="1">
      <c r="A20" s="32">
        <f>IF(DAY(DATE(対象年度,9,17))&lt;&gt;17,"",17)</f>
        <v>17</v>
      </c>
      <c r="B20" s="32" t="str">
        <f>IF(DAY(DATE(対象年度,9,17))&lt;&gt;17,"",CHOOSE(WEEKDAY(DATE(対象年度,9,17),2),"月","火","水","木","金","土","日"))</f>
        <v>木</v>
      </c>
      <c r="C20" s="32" t="str">
        <f>IF(DAY(DATE(対象年度,9,17))&lt;&gt;17,"",IF(ISNUMBER(MATCH(DATE(対象年度,9,17),祝日リスト,0)),"祝",""))</f>
        <v/>
      </c>
      <c r="D20" s="33"/>
      <c r="E20" s="34"/>
      <c r="F20" s="35" t="str">
        <f t="shared" si="0"/>
        <v/>
      </c>
      <c r="G20" s="36" t="str">
        <f t="shared" si="1"/>
        <v/>
      </c>
      <c r="H20" s="37"/>
      <c r="I20" s="33"/>
      <c r="J20" s="34"/>
      <c r="K20" s="35" t="str">
        <f t="shared" si="2"/>
        <v/>
      </c>
      <c r="L20" s="36" t="str">
        <f t="shared" si="3"/>
        <v/>
      </c>
      <c r="M20" s="37"/>
      <c r="N20" s="33"/>
      <c r="O20" s="34"/>
      <c r="P20" s="35" t="str">
        <f t="shared" si="4"/>
        <v/>
      </c>
      <c r="Q20" s="36" t="str">
        <f t="shared" si="5"/>
        <v/>
      </c>
      <c r="R20" s="37"/>
      <c r="S20" s="33"/>
      <c r="T20" s="34"/>
      <c r="U20" s="35" t="str">
        <f t="shared" si="6"/>
        <v/>
      </c>
      <c r="V20" s="36" t="str">
        <f t="shared" si="7"/>
        <v/>
      </c>
      <c r="W20" s="37"/>
      <c r="X20" s="33"/>
      <c r="Y20" s="34"/>
      <c r="Z20" s="35" t="str">
        <f t="shared" si="8"/>
        <v/>
      </c>
      <c r="AA20" s="36" t="str">
        <f t="shared" si="9"/>
        <v/>
      </c>
      <c r="AB20" s="37"/>
      <c r="AC20" s="33"/>
      <c r="AD20" s="34"/>
      <c r="AE20" s="35" t="str">
        <f t="shared" si="10"/>
        <v/>
      </c>
      <c r="AF20" s="36" t="str">
        <f t="shared" si="11"/>
        <v/>
      </c>
      <c r="AG20" s="37"/>
      <c r="AH20" s="33"/>
      <c r="AI20" s="34"/>
      <c r="AJ20" s="35" t="str">
        <f t="shared" si="12"/>
        <v/>
      </c>
      <c r="AK20" s="36" t="str">
        <f t="shared" si="13"/>
        <v/>
      </c>
      <c r="AL20" s="37"/>
      <c r="AM20" s="33"/>
      <c r="AN20" s="34"/>
      <c r="AO20" s="35" t="str">
        <f t="shared" si="14"/>
        <v/>
      </c>
      <c r="AP20" s="36" t="str">
        <f t="shared" si="15"/>
        <v/>
      </c>
      <c r="AQ20" s="37"/>
      <c r="AR20" s="33"/>
      <c r="AS20" s="34"/>
      <c r="AT20" s="35" t="str">
        <f t="shared" si="16"/>
        <v/>
      </c>
      <c r="AU20" s="36" t="str">
        <f t="shared" si="17"/>
        <v/>
      </c>
      <c r="AV20" s="37"/>
      <c r="AW20" s="33"/>
      <c r="AX20" s="34"/>
      <c r="AY20" s="35" t="str">
        <f t="shared" si="18"/>
        <v/>
      </c>
      <c r="AZ20" s="36" t="str">
        <f t="shared" si="19"/>
        <v/>
      </c>
      <c r="BA20" s="37"/>
      <c r="BB20" s="33"/>
      <c r="BC20" s="34"/>
      <c r="BD20" s="35" t="str">
        <f t="shared" si="20"/>
        <v/>
      </c>
      <c r="BE20" s="36" t="str">
        <f t="shared" si="21"/>
        <v/>
      </c>
      <c r="BF20" s="37"/>
      <c r="BG20" s="33"/>
      <c r="BH20" s="34"/>
      <c r="BI20" s="35" t="str">
        <f t="shared" si="22"/>
        <v/>
      </c>
      <c r="BJ20" s="36" t="str">
        <f t="shared" si="23"/>
        <v/>
      </c>
      <c r="BK20" s="37"/>
      <c r="BL20" s="33"/>
      <c r="BM20" s="34"/>
      <c r="BN20" s="35" t="str">
        <f t="shared" si="24"/>
        <v/>
      </c>
      <c r="BO20" s="36" t="str">
        <f t="shared" si="25"/>
        <v/>
      </c>
      <c r="BP20" s="37"/>
      <c r="BQ20" s="33"/>
      <c r="BR20" s="34"/>
      <c r="BS20" s="35" t="str">
        <f t="shared" si="26"/>
        <v/>
      </c>
      <c r="BT20" s="36" t="str">
        <f t="shared" si="27"/>
        <v/>
      </c>
      <c r="BU20" s="37"/>
      <c r="BV20" s="33"/>
      <c r="BW20" s="34"/>
      <c r="BX20" s="35" t="str">
        <f t="shared" si="28"/>
        <v/>
      </c>
      <c r="BY20" s="36" t="str">
        <f t="shared" si="29"/>
        <v/>
      </c>
      <c r="BZ20" s="37"/>
      <c r="CA20" s="33"/>
      <c r="CB20" s="34"/>
      <c r="CC20" s="35" t="str">
        <f t="shared" si="30"/>
        <v/>
      </c>
      <c r="CD20" s="36" t="str">
        <f t="shared" si="31"/>
        <v/>
      </c>
      <c r="CE20" s="37"/>
      <c r="CF20" s="33"/>
      <c r="CG20" s="34"/>
      <c r="CH20" s="35" t="str">
        <f t="shared" si="32"/>
        <v/>
      </c>
      <c r="CI20" s="36" t="str">
        <f t="shared" si="33"/>
        <v/>
      </c>
      <c r="CJ20" s="37"/>
      <c r="CK20" s="33"/>
      <c r="CL20" s="34"/>
      <c r="CM20" s="35" t="str">
        <f t="shared" si="34"/>
        <v/>
      </c>
      <c r="CN20" s="36" t="str">
        <f t="shared" si="35"/>
        <v/>
      </c>
      <c r="CO20" s="37"/>
      <c r="CP20" s="33"/>
      <c r="CQ20" s="34"/>
      <c r="CR20" s="35" t="str">
        <f t="shared" si="36"/>
        <v/>
      </c>
      <c r="CS20" s="36" t="str">
        <f t="shared" si="37"/>
        <v/>
      </c>
      <c r="CT20" s="37"/>
      <c r="CU20" s="33"/>
      <c r="CV20" s="34"/>
      <c r="CW20" s="35" t="str">
        <f t="shared" si="38"/>
        <v/>
      </c>
      <c r="CX20" s="36" t="str">
        <f t="shared" si="39"/>
        <v/>
      </c>
      <c r="CY20" s="37"/>
      <c r="CZ20" s="33"/>
      <c r="DA20" s="34"/>
      <c r="DB20" s="35" t="str">
        <f t="shared" si="40"/>
        <v/>
      </c>
      <c r="DC20" s="36" t="str">
        <f t="shared" si="41"/>
        <v/>
      </c>
      <c r="DD20" s="37"/>
      <c r="DE20" s="33"/>
      <c r="DF20" s="34"/>
      <c r="DG20" s="35" t="str">
        <f t="shared" si="42"/>
        <v/>
      </c>
      <c r="DH20" s="36" t="str">
        <f t="shared" si="43"/>
        <v/>
      </c>
      <c r="DI20" s="37"/>
      <c r="DJ20" s="33"/>
      <c r="DK20" s="34"/>
      <c r="DL20" s="35" t="str">
        <f t="shared" si="44"/>
        <v/>
      </c>
      <c r="DM20" s="36" t="str">
        <f t="shared" si="45"/>
        <v/>
      </c>
      <c r="DN20" s="37"/>
      <c r="DO20" s="33"/>
      <c r="DP20" s="34"/>
      <c r="DQ20" s="35" t="str">
        <f t="shared" si="46"/>
        <v/>
      </c>
      <c r="DR20" s="36" t="str">
        <f t="shared" si="47"/>
        <v/>
      </c>
      <c r="DS20" s="37"/>
      <c r="DT20" s="33"/>
      <c r="DU20" s="34"/>
      <c r="DV20" s="35" t="str">
        <f t="shared" si="48"/>
        <v/>
      </c>
      <c r="DW20" s="36" t="str">
        <f t="shared" si="49"/>
        <v/>
      </c>
      <c r="DX20" s="37"/>
      <c r="DY20" s="33"/>
      <c r="DZ20" s="34"/>
      <c r="EA20" s="35" t="str">
        <f t="shared" si="50"/>
        <v/>
      </c>
      <c r="EB20" s="36" t="str">
        <f t="shared" si="51"/>
        <v/>
      </c>
      <c r="EC20" s="37"/>
      <c r="ED20" s="33"/>
      <c r="EE20" s="34"/>
      <c r="EF20" s="35" t="str">
        <f t="shared" si="52"/>
        <v/>
      </c>
      <c r="EG20" s="36" t="str">
        <f t="shared" si="53"/>
        <v/>
      </c>
      <c r="EH20" s="37"/>
      <c r="EI20" s="33"/>
      <c r="EJ20" s="34"/>
      <c r="EK20" s="35" t="str">
        <f t="shared" si="54"/>
        <v/>
      </c>
      <c r="EL20" s="36" t="str">
        <f t="shared" si="55"/>
        <v/>
      </c>
      <c r="EM20" s="37"/>
      <c r="EN20" s="33"/>
      <c r="EO20" s="34"/>
      <c r="EP20" s="35" t="str">
        <f t="shared" si="56"/>
        <v/>
      </c>
      <c r="EQ20" s="36" t="str">
        <f t="shared" si="57"/>
        <v/>
      </c>
      <c r="ER20" s="37"/>
      <c r="ES20" s="33"/>
      <c r="ET20" s="34"/>
      <c r="EU20" s="35" t="str">
        <f t="shared" si="58"/>
        <v/>
      </c>
      <c r="EV20" s="36" t="str">
        <f t="shared" si="59"/>
        <v/>
      </c>
      <c r="EW20" s="37"/>
    </row>
    <row r="21" spans="1:153" ht="19.5" customHeight="1">
      <c r="A21" s="32">
        <f>IF(DAY(DATE(対象年度,9,18))&lt;&gt;18,"",18)</f>
        <v>18</v>
      </c>
      <c r="B21" s="32" t="str">
        <f>IF(DAY(DATE(対象年度,9,18))&lt;&gt;18,"",CHOOSE(WEEKDAY(DATE(対象年度,9,18),2),"月","火","水","木","金","土","日"))</f>
        <v>金</v>
      </c>
      <c r="C21" s="32" t="str">
        <f>IF(DAY(DATE(対象年度,9,18))&lt;&gt;18,"",IF(ISNUMBER(MATCH(DATE(対象年度,9,18),祝日リスト,0)),"祝",""))</f>
        <v/>
      </c>
      <c r="D21" s="33"/>
      <c r="E21" s="34"/>
      <c r="F21" s="35" t="str">
        <f t="shared" si="0"/>
        <v/>
      </c>
      <c r="G21" s="36" t="str">
        <f t="shared" si="1"/>
        <v/>
      </c>
      <c r="H21" s="37"/>
      <c r="I21" s="33"/>
      <c r="J21" s="34"/>
      <c r="K21" s="35" t="str">
        <f t="shared" si="2"/>
        <v/>
      </c>
      <c r="L21" s="36" t="str">
        <f t="shared" si="3"/>
        <v/>
      </c>
      <c r="M21" s="37"/>
      <c r="N21" s="33"/>
      <c r="O21" s="34"/>
      <c r="P21" s="35" t="str">
        <f t="shared" si="4"/>
        <v/>
      </c>
      <c r="Q21" s="36" t="str">
        <f t="shared" si="5"/>
        <v/>
      </c>
      <c r="R21" s="37"/>
      <c r="S21" s="33"/>
      <c r="T21" s="34"/>
      <c r="U21" s="35" t="str">
        <f t="shared" si="6"/>
        <v/>
      </c>
      <c r="V21" s="36" t="str">
        <f t="shared" si="7"/>
        <v/>
      </c>
      <c r="W21" s="37"/>
      <c r="X21" s="33"/>
      <c r="Y21" s="34"/>
      <c r="Z21" s="35" t="str">
        <f t="shared" si="8"/>
        <v/>
      </c>
      <c r="AA21" s="36" t="str">
        <f t="shared" si="9"/>
        <v/>
      </c>
      <c r="AB21" s="37"/>
      <c r="AC21" s="33"/>
      <c r="AD21" s="34"/>
      <c r="AE21" s="35" t="str">
        <f t="shared" si="10"/>
        <v/>
      </c>
      <c r="AF21" s="36" t="str">
        <f t="shared" si="11"/>
        <v/>
      </c>
      <c r="AG21" s="37"/>
      <c r="AH21" s="33"/>
      <c r="AI21" s="34"/>
      <c r="AJ21" s="35" t="str">
        <f t="shared" si="12"/>
        <v/>
      </c>
      <c r="AK21" s="36" t="str">
        <f t="shared" si="13"/>
        <v/>
      </c>
      <c r="AL21" s="37"/>
      <c r="AM21" s="33"/>
      <c r="AN21" s="34"/>
      <c r="AO21" s="35" t="str">
        <f t="shared" si="14"/>
        <v/>
      </c>
      <c r="AP21" s="36" t="str">
        <f t="shared" si="15"/>
        <v/>
      </c>
      <c r="AQ21" s="37"/>
      <c r="AR21" s="33"/>
      <c r="AS21" s="34"/>
      <c r="AT21" s="35" t="str">
        <f t="shared" si="16"/>
        <v/>
      </c>
      <c r="AU21" s="36" t="str">
        <f t="shared" si="17"/>
        <v/>
      </c>
      <c r="AV21" s="37"/>
      <c r="AW21" s="33"/>
      <c r="AX21" s="34"/>
      <c r="AY21" s="35" t="str">
        <f t="shared" si="18"/>
        <v/>
      </c>
      <c r="AZ21" s="36" t="str">
        <f t="shared" si="19"/>
        <v/>
      </c>
      <c r="BA21" s="37"/>
      <c r="BB21" s="33"/>
      <c r="BC21" s="34"/>
      <c r="BD21" s="35" t="str">
        <f t="shared" si="20"/>
        <v/>
      </c>
      <c r="BE21" s="36" t="str">
        <f t="shared" si="21"/>
        <v/>
      </c>
      <c r="BF21" s="37"/>
      <c r="BG21" s="33"/>
      <c r="BH21" s="34"/>
      <c r="BI21" s="35" t="str">
        <f t="shared" si="22"/>
        <v/>
      </c>
      <c r="BJ21" s="36" t="str">
        <f t="shared" si="23"/>
        <v/>
      </c>
      <c r="BK21" s="37"/>
      <c r="BL21" s="33"/>
      <c r="BM21" s="34"/>
      <c r="BN21" s="35" t="str">
        <f t="shared" si="24"/>
        <v/>
      </c>
      <c r="BO21" s="36" t="str">
        <f t="shared" si="25"/>
        <v/>
      </c>
      <c r="BP21" s="37"/>
      <c r="BQ21" s="33"/>
      <c r="BR21" s="34"/>
      <c r="BS21" s="35" t="str">
        <f t="shared" si="26"/>
        <v/>
      </c>
      <c r="BT21" s="36" t="str">
        <f t="shared" si="27"/>
        <v/>
      </c>
      <c r="BU21" s="37"/>
      <c r="BV21" s="33"/>
      <c r="BW21" s="34"/>
      <c r="BX21" s="35" t="str">
        <f t="shared" si="28"/>
        <v/>
      </c>
      <c r="BY21" s="36" t="str">
        <f t="shared" si="29"/>
        <v/>
      </c>
      <c r="BZ21" s="37"/>
      <c r="CA21" s="33"/>
      <c r="CB21" s="34"/>
      <c r="CC21" s="35" t="str">
        <f t="shared" si="30"/>
        <v/>
      </c>
      <c r="CD21" s="36" t="str">
        <f t="shared" si="31"/>
        <v/>
      </c>
      <c r="CE21" s="37"/>
      <c r="CF21" s="33"/>
      <c r="CG21" s="34"/>
      <c r="CH21" s="35" t="str">
        <f t="shared" si="32"/>
        <v/>
      </c>
      <c r="CI21" s="36" t="str">
        <f t="shared" si="33"/>
        <v/>
      </c>
      <c r="CJ21" s="37"/>
      <c r="CK21" s="33"/>
      <c r="CL21" s="34"/>
      <c r="CM21" s="35" t="str">
        <f t="shared" si="34"/>
        <v/>
      </c>
      <c r="CN21" s="36" t="str">
        <f t="shared" si="35"/>
        <v/>
      </c>
      <c r="CO21" s="37"/>
      <c r="CP21" s="33"/>
      <c r="CQ21" s="34"/>
      <c r="CR21" s="35" t="str">
        <f t="shared" si="36"/>
        <v/>
      </c>
      <c r="CS21" s="36" t="str">
        <f t="shared" si="37"/>
        <v/>
      </c>
      <c r="CT21" s="37"/>
      <c r="CU21" s="33"/>
      <c r="CV21" s="34"/>
      <c r="CW21" s="35" t="str">
        <f t="shared" si="38"/>
        <v/>
      </c>
      <c r="CX21" s="36" t="str">
        <f t="shared" si="39"/>
        <v/>
      </c>
      <c r="CY21" s="37"/>
      <c r="CZ21" s="33"/>
      <c r="DA21" s="34"/>
      <c r="DB21" s="35" t="str">
        <f t="shared" si="40"/>
        <v/>
      </c>
      <c r="DC21" s="36" t="str">
        <f t="shared" si="41"/>
        <v/>
      </c>
      <c r="DD21" s="37"/>
      <c r="DE21" s="33"/>
      <c r="DF21" s="34"/>
      <c r="DG21" s="35" t="str">
        <f t="shared" si="42"/>
        <v/>
      </c>
      <c r="DH21" s="36" t="str">
        <f t="shared" si="43"/>
        <v/>
      </c>
      <c r="DI21" s="37"/>
      <c r="DJ21" s="33"/>
      <c r="DK21" s="34"/>
      <c r="DL21" s="35" t="str">
        <f t="shared" si="44"/>
        <v/>
      </c>
      <c r="DM21" s="36" t="str">
        <f t="shared" si="45"/>
        <v/>
      </c>
      <c r="DN21" s="37"/>
      <c r="DO21" s="33"/>
      <c r="DP21" s="34"/>
      <c r="DQ21" s="35" t="str">
        <f t="shared" si="46"/>
        <v/>
      </c>
      <c r="DR21" s="36" t="str">
        <f t="shared" si="47"/>
        <v/>
      </c>
      <c r="DS21" s="37"/>
      <c r="DT21" s="33"/>
      <c r="DU21" s="34"/>
      <c r="DV21" s="35" t="str">
        <f t="shared" si="48"/>
        <v/>
      </c>
      <c r="DW21" s="36" t="str">
        <f t="shared" si="49"/>
        <v/>
      </c>
      <c r="DX21" s="37"/>
      <c r="DY21" s="33"/>
      <c r="DZ21" s="34"/>
      <c r="EA21" s="35" t="str">
        <f t="shared" si="50"/>
        <v/>
      </c>
      <c r="EB21" s="36" t="str">
        <f t="shared" si="51"/>
        <v/>
      </c>
      <c r="EC21" s="37"/>
      <c r="ED21" s="33"/>
      <c r="EE21" s="34"/>
      <c r="EF21" s="35" t="str">
        <f t="shared" si="52"/>
        <v/>
      </c>
      <c r="EG21" s="36" t="str">
        <f t="shared" si="53"/>
        <v/>
      </c>
      <c r="EH21" s="37"/>
      <c r="EI21" s="33"/>
      <c r="EJ21" s="34"/>
      <c r="EK21" s="35" t="str">
        <f t="shared" si="54"/>
        <v/>
      </c>
      <c r="EL21" s="36" t="str">
        <f t="shared" si="55"/>
        <v/>
      </c>
      <c r="EM21" s="37"/>
      <c r="EN21" s="33"/>
      <c r="EO21" s="34"/>
      <c r="EP21" s="35" t="str">
        <f t="shared" si="56"/>
        <v/>
      </c>
      <c r="EQ21" s="36" t="str">
        <f t="shared" si="57"/>
        <v/>
      </c>
      <c r="ER21" s="37"/>
      <c r="ES21" s="33"/>
      <c r="ET21" s="34"/>
      <c r="EU21" s="35" t="str">
        <f t="shared" si="58"/>
        <v/>
      </c>
      <c r="EV21" s="36" t="str">
        <f t="shared" si="59"/>
        <v/>
      </c>
      <c r="EW21" s="37"/>
    </row>
    <row r="22" spans="1:153" ht="19.5" customHeight="1">
      <c r="A22" s="32">
        <f>IF(DAY(DATE(対象年度,9,19))&lt;&gt;19,"",19)</f>
        <v>19</v>
      </c>
      <c r="B22" s="32" t="str">
        <f>IF(DAY(DATE(対象年度,9,19))&lt;&gt;19,"",CHOOSE(WEEKDAY(DATE(対象年度,9,19),2),"月","火","水","木","金","土","日"))</f>
        <v>土</v>
      </c>
      <c r="C22" s="32" t="str">
        <f>IF(DAY(DATE(対象年度,9,19))&lt;&gt;19,"",IF(ISNUMBER(MATCH(DATE(対象年度,9,19),祝日リスト,0)),"祝",""))</f>
        <v/>
      </c>
      <c r="D22" s="33"/>
      <c r="E22" s="34"/>
      <c r="F22" s="35" t="str">
        <f t="shared" si="0"/>
        <v/>
      </c>
      <c r="G22" s="36" t="str">
        <f t="shared" si="1"/>
        <v/>
      </c>
      <c r="H22" s="37"/>
      <c r="I22" s="33"/>
      <c r="J22" s="34"/>
      <c r="K22" s="35" t="str">
        <f t="shared" si="2"/>
        <v/>
      </c>
      <c r="L22" s="36" t="str">
        <f t="shared" si="3"/>
        <v/>
      </c>
      <c r="M22" s="37"/>
      <c r="N22" s="33"/>
      <c r="O22" s="34"/>
      <c r="P22" s="35" t="str">
        <f t="shared" si="4"/>
        <v/>
      </c>
      <c r="Q22" s="36" t="str">
        <f t="shared" si="5"/>
        <v/>
      </c>
      <c r="R22" s="37"/>
      <c r="S22" s="33"/>
      <c r="T22" s="34"/>
      <c r="U22" s="35" t="str">
        <f t="shared" si="6"/>
        <v/>
      </c>
      <c r="V22" s="36" t="str">
        <f t="shared" si="7"/>
        <v/>
      </c>
      <c r="W22" s="37"/>
      <c r="X22" s="33"/>
      <c r="Y22" s="34"/>
      <c r="Z22" s="35" t="str">
        <f t="shared" si="8"/>
        <v/>
      </c>
      <c r="AA22" s="36" t="str">
        <f t="shared" si="9"/>
        <v/>
      </c>
      <c r="AB22" s="37"/>
      <c r="AC22" s="33"/>
      <c r="AD22" s="34"/>
      <c r="AE22" s="35" t="str">
        <f t="shared" si="10"/>
        <v/>
      </c>
      <c r="AF22" s="36" t="str">
        <f t="shared" si="11"/>
        <v/>
      </c>
      <c r="AG22" s="37"/>
      <c r="AH22" s="33"/>
      <c r="AI22" s="34"/>
      <c r="AJ22" s="35" t="str">
        <f t="shared" si="12"/>
        <v/>
      </c>
      <c r="AK22" s="36" t="str">
        <f t="shared" si="13"/>
        <v/>
      </c>
      <c r="AL22" s="37"/>
      <c r="AM22" s="33"/>
      <c r="AN22" s="34"/>
      <c r="AO22" s="35" t="str">
        <f t="shared" si="14"/>
        <v/>
      </c>
      <c r="AP22" s="36" t="str">
        <f t="shared" si="15"/>
        <v/>
      </c>
      <c r="AQ22" s="37"/>
      <c r="AR22" s="33"/>
      <c r="AS22" s="34"/>
      <c r="AT22" s="35" t="str">
        <f t="shared" si="16"/>
        <v/>
      </c>
      <c r="AU22" s="36" t="str">
        <f t="shared" si="17"/>
        <v/>
      </c>
      <c r="AV22" s="37"/>
      <c r="AW22" s="33"/>
      <c r="AX22" s="34"/>
      <c r="AY22" s="35" t="str">
        <f t="shared" si="18"/>
        <v/>
      </c>
      <c r="AZ22" s="36" t="str">
        <f t="shared" si="19"/>
        <v/>
      </c>
      <c r="BA22" s="37"/>
      <c r="BB22" s="33"/>
      <c r="BC22" s="34"/>
      <c r="BD22" s="35" t="str">
        <f t="shared" si="20"/>
        <v/>
      </c>
      <c r="BE22" s="36" t="str">
        <f t="shared" si="21"/>
        <v/>
      </c>
      <c r="BF22" s="37"/>
      <c r="BG22" s="33"/>
      <c r="BH22" s="34"/>
      <c r="BI22" s="35" t="str">
        <f t="shared" si="22"/>
        <v/>
      </c>
      <c r="BJ22" s="36" t="str">
        <f t="shared" si="23"/>
        <v/>
      </c>
      <c r="BK22" s="37"/>
      <c r="BL22" s="33"/>
      <c r="BM22" s="34"/>
      <c r="BN22" s="35" t="str">
        <f t="shared" si="24"/>
        <v/>
      </c>
      <c r="BO22" s="36" t="str">
        <f t="shared" si="25"/>
        <v/>
      </c>
      <c r="BP22" s="37"/>
      <c r="BQ22" s="33"/>
      <c r="BR22" s="34"/>
      <c r="BS22" s="35" t="str">
        <f t="shared" si="26"/>
        <v/>
      </c>
      <c r="BT22" s="36" t="str">
        <f t="shared" si="27"/>
        <v/>
      </c>
      <c r="BU22" s="37"/>
      <c r="BV22" s="33"/>
      <c r="BW22" s="34"/>
      <c r="BX22" s="35" t="str">
        <f t="shared" si="28"/>
        <v/>
      </c>
      <c r="BY22" s="36" t="str">
        <f t="shared" si="29"/>
        <v/>
      </c>
      <c r="BZ22" s="37"/>
      <c r="CA22" s="33"/>
      <c r="CB22" s="34"/>
      <c r="CC22" s="35" t="str">
        <f t="shared" si="30"/>
        <v/>
      </c>
      <c r="CD22" s="36" t="str">
        <f t="shared" si="31"/>
        <v/>
      </c>
      <c r="CE22" s="37"/>
      <c r="CF22" s="33"/>
      <c r="CG22" s="34"/>
      <c r="CH22" s="35" t="str">
        <f t="shared" si="32"/>
        <v/>
      </c>
      <c r="CI22" s="36" t="str">
        <f t="shared" si="33"/>
        <v/>
      </c>
      <c r="CJ22" s="37"/>
      <c r="CK22" s="33"/>
      <c r="CL22" s="34"/>
      <c r="CM22" s="35" t="str">
        <f t="shared" si="34"/>
        <v/>
      </c>
      <c r="CN22" s="36" t="str">
        <f t="shared" si="35"/>
        <v/>
      </c>
      <c r="CO22" s="37"/>
      <c r="CP22" s="33"/>
      <c r="CQ22" s="34"/>
      <c r="CR22" s="35" t="str">
        <f t="shared" si="36"/>
        <v/>
      </c>
      <c r="CS22" s="36" t="str">
        <f t="shared" si="37"/>
        <v/>
      </c>
      <c r="CT22" s="37"/>
      <c r="CU22" s="33"/>
      <c r="CV22" s="34"/>
      <c r="CW22" s="35" t="str">
        <f t="shared" si="38"/>
        <v/>
      </c>
      <c r="CX22" s="36" t="str">
        <f t="shared" si="39"/>
        <v/>
      </c>
      <c r="CY22" s="37"/>
      <c r="CZ22" s="33"/>
      <c r="DA22" s="34"/>
      <c r="DB22" s="35" t="str">
        <f t="shared" si="40"/>
        <v/>
      </c>
      <c r="DC22" s="36" t="str">
        <f t="shared" si="41"/>
        <v/>
      </c>
      <c r="DD22" s="37"/>
      <c r="DE22" s="33"/>
      <c r="DF22" s="34"/>
      <c r="DG22" s="35" t="str">
        <f t="shared" si="42"/>
        <v/>
      </c>
      <c r="DH22" s="36" t="str">
        <f t="shared" si="43"/>
        <v/>
      </c>
      <c r="DI22" s="37"/>
      <c r="DJ22" s="33"/>
      <c r="DK22" s="34"/>
      <c r="DL22" s="35" t="str">
        <f t="shared" si="44"/>
        <v/>
      </c>
      <c r="DM22" s="36" t="str">
        <f t="shared" si="45"/>
        <v/>
      </c>
      <c r="DN22" s="37"/>
      <c r="DO22" s="33"/>
      <c r="DP22" s="34"/>
      <c r="DQ22" s="35" t="str">
        <f t="shared" si="46"/>
        <v/>
      </c>
      <c r="DR22" s="36" t="str">
        <f t="shared" si="47"/>
        <v/>
      </c>
      <c r="DS22" s="37"/>
      <c r="DT22" s="33"/>
      <c r="DU22" s="34"/>
      <c r="DV22" s="35" t="str">
        <f t="shared" si="48"/>
        <v/>
      </c>
      <c r="DW22" s="36" t="str">
        <f t="shared" si="49"/>
        <v/>
      </c>
      <c r="DX22" s="37"/>
      <c r="DY22" s="33"/>
      <c r="DZ22" s="34"/>
      <c r="EA22" s="35" t="str">
        <f t="shared" si="50"/>
        <v/>
      </c>
      <c r="EB22" s="36" t="str">
        <f t="shared" si="51"/>
        <v/>
      </c>
      <c r="EC22" s="37"/>
      <c r="ED22" s="33"/>
      <c r="EE22" s="34"/>
      <c r="EF22" s="35" t="str">
        <f t="shared" si="52"/>
        <v/>
      </c>
      <c r="EG22" s="36" t="str">
        <f t="shared" si="53"/>
        <v/>
      </c>
      <c r="EH22" s="37"/>
      <c r="EI22" s="33"/>
      <c r="EJ22" s="34"/>
      <c r="EK22" s="35" t="str">
        <f t="shared" si="54"/>
        <v/>
      </c>
      <c r="EL22" s="36" t="str">
        <f t="shared" si="55"/>
        <v/>
      </c>
      <c r="EM22" s="37"/>
      <c r="EN22" s="33"/>
      <c r="EO22" s="34"/>
      <c r="EP22" s="35" t="str">
        <f t="shared" si="56"/>
        <v/>
      </c>
      <c r="EQ22" s="36" t="str">
        <f t="shared" si="57"/>
        <v/>
      </c>
      <c r="ER22" s="37"/>
      <c r="ES22" s="33"/>
      <c r="ET22" s="34"/>
      <c r="EU22" s="35" t="str">
        <f t="shared" si="58"/>
        <v/>
      </c>
      <c r="EV22" s="36" t="str">
        <f t="shared" si="59"/>
        <v/>
      </c>
      <c r="EW22" s="37"/>
    </row>
    <row r="23" spans="1:153" ht="19.5" customHeight="1">
      <c r="A23" s="32">
        <f>IF(DAY(DATE(対象年度,9,20))&lt;&gt;20,"",20)</f>
        <v>20</v>
      </c>
      <c r="B23" s="32" t="str">
        <f>IF(DAY(DATE(対象年度,9,20))&lt;&gt;20,"",CHOOSE(WEEKDAY(DATE(対象年度,9,20),2),"月","火","水","木","金","土","日"))</f>
        <v>日</v>
      </c>
      <c r="C23" s="32" t="str">
        <f>IF(DAY(DATE(対象年度,9,20))&lt;&gt;20,"",IF(ISNUMBER(MATCH(DATE(対象年度,9,20),祝日リスト,0)),"祝",""))</f>
        <v/>
      </c>
      <c r="D23" s="33"/>
      <c r="E23" s="34"/>
      <c r="F23" s="35" t="str">
        <f t="shared" si="0"/>
        <v/>
      </c>
      <c r="G23" s="36" t="str">
        <f t="shared" si="1"/>
        <v/>
      </c>
      <c r="H23" s="37"/>
      <c r="I23" s="33"/>
      <c r="J23" s="34"/>
      <c r="K23" s="35" t="str">
        <f t="shared" si="2"/>
        <v/>
      </c>
      <c r="L23" s="36" t="str">
        <f t="shared" si="3"/>
        <v/>
      </c>
      <c r="M23" s="37"/>
      <c r="N23" s="33"/>
      <c r="O23" s="34"/>
      <c r="P23" s="35" t="str">
        <f t="shared" si="4"/>
        <v/>
      </c>
      <c r="Q23" s="36" t="str">
        <f t="shared" si="5"/>
        <v/>
      </c>
      <c r="R23" s="37"/>
      <c r="S23" s="33"/>
      <c r="T23" s="34"/>
      <c r="U23" s="35" t="str">
        <f t="shared" si="6"/>
        <v/>
      </c>
      <c r="V23" s="36" t="str">
        <f t="shared" si="7"/>
        <v/>
      </c>
      <c r="W23" s="37"/>
      <c r="X23" s="33"/>
      <c r="Y23" s="34"/>
      <c r="Z23" s="35" t="str">
        <f t="shared" si="8"/>
        <v/>
      </c>
      <c r="AA23" s="36" t="str">
        <f t="shared" si="9"/>
        <v/>
      </c>
      <c r="AB23" s="37"/>
      <c r="AC23" s="33"/>
      <c r="AD23" s="34"/>
      <c r="AE23" s="35" t="str">
        <f t="shared" si="10"/>
        <v/>
      </c>
      <c r="AF23" s="36" t="str">
        <f t="shared" si="11"/>
        <v/>
      </c>
      <c r="AG23" s="37"/>
      <c r="AH23" s="33"/>
      <c r="AI23" s="34"/>
      <c r="AJ23" s="35" t="str">
        <f t="shared" si="12"/>
        <v/>
      </c>
      <c r="AK23" s="36" t="str">
        <f t="shared" si="13"/>
        <v/>
      </c>
      <c r="AL23" s="37"/>
      <c r="AM23" s="33"/>
      <c r="AN23" s="34"/>
      <c r="AO23" s="35" t="str">
        <f t="shared" si="14"/>
        <v/>
      </c>
      <c r="AP23" s="36" t="str">
        <f t="shared" si="15"/>
        <v/>
      </c>
      <c r="AQ23" s="37"/>
      <c r="AR23" s="33"/>
      <c r="AS23" s="34"/>
      <c r="AT23" s="35" t="str">
        <f t="shared" si="16"/>
        <v/>
      </c>
      <c r="AU23" s="36" t="str">
        <f t="shared" si="17"/>
        <v/>
      </c>
      <c r="AV23" s="37"/>
      <c r="AW23" s="33"/>
      <c r="AX23" s="34"/>
      <c r="AY23" s="35" t="str">
        <f t="shared" si="18"/>
        <v/>
      </c>
      <c r="AZ23" s="36" t="str">
        <f t="shared" si="19"/>
        <v/>
      </c>
      <c r="BA23" s="37"/>
      <c r="BB23" s="33"/>
      <c r="BC23" s="34"/>
      <c r="BD23" s="35" t="str">
        <f t="shared" si="20"/>
        <v/>
      </c>
      <c r="BE23" s="36" t="str">
        <f t="shared" si="21"/>
        <v/>
      </c>
      <c r="BF23" s="37"/>
      <c r="BG23" s="33"/>
      <c r="BH23" s="34"/>
      <c r="BI23" s="35" t="str">
        <f t="shared" si="22"/>
        <v/>
      </c>
      <c r="BJ23" s="36" t="str">
        <f t="shared" si="23"/>
        <v/>
      </c>
      <c r="BK23" s="37"/>
      <c r="BL23" s="33"/>
      <c r="BM23" s="34"/>
      <c r="BN23" s="35" t="str">
        <f t="shared" si="24"/>
        <v/>
      </c>
      <c r="BO23" s="36" t="str">
        <f t="shared" si="25"/>
        <v/>
      </c>
      <c r="BP23" s="37"/>
      <c r="BQ23" s="33"/>
      <c r="BR23" s="34"/>
      <c r="BS23" s="35" t="str">
        <f t="shared" si="26"/>
        <v/>
      </c>
      <c r="BT23" s="36" t="str">
        <f t="shared" si="27"/>
        <v/>
      </c>
      <c r="BU23" s="37"/>
      <c r="BV23" s="33"/>
      <c r="BW23" s="34"/>
      <c r="BX23" s="35" t="str">
        <f t="shared" si="28"/>
        <v/>
      </c>
      <c r="BY23" s="36" t="str">
        <f t="shared" si="29"/>
        <v/>
      </c>
      <c r="BZ23" s="37"/>
      <c r="CA23" s="33"/>
      <c r="CB23" s="34"/>
      <c r="CC23" s="35" t="str">
        <f t="shared" si="30"/>
        <v/>
      </c>
      <c r="CD23" s="36" t="str">
        <f t="shared" si="31"/>
        <v/>
      </c>
      <c r="CE23" s="37"/>
      <c r="CF23" s="33"/>
      <c r="CG23" s="34"/>
      <c r="CH23" s="35" t="str">
        <f t="shared" si="32"/>
        <v/>
      </c>
      <c r="CI23" s="36" t="str">
        <f t="shared" si="33"/>
        <v/>
      </c>
      <c r="CJ23" s="37"/>
      <c r="CK23" s="33"/>
      <c r="CL23" s="34"/>
      <c r="CM23" s="35" t="str">
        <f t="shared" si="34"/>
        <v/>
      </c>
      <c r="CN23" s="36" t="str">
        <f t="shared" si="35"/>
        <v/>
      </c>
      <c r="CO23" s="37"/>
      <c r="CP23" s="33"/>
      <c r="CQ23" s="34"/>
      <c r="CR23" s="35" t="str">
        <f t="shared" si="36"/>
        <v/>
      </c>
      <c r="CS23" s="36" t="str">
        <f t="shared" si="37"/>
        <v/>
      </c>
      <c r="CT23" s="37"/>
      <c r="CU23" s="33"/>
      <c r="CV23" s="34"/>
      <c r="CW23" s="35" t="str">
        <f t="shared" si="38"/>
        <v/>
      </c>
      <c r="CX23" s="36" t="str">
        <f t="shared" si="39"/>
        <v/>
      </c>
      <c r="CY23" s="37"/>
      <c r="CZ23" s="33"/>
      <c r="DA23" s="34"/>
      <c r="DB23" s="35" t="str">
        <f t="shared" si="40"/>
        <v/>
      </c>
      <c r="DC23" s="36" t="str">
        <f t="shared" si="41"/>
        <v/>
      </c>
      <c r="DD23" s="37"/>
      <c r="DE23" s="33"/>
      <c r="DF23" s="34"/>
      <c r="DG23" s="35" t="str">
        <f t="shared" si="42"/>
        <v/>
      </c>
      <c r="DH23" s="36" t="str">
        <f t="shared" si="43"/>
        <v/>
      </c>
      <c r="DI23" s="37"/>
      <c r="DJ23" s="33"/>
      <c r="DK23" s="34"/>
      <c r="DL23" s="35" t="str">
        <f t="shared" si="44"/>
        <v/>
      </c>
      <c r="DM23" s="36" t="str">
        <f t="shared" si="45"/>
        <v/>
      </c>
      <c r="DN23" s="37"/>
      <c r="DO23" s="33"/>
      <c r="DP23" s="34"/>
      <c r="DQ23" s="35" t="str">
        <f t="shared" si="46"/>
        <v/>
      </c>
      <c r="DR23" s="36" t="str">
        <f t="shared" si="47"/>
        <v/>
      </c>
      <c r="DS23" s="37"/>
      <c r="DT23" s="33"/>
      <c r="DU23" s="34"/>
      <c r="DV23" s="35" t="str">
        <f t="shared" si="48"/>
        <v/>
      </c>
      <c r="DW23" s="36" t="str">
        <f t="shared" si="49"/>
        <v/>
      </c>
      <c r="DX23" s="37"/>
      <c r="DY23" s="33"/>
      <c r="DZ23" s="34"/>
      <c r="EA23" s="35" t="str">
        <f t="shared" si="50"/>
        <v/>
      </c>
      <c r="EB23" s="36" t="str">
        <f t="shared" si="51"/>
        <v/>
      </c>
      <c r="EC23" s="37"/>
      <c r="ED23" s="33"/>
      <c r="EE23" s="34"/>
      <c r="EF23" s="35" t="str">
        <f t="shared" si="52"/>
        <v/>
      </c>
      <c r="EG23" s="36" t="str">
        <f t="shared" si="53"/>
        <v/>
      </c>
      <c r="EH23" s="37"/>
      <c r="EI23" s="33"/>
      <c r="EJ23" s="34"/>
      <c r="EK23" s="35" t="str">
        <f t="shared" si="54"/>
        <v/>
      </c>
      <c r="EL23" s="36" t="str">
        <f t="shared" si="55"/>
        <v/>
      </c>
      <c r="EM23" s="37"/>
      <c r="EN23" s="33"/>
      <c r="EO23" s="34"/>
      <c r="EP23" s="35" t="str">
        <f t="shared" si="56"/>
        <v/>
      </c>
      <c r="EQ23" s="36" t="str">
        <f t="shared" si="57"/>
        <v/>
      </c>
      <c r="ER23" s="37"/>
      <c r="ES23" s="33"/>
      <c r="ET23" s="34"/>
      <c r="EU23" s="35" t="str">
        <f t="shared" si="58"/>
        <v/>
      </c>
      <c r="EV23" s="36" t="str">
        <f t="shared" si="59"/>
        <v/>
      </c>
      <c r="EW23" s="37"/>
    </row>
    <row r="24" spans="1:153" ht="19.5" customHeight="1">
      <c r="A24" s="32">
        <f>IF(DAY(DATE(対象年度,9,21))&lt;&gt;21,"",21)</f>
        <v>21</v>
      </c>
      <c r="B24" s="32" t="str">
        <f>IF(DAY(DATE(対象年度,9,21))&lt;&gt;21,"",CHOOSE(WEEKDAY(DATE(対象年度,9,21),2),"月","火","水","木","金","土","日"))</f>
        <v>月</v>
      </c>
      <c r="C24" s="32" t="str">
        <f>IF(DAY(DATE(対象年度,9,21))&lt;&gt;21,"",IF(ISNUMBER(MATCH(DATE(対象年度,9,21),祝日リスト,0)),"祝",""))</f>
        <v>祝</v>
      </c>
      <c r="D24" s="33"/>
      <c r="E24" s="34"/>
      <c r="F24" s="35" t="str">
        <f t="shared" si="0"/>
        <v/>
      </c>
      <c r="G24" s="36" t="str">
        <f t="shared" si="1"/>
        <v/>
      </c>
      <c r="H24" s="37"/>
      <c r="I24" s="33"/>
      <c r="J24" s="34"/>
      <c r="K24" s="35" t="str">
        <f t="shared" si="2"/>
        <v/>
      </c>
      <c r="L24" s="36" t="str">
        <f t="shared" si="3"/>
        <v/>
      </c>
      <c r="M24" s="37"/>
      <c r="N24" s="33"/>
      <c r="O24" s="34"/>
      <c r="P24" s="35" t="str">
        <f t="shared" si="4"/>
        <v/>
      </c>
      <c r="Q24" s="36" t="str">
        <f t="shared" si="5"/>
        <v/>
      </c>
      <c r="R24" s="37"/>
      <c r="S24" s="33"/>
      <c r="T24" s="34"/>
      <c r="U24" s="35" t="str">
        <f t="shared" si="6"/>
        <v/>
      </c>
      <c r="V24" s="36" t="str">
        <f t="shared" si="7"/>
        <v/>
      </c>
      <c r="W24" s="37"/>
      <c r="X24" s="33"/>
      <c r="Y24" s="34"/>
      <c r="Z24" s="35" t="str">
        <f t="shared" si="8"/>
        <v/>
      </c>
      <c r="AA24" s="36" t="str">
        <f t="shared" si="9"/>
        <v/>
      </c>
      <c r="AB24" s="37"/>
      <c r="AC24" s="33"/>
      <c r="AD24" s="34"/>
      <c r="AE24" s="35" t="str">
        <f t="shared" si="10"/>
        <v/>
      </c>
      <c r="AF24" s="36" t="str">
        <f t="shared" si="11"/>
        <v/>
      </c>
      <c r="AG24" s="37"/>
      <c r="AH24" s="33"/>
      <c r="AI24" s="34"/>
      <c r="AJ24" s="35" t="str">
        <f t="shared" si="12"/>
        <v/>
      </c>
      <c r="AK24" s="36" t="str">
        <f t="shared" si="13"/>
        <v/>
      </c>
      <c r="AL24" s="37"/>
      <c r="AM24" s="33"/>
      <c r="AN24" s="34"/>
      <c r="AO24" s="35" t="str">
        <f t="shared" si="14"/>
        <v/>
      </c>
      <c r="AP24" s="36" t="str">
        <f t="shared" si="15"/>
        <v/>
      </c>
      <c r="AQ24" s="37"/>
      <c r="AR24" s="33"/>
      <c r="AS24" s="34"/>
      <c r="AT24" s="35" t="str">
        <f t="shared" si="16"/>
        <v/>
      </c>
      <c r="AU24" s="36" t="str">
        <f t="shared" si="17"/>
        <v/>
      </c>
      <c r="AV24" s="37"/>
      <c r="AW24" s="33"/>
      <c r="AX24" s="34"/>
      <c r="AY24" s="35" t="str">
        <f t="shared" si="18"/>
        <v/>
      </c>
      <c r="AZ24" s="36" t="str">
        <f t="shared" si="19"/>
        <v/>
      </c>
      <c r="BA24" s="37"/>
      <c r="BB24" s="33"/>
      <c r="BC24" s="34"/>
      <c r="BD24" s="35" t="str">
        <f t="shared" si="20"/>
        <v/>
      </c>
      <c r="BE24" s="36" t="str">
        <f t="shared" si="21"/>
        <v/>
      </c>
      <c r="BF24" s="37"/>
      <c r="BG24" s="33"/>
      <c r="BH24" s="34"/>
      <c r="BI24" s="35" t="str">
        <f t="shared" si="22"/>
        <v/>
      </c>
      <c r="BJ24" s="36" t="str">
        <f t="shared" si="23"/>
        <v/>
      </c>
      <c r="BK24" s="37"/>
      <c r="BL24" s="33"/>
      <c r="BM24" s="34"/>
      <c r="BN24" s="35" t="str">
        <f t="shared" si="24"/>
        <v/>
      </c>
      <c r="BO24" s="36" t="str">
        <f t="shared" si="25"/>
        <v/>
      </c>
      <c r="BP24" s="37"/>
      <c r="BQ24" s="33"/>
      <c r="BR24" s="34"/>
      <c r="BS24" s="35" t="str">
        <f t="shared" si="26"/>
        <v/>
      </c>
      <c r="BT24" s="36" t="str">
        <f t="shared" si="27"/>
        <v/>
      </c>
      <c r="BU24" s="37"/>
      <c r="BV24" s="33"/>
      <c r="BW24" s="34"/>
      <c r="BX24" s="35" t="str">
        <f t="shared" si="28"/>
        <v/>
      </c>
      <c r="BY24" s="36" t="str">
        <f t="shared" si="29"/>
        <v/>
      </c>
      <c r="BZ24" s="37"/>
      <c r="CA24" s="33"/>
      <c r="CB24" s="34"/>
      <c r="CC24" s="35" t="str">
        <f t="shared" si="30"/>
        <v/>
      </c>
      <c r="CD24" s="36" t="str">
        <f t="shared" si="31"/>
        <v/>
      </c>
      <c r="CE24" s="37"/>
      <c r="CF24" s="33"/>
      <c r="CG24" s="34"/>
      <c r="CH24" s="35" t="str">
        <f t="shared" si="32"/>
        <v/>
      </c>
      <c r="CI24" s="36" t="str">
        <f t="shared" si="33"/>
        <v/>
      </c>
      <c r="CJ24" s="37"/>
      <c r="CK24" s="33"/>
      <c r="CL24" s="34"/>
      <c r="CM24" s="35" t="str">
        <f t="shared" si="34"/>
        <v/>
      </c>
      <c r="CN24" s="36" t="str">
        <f t="shared" si="35"/>
        <v/>
      </c>
      <c r="CO24" s="37"/>
      <c r="CP24" s="33"/>
      <c r="CQ24" s="34"/>
      <c r="CR24" s="35" t="str">
        <f t="shared" si="36"/>
        <v/>
      </c>
      <c r="CS24" s="36" t="str">
        <f t="shared" si="37"/>
        <v/>
      </c>
      <c r="CT24" s="37"/>
      <c r="CU24" s="33"/>
      <c r="CV24" s="34"/>
      <c r="CW24" s="35" t="str">
        <f t="shared" si="38"/>
        <v/>
      </c>
      <c r="CX24" s="36" t="str">
        <f t="shared" si="39"/>
        <v/>
      </c>
      <c r="CY24" s="37"/>
      <c r="CZ24" s="33"/>
      <c r="DA24" s="34"/>
      <c r="DB24" s="35" t="str">
        <f t="shared" si="40"/>
        <v/>
      </c>
      <c r="DC24" s="36" t="str">
        <f t="shared" si="41"/>
        <v/>
      </c>
      <c r="DD24" s="37"/>
      <c r="DE24" s="33"/>
      <c r="DF24" s="34"/>
      <c r="DG24" s="35" t="str">
        <f t="shared" si="42"/>
        <v/>
      </c>
      <c r="DH24" s="36" t="str">
        <f t="shared" si="43"/>
        <v/>
      </c>
      <c r="DI24" s="37"/>
      <c r="DJ24" s="33"/>
      <c r="DK24" s="34"/>
      <c r="DL24" s="35" t="str">
        <f t="shared" si="44"/>
        <v/>
      </c>
      <c r="DM24" s="36" t="str">
        <f t="shared" si="45"/>
        <v/>
      </c>
      <c r="DN24" s="37"/>
      <c r="DO24" s="33"/>
      <c r="DP24" s="34"/>
      <c r="DQ24" s="35" t="str">
        <f t="shared" si="46"/>
        <v/>
      </c>
      <c r="DR24" s="36" t="str">
        <f t="shared" si="47"/>
        <v/>
      </c>
      <c r="DS24" s="37"/>
      <c r="DT24" s="33"/>
      <c r="DU24" s="34"/>
      <c r="DV24" s="35" t="str">
        <f t="shared" si="48"/>
        <v/>
      </c>
      <c r="DW24" s="36" t="str">
        <f t="shared" si="49"/>
        <v/>
      </c>
      <c r="DX24" s="37"/>
      <c r="DY24" s="33"/>
      <c r="DZ24" s="34"/>
      <c r="EA24" s="35" t="str">
        <f t="shared" si="50"/>
        <v/>
      </c>
      <c r="EB24" s="36" t="str">
        <f t="shared" si="51"/>
        <v/>
      </c>
      <c r="EC24" s="37"/>
      <c r="ED24" s="33"/>
      <c r="EE24" s="34"/>
      <c r="EF24" s="35" t="str">
        <f t="shared" si="52"/>
        <v/>
      </c>
      <c r="EG24" s="36" t="str">
        <f t="shared" si="53"/>
        <v/>
      </c>
      <c r="EH24" s="37"/>
      <c r="EI24" s="33"/>
      <c r="EJ24" s="34"/>
      <c r="EK24" s="35" t="str">
        <f t="shared" si="54"/>
        <v/>
      </c>
      <c r="EL24" s="36" t="str">
        <f t="shared" si="55"/>
        <v/>
      </c>
      <c r="EM24" s="37"/>
      <c r="EN24" s="33"/>
      <c r="EO24" s="34"/>
      <c r="EP24" s="35" t="str">
        <f t="shared" si="56"/>
        <v/>
      </c>
      <c r="EQ24" s="36" t="str">
        <f t="shared" si="57"/>
        <v/>
      </c>
      <c r="ER24" s="37"/>
      <c r="ES24" s="33"/>
      <c r="ET24" s="34"/>
      <c r="EU24" s="35" t="str">
        <f t="shared" si="58"/>
        <v/>
      </c>
      <c r="EV24" s="36" t="str">
        <f t="shared" si="59"/>
        <v/>
      </c>
      <c r="EW24" s="37"/>
    </row>
    <row r="25" spans="1:153" ht="19.5" customHeight="1">
      <c r="A25" s="32">
        <f>IF(DAY(DATE(対象年度,9,22))&lt;&gt;22,"",22)</f>
        <v>22</v>
      </c>
      <c r="B25" s="32" t="str">
        <f>IF(DAY(DATE(対象年度,9,22))&lt;&gt;22,"",CHOOSE(WEEKDAY(DATE(対象年度,9,22),2),"月","火","水","木","金","土","日"))</f>
        <v>火</v>
      </c>
      <c r="C25" s="32" t="str">
        <f>IF(DAY(DATE(対象年度,9,22))&lt;&gt;22,"",IF(ISNUMBER(MATCH(DATE(対象年度,9,22),祝日リスト,0)),"祝",""))</f>
        <v>祝</v>
      </c>
      <c r="D25" s="33"/>
      <c r="E25" s="34"/>
      <c r="F25" s="35" t="str">
        <f t="shared" si="0"/>
        <v/>
      </c>
      <c r="G25" s="36" t="str">
        <f t="shared" si="1"/>
        <v/>
      </c>
      <c r="H25" s="37"/>
      <c r="I25" s="33"/>
      <c r="J25" s="34"/>
      <c r="K25" s="35" t="str">
        <f t="shared" si="2"/>
        <v/>
      </c>
      <c r="L25" s="36" t="str">
        <f t="shared" si="3"/>
        <v/>
      </c>
      <c r="M25" s="37"/>
      <c r="N25" s="33"/>
      <c r="O25" s="34"/>
      <c r="P25" s="35" t="str">
        <f t="shared" si="4"/>
        <v/>
      </c>
      <c r="Q25" s="36" t="str">
        <f t="shared" si="5"/>
        <v/>
      </c>
      <c r="R25" s="37"/>
      <c r="S25" s="33"/>
      <c r="T25" s="34"/>
      <c r="U25" s="35" t="str">
        <f t="shared" si="6"/>
        <v/>
      </c>
      <c r="V25" s="36" t="str">
        <f t="shared" si="7"/>
        <v/>
      </c>
      <c r="W25" s="37"/>
      <c r="X25" s="33"/>
      <c r="Y25" s="34"/>
      <c r="Z25" s="35" t="str">
        <f t="shared" si="8"/>
        <v/>
      </c>
      <c r="AA25" s="36" t="str">
        <f t="shared" si="9"/>
        <v/>
      </c>
      <c r="AB25" s="37"/>
      <c r="AC25" s="33"/>
      <c r="AD25" s="34"/>
      <c r="AE25" s="35" t="str">
        <f t="shared" si="10"/>
        <v/>
      </c>
      <c r="AF25" s="36" t="str">
        <f t="shared" si="11"/>
        <v/>
      </c>
      <c r="AG25" s="37"/>
      <c r="AH25" s="33"/>
      <c r="AI25" s="34"/>
      <c r="AJ25" s="35" t="str">
        <f t="shared" si="12"/>
        <v/>
      </c>
      <c r="AK25" s="36" t="str">
        <f t="shared" si="13"/>
        <v/>
      </c>
      <c r="AL25" s="37"/>
      <c r="AM25" s="33"/>
      <c r="AN25" s="34"/>
      <c r="AO25" s="35" t="str">
        <f t="shared" si="14"/>
        <v/>
      </c>
      <c r="AP25" s="36" t="str">
        <f t="shared" si="15"/>
        <v/>
      </c>
      <c r="AQ25" s="37"/>
      <c r="AR25" s="33"/>
      <c r="AS25" s="34"/>
      <c r="AT25" s="35" t="str">
        <f t="shared" si="16"/>
        <v/>
      </c>
      <c r="AU25" s="36" t="str">
        <f t="shared" si="17"/>
        <v/>
      </c>
      <c r="AV25" s="37"/>
      <c r="AW25" s="33"/>
      <c r="AX25" s="34"/>
      <c r="AY25" s="35" t="str">
        <f t="shared" si="18"/>
        <v/>
      </c>
      <c r="AZ25" s="36" t="str">
        <f t="shared" si="19"/>
        <v/>
      </c>
      <c r="BA25" s="37"/>
      <c r="BB25" s="33"/>
      <c r="BC25" s="34"/>
      <c r="BD25" s="35" t="str">
        <f t="shared" si="20"/>
        <v/>
      </c>
      <c r="BE25" s="36" t="str">
        <f t="shared" si="21"/>
        <v/>
      </c>
      <c r="BF25" s="37"/>
      <c r="BG25" s="33"/>
      <c r="BH25" s="34"/>
      <c r="BI25" s="35" t="str">
        <f t="shared" si="22"/>
        <v/>
      </c>
      <c r="BJ25" s="36" t="str">
        <f t="shared" si="23"/>
        <v/>
      </c>
      <c r="BK25" s="37"/>
      <c r="BL25" s="33"/>
      <c r="BM25" s="34"/>
      <c r="BN25" s="35" t="str">
        <f t="shared" si="24"/>
        <v/>
      </c>
      <c r="BO25" s="36" t="str">
        <f t="shared" si="25"/>
        <v/>
      </c>
      <c r="BP25" s="37"/>
      <c r="BQ25" s="33"/>
      <c r="BR25" s="34"/>
      <c r="BS25" s="35" t="str">
        <f t="shared" si="26"/>
        <v/>
      </c>
      <c r="BT25" s="36" t="str">
        <f t="shared" si="27"/>
        <v/>
      </c>
      <c r="BU25" s="37"/>
      <c r="BV25" s="33"/>
      <c r="BW25" s="34"/>
      <c r="BX25" s="35" t="str">
        <f t="shared" si="28"/>
        <v/>
      </c>
      <c r="BY25" s="36" t="str">
        <f t="shared" si="29"/>
        <v/>
      </c>
      <c r="BZ25" s="37"/>
      <c r="CA25" s="33"/>
      <c r="CB25" s="34"/>
      <c r="CC25" s="35" t="str">
        <f t="shared" si="30"/>
        <v/>
      </c>
      <c r="CD25" s="36" t="str">
        <f t="shared" si="31"/>
        <v/>
      </c>
      <c r="CE25" s="37"/>
      <c r="CF25" s="33"/>
      <c r="CG25" s="34"/>
      <c r="CH25" s="35" t="str">
        <f t="shared" si="32"/>
        <v/>
      </c>
      <c r="CI25" s="36" t="str">
        <f t="shared" si="33"/>
        <v/>
      </c>
      <c r="CJ25" s="37"/>
      <c r="CK25" s="33"/>
      <c r="CL25" s="34"/>
      <c r="CM25" s="35" t="str">
        <f t="shared" si="34"/>
        <v/>
      </c>
      <c r="CN25" s="36" t="str">
        <f t="shared" si="35"/>
        <v/>
      </c>
      <c r="CO25" s="37"/>
      <c r="CP25" s="33"/>
      <c r="CQ25" s="34"/>
      <c r="CR25" s="35" t="str">
        <f t="shared" si="36"/>
        <v/>
      </c>
      <c r="CS25" s="36" t="str">
        <f t="shared" si="37"/>
        <v/>
      </c>
      <c r="CT25" s="37"/>
      <c r="CU25" s="33"/>
      <c r="CV25" s="34"/>
      <c r="CW25" s="35" t="str">
        <f t="shared" si="38"/>
        <v/>
      </c>
      <c r="CX25" s="36" t="str">
        <f t="shared" si="39"/>
        <v/>
      </c>
      <c r="CY25" s="37"/>
      <c r="CZ25" s="33"/>
      <c r="DA25" s="34"/>
      <c r="DB25" s="35" t="str">
        <f t="shared" si="40"/>
        <v/>
      </c>
      <c r="DC25" s="36" t="str">
        <f t="shared" si="41"/>
        <v/>
      </c>
      <c r="DD25" s="37"/>
      <c r="DE25" s="33"/>
      <c r="DF25" s="34"/>
      <c r="DG25" s="35" t="str">
        <f t="shared" si="42"/>
        <v/>
      </c>
      <c r="DH25" s="36" t="str">
        <f t="shared" si="43"/>
        <v/>
      </c>
      <c r="DI25" s="37"/>
      <c r="DJ25" s="33"/>
      <c r="DK25" s="34"/>
      <c r="DL25" s="35" t="str">
        <f t="shared" si="44"/>
        <v/>
      </c>
      <c r="DM25" s="36" t="str">
        <f t="shared" si="45"/>
        <v/>
      </c>
      <c r="DN25" s="37"/>
      <c r="DO25" s="33"/>
      <c r="DP25" s="34"/>
      <c r="DQ25" s="35" t="str">
        <f t="shared" si="46"/>
        <v/>
      </c>
      <c r="DR25" s="36" t="str">
        <f t="shared" si="47"/>
        <v/>
      </c>
      <c r="DS25" s="37"/>
      <c r="DT25" s="33"/>
      <c r="DU25" s="34"/>
      <c r="DV25" s="35" t="str">
        <f t="shared" si="48"/>
        <v/>
      </c>
      <c r="DW25" s="36" t="str">
        <f t="shared" si="49"/>
        <v/>
      </c>
      <c r="DX25" s="37"/>
      <c r="DY25" s="33"/>
      <c r="DZ25" s="34"/>
      <c r="EA25" s="35" t="str">
        <f t="shared" si="50"/>
        <v/>
      </c>
      <c r="EB25" s="36" t="str">
        <f t="shared" si="51"/>
        <v/>
      </c>
      <c r="EC25" s="37"/>
      <c r="ED25" s="33"/>
      <c r="EE25" s="34"/>
      <c r="EF25" s="35" t="str">
        <f t="shared" si="52"/>
        <v/>
      </c>
      <c r="EG25" s="36" t="str">
        <f t="shared" si="53"/>
        <v/>
      </c>
      <c r="EH25" s="37"/>
      <c r="EI25" s="33"/>
      <c r="EJ25" s="34"/>
      <c r="EK25" s="35" t="str">
        <f t="shared" si="54"/>
        <v/>
      </c>
      <c r="EL25" s="36" t="str">
        <f t="shared" si="55"/>
        <v/>
      </c>
      <c r="EM25" s="37"/>
      <c r="EN25" s="33"/>
      <c r="EO25" s="34"/>
      <c r="EP25" s="35" t="str">
        <f t="shared" si="56"/>
        <v/>
      </c>
      <c r="EQ25" s="36" t="str">
        <f t="shared" si="57"/>
        <v/>
      </c>
      <c r="ER25" s="37"/>
      <c r="ES25" s="33"/>
      <c r="ET25" s="34"/>
      <c r="EU25" s="35" t="str">
        <f t="shared" si="58"/>
        <v/>
      </c>
      <c r="EV25" s="36" t="str">
        <f t="shared" si="59"/>
        <v/>
      </c>
      <c r="EW25" s="37"/>
    </row>
    <row r="26" spans="1:153" ht="19.5" customHeight="1">
      <c r="A26" s="32">
        <f>IF(DAY(DATE(対象年度,9,23))&lt;&gt;23,"",23)</f>
        <v>23</v>
      </c>
      <c r="B26" s="32" t="str">
        <f>IF(DAY(DATE(対象年度,9,23))&lt;&gt;23,"",CHOOSE(WEEKDAY(DATE(対象年度,9,23),2),"月","火","水","木","金","土","日"))</f>
        <v>水</v>
      </c>
      <c r="C26" s="32" t="str">
        <f>IF(DAY(DATE(対象年度,9,23))&lt;&gt;23,"",IF(ISNUMBER(MATCH(DATE(対象年度,9,23),祝日リスト,0)),"祝",""))</f>
        <v>祝</v>
      </c>
      <c r="D26" s="33"/>
      <c r="E26" s="34"/>
      <c r="F26" s="35" t="str">
        <f t="shared" si="0"/>
        <v/>
      </c>
      <c r="G26" s="36" t="str">
        <f t="shared" si="1"/>
        <v/>
      </c>
      <c r="H26" s="37"/>
      <c r="I26" s="33"/>
      <c r="J26" s="34"/>
      <c r="K26" s="35" t="str">
        <f t="shared" si="2"/>
        <v/>
      </c>
      <c r="L26" s="36" t="str">
        <f t="shared" si="3"/>
        <v/>
      </c>
      <c r="M26" s="37"/>
      <c r="N26" s="33"/>
      <c r="O26" s="34"/>
      <c r="P26" s="35" t="str">
        <f t="shared" si="4"/>
        <v/>
      </c>
      <c r="Q26" s="36" t="str">
        <f t="shared" si="5"/>
        <v/>
      </c>
      <c r="R26" s="37"/>
      <c r="S26" s="33"/>
      <c r="T26" s="34"/>
      <c r="U26" s="35" t="str">
        <f t="shared" si="6"/>
        <v/>
      </c>
      <c r="V26" s="36" t="str">
        <f t="shared" si="7"/>
        <v/>
      </c>
      <c r="W26" s="37"/>
      <c r="X26" s="33"/>
      <c r="Y26" s="34"/>
      <c r="Z26" s="35" t="str">
        <f t="shared" si="8"/>
        <v/>
      </c>
      <c r="AA26" s="36" t="str">
        <f t="shared" si="9"/>
        <v/>
      </c>
      <c r="AB26" s="37"/>
      <c r="AC26" s="33"/>
      <c r="AD26" s="34"/>
      <c r="AE26" s="35" t="str">
        <f t="shared" si="10"/>
        <v/>
      </c>
      <c r="AF26" s="36" t="str">
        <f t="shared" si="11"/>
        <v/>
      </c>
      <c r="AG26" s="37"/>
      <c r="AH26" s="33"/>
      <c r="AI26" s="34"/>
      <c r="AJ26" s="35" t="str">
        <f t="shared" si="12"/>
        <v/>
      </c>
      <c r="AK26" s="36" t="str">
        <f t="shared" si="13"/>
        <v/>
      </c>
      <c r="AL26" s="37"/>
      <c r="AM26" s="33"/>
      <c r="AN26" s="34"/>
      <c r="AO26" s="35" t="str">
        <f t="shared" si="14"/>
        <v/>
      </c>
      <c r="AP26" s="36" t="str">
        <f t="shared" si="15"/>
        <v/>
      </c>
      <c r="AQ26" s="37"/>
      <c r="AR26" s="33"/>
      <c r="AS26" s="34"/>
      <c r="AT26" s="35" t="str">
        <f t="shared" si="16"/>
        <v/>
      </c>
      <c r="AU26" s="36" t="str">
        <f t="shared" si="17"/>
        <v/>
      </c>
      <c r="AV26" s="37"/>
      <c r="AW26" s="33"/>
      <c r="AX26" s="34"/>
      <c r="AY26" s="35" t="str">
        <f t="shared" si="18"/>
        <v/>
      </c>
      <c r="AZ26" s="36" t="str">
        <f t="shared" si="19"/>
        <v/>
      </c>
      <c r="BA26" s="37"/>
      <c r="BB26" s="33"/>
      <c r="BC26" s="34"/>
      <c r="BD26" s="35" t="str">
        <f t="shared" si="20"/>
        <v/>
      </c>
      <c r="BE26" s="36" t="str">
        <f t="shared" si="21"/>
        <v/>
      </c>
      <c r="BF26" s="37"/>
      <c r="BG26" s="33"/>
      <c r="BH26" s="34"/>
      <c r="BI26" s="35" t="str">
        <f t="shared" si="22"/>
        <v/>
      </c>
      <c r="BJ26" s="36" t="str">
        <f t="shared" si="23"/>
        <v/>
      </c>
      <c r="BK26" s="37"/>
      <c r="BL26" s="33"/>
      <c r="BM26" s="34"/>
      <c r="BN26" s="35" t="str">
        <f t="shared" si="24"/>
        <v/>
      </c>
      <c r="BO26" s="36" t="str">
        <f t="shared" si="25"/>
        <v/>
      </c>
      <c r="BP26" s="37"/>
      <c r="BQ26" s="33"/>
      <c r="BR26" s="34"/>
      <c r="BS26" s="35" t="str">
        <f t="shared" si="26"/>
        <v/>
      </c>
      <c r="BT26" s="36" t="str">
        <f t="shared" si="27"/>
        <v/>
      </c>
      <c r="BU26" s="37"/>
      <c r="BV26" s="33"/>
      <c r="BW26" s="34"/>
      <c r="BX26" s="35" t="str">
        <f t="shared" si="28"/>
        <v/>
      </c>
      <c r="BY26" s="36" t="str">
        <f t="shared" si="29"/>
        <v/>
      </c>
      <c r="BZ26" s="37"/>
      <c r="CA26" s="33"/>
      <c r="CB26" s="34"/>
      <c r="CC26" s="35" t="str">
        <f t="shared" si="30"/>
        <v/>
      </c>
      <c r="CD26" s="36" t="str">
        <f t="shared" si="31"/>
        <v/>
      </c>
      <c r="CE26" s="37"/>
      <c r="CF26" s="33"/>
      <c r="CG26" s="34"/>
      <c r="CH26" s="35" t="str">
        <f t="shared" si="32"/>
        <v/>
      </c>
      <c r="CI26" s="36" t="str">
        <f t="shared" si="33"/>
        <v/>
      </c>
      <c r="CJ26" s="37"/>
      <c r="CK26" s="33"/>
      <c r="CL26" s="34"/>
      <c r="CM26" s="35" t="str">
        <f t="shared" si="34"/>
        <v/>
      </c>
      <c r="CN26" s="36" t="str">
        <f t="shared" si="35"/>
        <v/>
      </c>
      <c r="CO26" s="37"/>
      <c r="CP26" s="33"/>
      <c r="CQ26" s="34"/>
      <c r="CR26" s="35" t="str">
        <f t="shared" si="36"/>
        <v/>
      </c>
      <c r="CS26" s="36" t="str">
        <f t="shared" si="37"/>
        <v/>
      </c>
      <c r="CT26" s="37"/>
      <c r="CU26" s="33"/>
      <c r="CV26" s="34"/>
      <c r="CW26" s="35" t="str">
        <f t="shared" si="38"/>
        <v/>
      </c>
      <c r="CX26" s="36" t="str">
        <f t="shared" si="39"/>
        <v/>
      </c>
      <c r="CY26" s="37"/>
      <c r="CZ26" s="33"/>
      <c r="DA26" s="34"/>
      <c r="DB26" s="35" t="str">
        <f t="shared" si="40"/>
        <v/>
      </c>
      <c r="DC26" s="36" t="str">
        <f t="shared" si="41"/>
        <v/>
      </c>
      <c r="DD26" s="37"/>
      <c r="DE26" s="33"/>
      <c r="DF26" s="34"/>
      <c r="DG26" s="35" t="str">
        <f t="shared" si="42"/>
        <v/>
      </c>
      <c r="DH26" s="36" t="str">
        <f t="shared" si="43"/>
        <v/>
      </c>
      <c r="DI26" s="37"/>
      <c r="DJ26" s="33"/>
      <c r="DK26" s="34"/>
      <c r="DL26" s="35" t="str">
        <f t="shared" si="44"/>
        <v/>
      </c>
      <c r="DM26" s="36" t="str">
        <f t="shared" si="45"/>
        <v/>
      </c>
      <c r="DN26" s="37"/>
      <c r="DO26" s="33"/>
      <c r="DP26" s="34"/>
      <c r="DQ26" s="35" t="str">
        <f t="shared" si="46"/>
        <v/>
      </c>
      <c r="DR26" s="36" t="str">
        <f t="shared" si="47"/>
        <v/>
      </c>
      <c r="DS26" s="37"/>
      <c r="DT26" s="33"/>
      <c r="DU26" s="34"/>
      <c r="DV26" s="35" t="str">
        <f t="shared" si="48"/>
        <v/>
      </c>
      <c r="DW26" s="36" t="str">
        <f t="shared" si="49"/>
        <v/>
      </c>
      <c r="DX26" s="37"/>
      <c r="DY26" s="33"/>
      <c r="DZ26" s="34"/>
      <c r="EA26" s="35" t="str">
        <f t="shared" si="50"/>
        <v/>
      </c>
      <c r="EB26" s="36" t="str">
        <f t="shared" si="51"/>
        <v/>
      </c>
      <c r="EC26" s="37"/>
      <c r="ED26" s="33"/>
      <c r="EE26" s="34"/>
      <c r="EF26" s="35" t="str">
        <f t="shared" si="52"/>
        <v/>
      </c>
      <c r="EG26" s="36" t="str">
        <f t="shared" si="53"/>
        <v/>
      </c>
      <c r="EH26" s="37"/>
      <c r="EI26" s="33"/>
      <c r="EJ26" s="34"/>
      <c r="EK26" s="35" t="str">
        <f t="shared" si="54"/>
        <v/>
      </c>
      <c r="EL26" s="36" t="str">
        <f t="shared" si="55"/>
        <v/>
      </c>
      <c r="EM26" s="37"/>
      <c r="EN26" s="33"/>
      <c r="EO26" s="34"/>
      <c r="EP26" s="35" t="str">
        <f t="shared" si="56"/>
        <v/>
      </c>
      <c r="EQ26" s="36" t="str">
        <f t="shared" si="57"/>
        <v/>
      </c>
      <c r="ER26" s="37"/>
      <c r="ES26" s="33"/>
      <c r="ET26" s="34"/>
      <c r="EU26" s="35" t="str">
        <f t="shared" si="58"/>
        <v/>
      </c>
      <c r="EV26" s="36" t="str">
        <f t="shared" si="59"/>
        <v/>
      </c>
      <c r="EW26" s="37"/>
    </row>
    <row r="27" spans="1:153" ht="19.5" customHeight="1">
      <c r="A27" s="32">
        <f>IF(DAY(DATE(対象年度,9,24))&lt;&gt;24,"",24)</f>
        <v>24</v>
      </c>
      <c r="B27" s="32" t="str">
        <f>IF(DAY(DATE(対象年度,9,24))&lt;&gt;24,"",CHOOSE(WEEKDAY(DATE(対象年度,9,24),2),"月","火","水","木","金","土","日"))</f>
        <v>木</v>
      </c>
      <c r="C27" s="32" t="str">
        <f>IF(DAY(DATE(対象年度,9,24))&lt;&gt;24,"",IF(ISNUMBER(MATCH(DATE(対象年度,9,24),祝日リスト,0)),"祝",""))</f>
        <v/>
      </c>
      <c r="D27" s="33"/>
      <c r="E27" s="34"/>
      <c r="F27" s="35" t="str">
        <f t="shared" si="0"/>
        <v/>
      </c>
      <c r="G27" s="36" t="str">
        <f t="shared" si="1"/>
        <v/>
      </c>
      <c r="H27" s="37"/>
      <c r="I27" s="33"/>
      <c r="J27" s="34"/>
      <c r="K27" s="35" t="str">
        <f t="shared" si="2"/>
        <v/>
      </c>
      <c r="L27" s="36" t="str">
        <f t="shared" si="3"/>
        <v/>
      </c>
      <c r="M27" s="37"/>
      <c r="N27" s="33"/>
      <c r="O27" s="34"/>
      <c r="P27" s="35" t="str">
        <f t="shared" si="4"/>
        <v/>
      </c>
      <c r="Q27" s="36" t="str">
        <f t="shared" si="5"/>
        <v/>
      </c>
      <c r="R27" s="37"/>
      <c r="S27" s="33"/>
      <c r="T27" s="34"/>
      <c r="U27" s="35" t="str">
        <f t="shared" si="6"/>
        <v/>
      </c>
      <c r="V27" s="36" t="str">
        <f t="shared" si="7"/>
        <v/>
      </c>
      <c r="W27" s="37"/>
      <c r="X27" s="33"/>
      <c r="Y27" s="34"/>
      <c r="Z27" s="35" t="str">
        <f t="shared" si="8"/>
        <v/>
      </c>
      <c r="AA27" s="36" t="str">
        <f t="shared" si="9"/>
        <v/>
      </c>
      <c r="AB27" s="37"/>
      <c r="AC27" s="33"/>
      <c r="AD27" s="34"/>
      <c r="AE27" s="35" t="str">
        <f t="shared" si="10"/>
        <v/>
      </c>
      <c r="AF27" s="36" t="str">
        <f t="shared" si="11"/>
        <v/>
      </c>
      <c r="AG27" s="37"/>
      <c r="AH27" s="33"/>
      <c r="AI27" s="34"/>
      <c r="AJ27" s="35" t="str">
        <f t="shared" si="12"/>
        <v/>
      </c>
      <c r="AK27" s="36" t="str">
        <f t="shared" si="13"/>
        <v/>
      </c>
      <c r="AL27" s="37"/>
      <c r="AM27" s="33"/>
      <c r="AN27" s="34"/>
      <c r="AO27" s="35" t="str">
        <f t="shared" si="14"/>
        <v/>
      </c>
      <c r="AP27" s="36" t="str">
        <f t="shared" si="15"/>
        <v/>
      </c>
      <c r="AQ27" s="37"/>
      <c r="AR27" s="33"/>
      <c r="AS27" s="34"/>
      <c r="AT27" s="35" t="str">
        <f t="shared" si="16"/>
        <v/>
      </c>
      <c r="AU27" s="36" t="str">
        <f t="shared" si="17"/>
        <v/>
      </c>
      <c r="AV27" s="37"/>
      <c r="AW27" s="33"/>
      <c r="AX27" s="34"/>
      <c r="AY27" s="35" t="str">
        <f t="shared" si="18"/>
        <v/>
      </c>
      <c r="AZ27" s="36" t="str">
        <f t="shared" si="19"/>
        <v/>
      </c>
      <c r="BA27" s="37"/>
      <c r="BB27" s="33"/>
      <c r="BC27" s="34"/>
      <c r="BD27" s="35" t="str">
        <f t="shared" si="20"/>
        <v/>
      </c>
      <c r="BE27" s="36" t="str">
        <f t="shared" si="21"/>
        <v/>
      </c>
      <c r="BF27" s="37"/>
      <c r="BG27" s="33"/>
      <c r="BH27" s="34"/>
      <c r="BI27" s="35" t="str">
        <f t="shared" si="22"/>
        <v/>
      </c>
      <c r="BJ27" s="36" t="str">
        <f t="shared" si="23"/>
        <v/>
      </c>
      <c r="BK27" s="37"/>
      <c r="BL27" s="33"/>
      <c r="BM27" s="34"/>
      <c r="BN27" s="35" t="str">
        <f t="shared" si="24"/>
        <v/>
      </c>
      <c r="BO27" s="36" t="str">
        <f t="shared" si="25"/>
        <v/>
      </c>
      <c r="BP27" s="37"/>
      <c r="BQ27" s="33"/>
      <c r="BR27" s="34"/>
      <c r="BS27" s="35" t="str">
        <f t="shared" si="26"/>
        <v/>
      </c>
      <c r="BT27" s="36" t="str">
        <f t="shared" si="27"/>
        <v/>
      </c>
      <c r="BU27" s="37"/>
      <c r="BV27" s="33"/>
      <c r="BW27" s="34"/>
      <c r="BX27" s="35" t="str">
        <f t="shared" si="28"/>
        <v/>
      </c>
      <c r="BY27" s="36" t="str">
        <f t="shared" si="29"/>
        <v/>
      </c>
      <c r="BZ27" s="37"/>
      <c r="CA27" s="33"/>
      <c r="CB27" s="34"/>
      <c r="CC27" s="35" t="str">
        <f t="shared" si="30"/>
        <v/>
      </c>
      <c r="CD27" s="36" t="str">
        <f t="shared" si="31"/>
        <v/>
      </c>
      <c r="CE27" s="37"/>
      <c r="CF27" s="33"/>
      <c r="CG27" s="34"/>
      <c r="CH27" s="35" t="str">
        <f t="shared" si="32"/>
        <v/>
      </c>
      <c r="CI27" s="36" t="str">
        <f t="shared" si="33"/>
        <v/>
      </c>
      <c r="CJ27" s="37"/>
      <c r="CK27" s="33"/>
      <c r="CL27" s="34"/>
      <c r="CM27" s="35" t="str">
        <f t="shared" si="34"/>
        <v/>
      </c>
      <c r="CN27" s="36" t="str">
        <f t="shared" si="35"/>
        <v/>
      </c>
      <c r="CO27" s="37"/>
      <c r="CP27" s="33"/>
      <c r="CQ27" s="34"/>
      <c r="CR27" s="35" t="str">
        <f t="shared" si="36"/>
        <v/>
      </c>
      <c r="CS27" s="36" t="str">
        <f t="shared" si="37"/>
        <v/>
      </c>
      <c r="CT27" s="37"/>
      <c r="CU27" s="33"/>
      <c r="CV27" s="34"/>
      <c r="CW27" s="35" t="str">
        <f t="shared" si="38"/>
        <v/>
      </c>
      <c r="CX27" s="36" t="str">
        <f t="shared" si="39"/>
        <v/>
      </c>
      <c r="CY27" s="37"/>
      <c r="CZ27" s="33"/>
      <c r="DA27" s="34"/>
      <c r="DB27" s="35" t="str">
        <f t="shared" si="40"/>
        <v/>
      </c>
      <c r="DC27" s="36" t="str">
        <f t="shared" si="41"/>
        <v/>
      </c>
      <c r="DD27" s="37"/>
      <c r="DE27" s="33"/>
      <c r="DF27" s="34"/>
      <c r="DG27" s="35" t="str">
        <f t="shared" si="42"/>
        <v/>
      </c>
      <c r="DH27" s="36" t="str">
        <f t="shared" si="43"/>
        <v/>
      </c>
      <c r="DI27" s="37"/>
      <c r="DJ27" s="33"/>
      <c r="DK27" s="34"/>
      <c r="DL27" s="35" t="str">
        <f t="shared" si="44"/>
        <v/>
      </c>
      <c r="DM27" s="36" t="str">
        <f t="shared" si="45"/>
        <v/>
      </c>
      <c r="DN27" s="37"/>
      <c r="DO27" s="33"/>
      <c r="DP27" s="34"/>
      <c r="DQ27" s="35" t="str">
        <f t="shared" si="46"/>
        <v/>
      </c>
      <c r="DR27" s="36" t="str">
        <f t="shared" si="47"/>
        <v/>
      </c>
      <c r="DS27" s="37"/>
      <c r="DT27" s="33"/>
      <c r="DU27" s="34"/>
      <c r="DV27" s="35" t="str">
        <f t="shared" si="48"/>
        <v/>
      </c>
      <c r="DW27" s="36" t="str">
        <f t="shared" si="49"/>
        <v/>
      </c>
      <c r="DX27" s="37"/>
      <c r="DY27" s="33"/>
      <c r="DZ27" s="34"/>
      <c r="EA27" s="35" t="str">
        <f t="shared" si="50"/>
        <v/>
      </c>
      <c r="EB27" s="36" t="str">
        <f t="shared" si="51"/>
        <v/>
      </c>
      <c r="EC27" s="37"/>
      <c r="ED27" s="33"/>
      <c r="EE27" s="34"/>
      <c r="EF27" s="35" t="str">
        <f t="shared" si="52"/>
        <v/>
      </c>
      <c r="EG27" s="36" t="str">
        <f t="shared" si="53"/>
        <v/>
      </c>
      <c r="EH27" s="37"/>
      <c r="EI27" s="33"/>
      <c r="EJ27" s="34"/>
      <c r="EK27" s="35" t="str">
        <f t="shared" si="54"/>
        <v/>
      </c>
      <c r="EL27" s="36" t="str">
        <f t="shared" si="55"/>
        <v/>
      </c>
      <c r="EM27" s="37"/>
      <c r="EN27" s="33"/>
      <c r="EO27" s="34"/>
      <c r="EP27" s="35" t="str">
        <f t="shared" si="56"/>
        <v/>
      </c>
      <c r="EQ27" s="36" t="str">
        <f t="shared" si="57"/>
        <v/>
      </c>
      <c r="ER27" s="37"/>
      <c r="ES27" s="33"/>
      <c r="ET27" s="34"/>
      <c r="EU27" s="35" t="str">
        <f t="shared" si="58"/>
        <v/>
      </c>
      <c r="EV27" s="36" t="str">
        <f t="shared" si="59"/>
        <v/>
      </c>
      <c r="EW27" s="37"/>
    </row>
    <row r="28" spans="1:153" ht="19.5" customHeight="1">
      <c r="A28" s="32">
        <f>IF(DAY(DATE(対象年度,9,25))&lt;&gt;25,"",25)</f>
        <v>25</v>
      </c>
      <c r="B28" s="32" t="str">
        <f>IF(DAY(DATE(対象年度,9,25))&lt;&gt;25,"",CHOOSE(WEEKDAY(DATE(対象年度,9,25),2),"月","火","水","木","金","土","日"))</f>
        <v>金</v>
      </c>
      <c r="C28" s="32" t="str">
        <f>IF(DAY(DATE(対象年度,9,25))&lt;&gt;25,"",IF(ISNUMBER(MATCH(DATE(対象年度,9,25),祝日リスト,0)),"祝",""))</f>
        <v/>
      </c>
      <c r="D28" s="33"/>
      <c r="E28" s="34"/>
      <c r="F28" s="35" t="str">
        <f t="shared" si="0"/>
        <v/>
      </c>
      <c r="G28" s="36" t="str">
        <f t="shared" si="1"/>
        <v/>
      </c>
      <c r="H28" s="37"/>
      <c r="I28" s="33"/>
      <c r="J28" s="34"/>
      <c r="K28" s="35" t="str">
        <f t="shared" si="2"/>
        <v/>
      </c>
      <c r="L28" s="36" t="str">
        <f t="shared" si="3"/>
        <v/>
      </c>
      <c r="M28" s="37"/>
      <c r="N28" s="33"/>
      <c r="O28" s="34"/>
      <c r="P28" s="35" t="str">
        <f t="shared" si="4"/>
        <v/>
      </c>
      <c r="Q28" s="36" t="str">
        <f t="shared" si="5"/>
        <v/>
      </c>
      <c r="R28" s="37"/>
      <c r="S28" s="33"/>
      <c r="T28" s="34"/>
      <c r="U28" s="35" t="str">
        <f t="shared" si="6"/>
        <v/>
      </c>
      <c r="V28" s="36" t="str">
        <f t="shared" si="7"/>
        <v/>
      </c>
      <c r="W28" s="37"/>
      <c r="X28" s="33"/>
      <c r="Y28" s="34"/>
      <c r="Z28" s="35" t="str">
        <f t="shared" si="8"/>
        <v/>
      </c>
      <c r="AA28" s="36" t="str">
        <f t="shared" si="9"/>
        <v/>
      </c>
      <c r="AB28" s="37"/>
      <c r="AC28" s="33"/>
      <c r="AD28" s="34"/>
      <c r="AE28" s="35" t="str">
        <f t="shared" si="10"/>
        <v/>
      </c>
      <c r="AF28" s="36" t="str">
        <f t="shared" si="11"/>
        <v/>
      </c>
      <c r="AG28" s="37"/>
      <c r="AH28" s="33"/>
      <c r="AI28" s="34"/>
      <c r="AJ28" s="35" t="str">
        <f t="shared" si="12"/>
        <v/>
      </c>
      <c r="AK28" s="36" t="str">
        <f t="shared" si="13"/>
        <v/>
      </c>
      <c r="AL28" s="37"/>
      <c r="AM28" s="33"/>
      <c r="AN28" s="34"/>
      <c r="AO28" s="35" t="str">
        <f t="shared" si="14"/>
        <v/>
      </c>
      <c r="AP28" s="36" t="str">
        <f t="shared" si="15"/>
        <v/>
      </c>
      <c r="AQ28" s="37"/>
      <c r="AR28" s="33"/>
      <c r="AS28" s="34"/>
      <c r="AT28" s="35" t="str">
        <f t="shared" si="16"/>
        <v/>
      </c>
      <c r="AU28" s="36" t="str">
        <f t="shared" si="17"/>
        <v/>
      </c>
      <c r="AV28" s="37"/>
      <c r="AW28" s="33"/>
      <c r="AX28" s="34"/>
      <c r="AY28" s="35" t="str">
        <f t="shared" si="18"/>
        <v/>
      </c>
      <c r="AZ28" s="36" t="str">
        <f t="shared" si="19"/>
        <v/>
      </c>
      <c r="BA28" s="37"/>
      <c r="BB28" s="33"/>
      <c r="BC28" s="34"/>
      <c r="BD28" s="35" t="str">
        <f t="shared" si="20"/>
        <v/>
      </c>
      <c r="BE28" s="36" t="str">
        <f t="shared" si="21"/>
        <v/>
      </c>
      <c r="BF28" s="37"/>
      <c r="BG28" s="33"/>
      <c r="BH28" s="34"/>
      <c r="BI28" s="35" t="str">
        <f t="shared" si="22"/>
        <v/>
      </c>
      <c r="BJ28" s="36" t="str">
        <f t="shared" si="23"/>
        <v/>
      </c>
      <c r="BK28" s="37"/>
      <c r="BL28" s="33"/>
      <c r="BM28" s="34"/>
      <c r="BN28" s="35" t="str">
        <f t="shared" si="24"/>
        <v/>
      </c>
      <c r="BO28" s="36" t="str">
        <f t="shared" si="25"/>
        <v/>
      </c>
      <c r="BP28" s="37"/>
      <c r="BQ28" s="33"/>
      <c r="BR28" s="34"/>
      <c r="BS28" s="35" t="str">
        <f t="shared" si="26"/>
        <v/>
      </c>
      <c r="BT28" s="36" t="str">
        <f t="shared" si="27"/>
        <v/>
      </c>
      <c r="BU28" s="37"/>
      <c r="BV28" s="33"/>
      <c r="BW28" s="34"/>
      <c r="BX28" s="35" t="str">
        <f t="shared" si="28"/>
        <v/>
      </c>
      <c r="BY28" s="36" t="str">
        <f t="shared" si="29"/>
        <v/>
      </c>
      <c r="BZ28" s="37"/>
      <c r="CA28" s="33"/>
      <c r="CB28" s="34"/>
      <c r="CC28" s="35" t="str">
        <f t="shared" si="30"/>
        <v/>
      </c>
      <c r="CD28" s="36" t="str">
        <f t="shared" si="31"/>
        <v/>
      </c>
      <c r="CE28" s="37"/>
      <c r="CF28" s="33"/>
      <c r="CG28" s="34"/>
      <c r="CH28" s="35" t="str">
        <f t="shared" si="32"/>
        <v/>
      </c>
      <c r="CI28" s="36" t="str">
        <f t="shared" si="33"/>
        <v/>
      </c>
      <c r="CJ28" s="37"/>
      <c r="CK28" s="33"/>
      <c r="CL28" s="34"/>
      <c r="CM28" s="35" t="str">
        <f t="shared" si="34"/>
        <v/>
      </c>
      <c r="CN28" s="36" t="str">
        <f t="shared" si="35"/>
        <v/>
      </c>
      <c r="CO28" s="37"/>
      <c r="CP28" s="33"/>
      <c r="CQ28" s="34"/>
      <c r="CR28" s="35" t="str">
        <f t="shared" si="36"/>
        <v/>
      </c>
      <c r="CS28" s="36" t="str">
        <f t="shared" si="37"/>
        <v/>
      </c>
      <c r="CT28" s="37"/>
      <c r="CU28" s="33"/>
      <c r="CV28" s="34"/>
      <c r="CW28" s="35" t="str">
        <f t="shared" si="38"/>
        <v/>
      </c>
      <c r="CX28" s="36" t="str">
        <f t="shared" si="39"/>
        <v/>
      </c>
      <c r="CY28" s="37"/>
      <c r="CZ28" s="33"/>
      <c r="DA28" s="34"/>
      <c r="DB28" s="35" t="str">
        <f t="shared" si="40"/>
        <v/>
      </c>
      <c r="DC28" s="36" t="str">
        <f t="shared" si="41"/>
        <v/>
      </c>
      <c r="DD28" s="37"/>
      <c r="DE28" s="33"/>
      <c r="DF28" s="34"/>
      <c r="DG28" s="35" t="str">
        <f t="shared" si="42"/>
        <v/>
      </c>
      <c r="DH28" s="36" t="str">
        <f t="shared" si="43"/>
        <v/>
      </c>
      <c r="DI28" s="37"/>
      <c r="DJ28" s="33"/>
      <c r="DK28" s="34"/>
      <c r="DL28" s="35" t="str">
        <f t="shared" si="44"/>
        <v/>
      </c>
      <c r="DM28" s="36" t="str">
        <f t="shared" si="45"/>
        <v/>
      </c>
      <c r="DN28" s="37"/>
      <c r="DO28" s="33"/>
      <c r="DP28" s="34"/>
      <c r="DQ28" s="35" t="str">
        <f t="shared" si="46"/>
        <v/>
      </c>
      <c r="DR28" s="36" t="str">
        <f t="shared" si="47"/>
        <v/>
      </c>
      <c r="DS28" s="37"/>
      <c r="DT28" s="33"/>
      <c r="DU28" s="34"/>
      <c r="DV28" s="35" t="str">
        <f t="shared" si="48"/>
        <v/>
      </c>
      <c r="DW28" s="36" t="str">
        <f t="shared" si="49"/>
        <v/>
      </c>
      <c r="DX28" s="37"/>
      <c r="DY28" s="33"/>
      <c r="DZ28" s="34"/>
      <c r="EA28" s="35" t="str">
        <f t="shared" si="50"/>
        <v/>
      </c>
      <c r="EB28" s="36" t="str">
        <f t="shared" si="51"/>
        <v/>
      </c>
      <c r="EC28" s="37"/>
      <c r="ED28" s="33"/>
      <c r="EE28" s="34"/>
      <c r="EF28" s="35" t="str">
        <f t="shared" si="52"/>
        <v/>
      </c>
      <c r="EG28" s="36" t="str">
        <f t="shared" si="53"/>
        <v/>
      </c>
      <c r="EH28" s="37"/>
      <c r="EI28" s="33"/>
      <c r="EJ28" s="34"/>
      <c r="EK28" s="35" t="str">
        <f t="shared" si="54"/>
        <v/>
      </c>
      <c r="EL28" s="36" t="str">
        <f t="shared" si="55"/>
        <v/>
      </c>
      <c r="EM28" s="37"/>
      <c r="EN28" s="33"/>
      <c r="EO28" s="34"/>
      <c r="EP28" s="35" t="str">
        <f t="shared" si="56"/>
        <v/>
      </c>
      <c r="EQ28" s="36" t="str">
        <f t="shared" si="57"/>
        <v/>
      </c>
      <c r="ER28" s="37"/>
      <c r="ES28" s="33"/>
      <c r="ET28" s="34"/>
      <c r="EU28" s="35" t="str">
        <f t="shared" si="58"/>
        <v/>
      </c>
      <c r="EV28" s="36" t="str">
        <f t="shared" si="59"/>
        <v/>
      </c>
      <c r="EW28" s="37"/>
    </row>
    <row r="29" spans="1:153" ht="19.5" customHeight="1">
      <c r="A29" s="32">
        <f>IF(DAY(DATE(対象年度,9,26))&lt;&gt;26,"",26)</f>
        <v>26</v>
      </c>
      <c r="B29" s="32" t="str">
        <f>IF(DAY(DATE(対象年度,9,26))&lt;&gt;26,"",CHOOSE(WEEKDAY(DATE(対象年度,9,26),2),"月","火","水","木","金","土","日"))</f>
        <v>土</v>
      </c>
      <c r="C29" s="32" t="str">
        <f>IF(DAY(DATE(対象年度,9,26))&lt;&gt;26,"",IF(ISNUMBER(MATCH(DATE(対象年度,9,26),祝日リスト,0)),"祝",""))</f>
        <v/>
      </c>
      <c r="D29" s="33"/>
      <c r="E29" s="34"/>
      <c r="F29" s="35" t="str">
        <f t="shared" si="0"/>
        <v/>
      </c>
      <c r="G29" s="36" t="str">
        <f t="shared" si="1"/>
        <v/>
      </c>
      <c r="H29" s="37"/>
      <c r="I29" s="33"/>
      <c r="J29" s="34"/>
      <c r="K29" s="35" t="str">
        <f t="shared" si="2"/>
        <v/>
      </c>
      <c r="L29" s="36" t="str">
        <f t="shared" si="3"/>
        <v/>
      </c>
      <c r="M29" s="37"/>
      <c r="N29" s="33"/>
      <c r="O29" s="34"/>
      <c r="P29" s="35" t="str">
        <f t="shared" si="4"/>
        <v/>
      </c>
      <c r="Q29" s="36" t="str">
        <f t="shared" si="5"/>
        <v/>
      </c>
      <c r="R29" s="37"/>
      <c r="S29" s="33"/>
      <c r="T29" s="34"/>
      <c r="U29" s="35" t="str">
        <f t="shared" si="6"/>
        <v/>
      </c>
      <c r="V29" s="36" t="str">
        <f t="shared" si="7"/>
        <v/>
      </c>
      <c r="W29" s="37"/>
      <c r="X29" s="33"/>
      <c r="Y29" s="34"/>
      <c r="Z29" s="35" t="str">
        <f t="shared" si="8"/>
        <v/>
      </c>
      <c r="AA29" s="36" t="str">
        <f t="shared" si="9"/>
        <v/>
      </c>
      <c r="AB29" s="37"/>
      <c r="AC29" s="33"/>
      <c r="AD29" s="34"/>
      <c r="AE29" s="35" t="str">
        <f t="shared" si="10"/>
        <v/>
      </c>
      <c r="AF29" s="36" t="str">
        <f t="shared" si="11"/>
        <v/>
      </c>
      <c r="AG29" s="37"/>
      <c r="AH29" s="33"/>
      <c r="AI29" s="34"/>
      <c r="AJ29" s="35" t="str">
        <f t="shared" si="12"/>
        <v/>
      </c>
      <c r="AK29" s="36" t="str">
        <f t="shared" si="13"/>
        <v/>
      </c>
      <c r="AL29" s="37"/>
      <c r="AM29" s="33"/>
      <c r="AN29" s="34"/>
      <c r="AO29" s="35" t="str">
        <f t="shared" si="14"/>
        <v/>
      </c>
      <c r="AP29" s="36" t="str">
        <f t="shared" si="15"/>
        <v/>
      </c>
      <c r="AQ29" s="37"/>
      <c r="AR29" s="33"/>
      <c r="AS29" s="34"/>
      <c r="AT29" s="35" t="str">
        <f t="shared" si="16"/>
        <v/>
      </c>
      <c r="AU29" s="36" t="str">
        <f t="shared" si="17"/>
        <v/>
      </c>
      <c r="AV29" s="37"/>
      <c r="AW29" s="33"/>
      <c r="AX29" s="34"/>
      <c r="AY29" s="35" t="str">
        <f t="shared" si="18"/>
        <v/>
      </c>
      <c r="AZ29" s="36" t="str">
        <f t="shared" si="19"/>
        <v/>
      </c>
      <c r="BA29" s="37"/>
      <c r="BB29" s="33"/>
      <c r="BC29" s="34"/>
      <c r="BD29" s="35" t="str">
        <f t="shared" si="20"/>
        <v/>
      </c>
      <c r="BE29" s="36" t="str">
        <f t="shared" si="21"/>
        <v/>
      </c>
      <c r="BF29" s="37"/>
      <c r="BG29" s="33"/>
      <c r="BH29" s="34"/>
      <c r="BI29" s="35" t="str">
        <f t="shared" si="22"/>
        <v/>
      </c>
      <c r="BJ29" s="36" t="str">
        <f t="shared" si="23"/>
        <v/>
      </c>
      <c r="BK29" s="37"/>
      <c r="BL29" s="33"/>
      <c r="BM29" s="34"/>
      <c r="BN29" s="35" t="str">
        <f t="shared" si="24"/>
        <v/>
      </c>
      <c r="BO29" s="36" t="str">
        <f t="shared" si="25"/>
        <v/>
      </c>
      <c r="BP29" s="37"/>
      <c r="BQ29" s="33"/>
      <c r="BR29" s="34"/>
      <c r="BS29" s="35" t="str">
        <f t="shared" si="26"/>
        <v/>
      </c>
      <c r="BT29" s="36" t="str">
        <f t="shared" si="27"/>
        <v/>
      </c>
      <c r="BU29" s="37"/>
      <c r="BV29" s="33"/>
      <c r="BW29" s="34"/>
      <c r="BX29" s="35" t="str">
        <f t="shared" si="28"/>
        <v/>
      </c>
      <c r="BY29" s="36" t="str">
        <f t="shared" si="29"/>
        <v/>
      </c>
      <c r="BZ29" s="37"/>
      <c r="CA29" s="33"/>
      <c r="CB29" s="34"/>
      <c r="CC29" s="35" t="str">
        <f t="shared" si="30"/>
        <v/>
      </c>
      <c r="CD29" s="36" t="str">
        <f t="shared" si="31"/>
        <v/>
      </c>
      <c r="CE29" s="37"/>
      <c r="CF29" s="33"/>
      <c r="CG29" s="34"/>
      <c r="CH29" s="35" t="str">
        <f t="shared" si="32"/>
        <v/>
      </c>
      <c r="CI29" s="36" t="str">
        <f t="shared" si="33"/>
        <v/>
      </c>
      <c r="CJ29" s="37"/>
      <c r="CK29" s="33"/>
      <c r="CL29" s="34"/>
      <c r="CM29" s="35" t="str">
        <f t="shared" si="34"/>
        <v/>
      </c>
      <c r="CN29" s="36" t="str">
        <f t="shared" si="35"/>
        <v/>
      </c>
      <c r="CO29" s="37"/>
      <c r="CP29" s="33"/>
      <c r="CQ29" s="34"/>
      <c r="CR29" s="35" t="str">
        <f t="shared" si="36"/>
        <v/>
      </c>
      <c r="CS29" s="36" t="str">
        <f t="shared" si="37"/>
        <v/>
      </c>
      <c r="CT29" s="37"/>
      <c r="CU29" s="33"/>
      <c r="CV29" s="34"/>
      <c r="CW29" s="35" t="str">
        <f t="shared" si="38"/>
        <v/>
      </c>
      <c r="CX29" s="36" t="str">
        <f t="shared" si="39"/>
        <v/>
      </c>
      <c r="CY29" s="37"/>
      <c r="CZ29" s="33"/>
      <c r="DA29" s="34"/>
      <c r="DB29" s="35" t="str">
        <f t="shared" si="40"/>
        <v/>
      </c>
      <c r="DC29" s="36" t="str">
        <f t="shared" si="41"/>
        <v/>
      </c>
      <c r="DD29" s="37"/>
      <c r="DE29" s="33"/>
      <c r="DF29" s="34"/>
      <c r="DG29" s="35" t="str">
        <f t="shared" si="42"/>
        <v/>
      </c>
      <c r="DH29" s="36" t="str">
        <f t="shared" si="43"/>
        <v/>
      </c>
      <c r="DI29" s="37"/>
      <c r="DJ29" s="33"/>
      <c r="DK29" s="34"/>
      <c r="DL29" s="35" t="str">
        <f t="shared" si="44"/>
        <v/>
      </c>
      <c r="DM29" s="36" t="str">
        <f t="shared" si="45"/>
        <v/>
      </c>
      <c r="DN29" s="37"/>
      <c r="DO29" s="33"/>
      <c r="DP29" s="34"/>
      <c r="DQ29" s="35" t="str">
        <f t="shared" si="46"/>
        <v/>
      </c>
      <c r="DR29" s="36" t="str">
        <f t="shared" si="47"/>
        <v/>
      </c>
      <c r="DS29" s="37"/>
      <c r="DT29" s="33"/>
      <c r="DU29" s="34"/>
      <c r="DV29" s="35" t="str">
        <f t="shared" si="48"/>
        <v/>
      </c>
      <c r="DW29" s="36" t="str">
        <f t="shared" si="49"/>
        <v/>
      </c>
      <c r="DX29" s="37"/>
      <c r="DY29" s="33"/>
      <c r="DZ29" s="34"/>
      <c r="EA29" s="35" t="str">
        <f t="shared" si="50"/>
        <v/>
      </c>
      <c r="EB29" s="36" t="str">
        <f t="shared" si="51"/>
        <v/>
      </c>
      <c r="EC29" s="37"/>
      <c r="ED29" s="33"/>
      <c r="EE29" s="34"/>
      <c r="EF29" s="35" t="str">
        <f t="shared" si="52"/>
        <v/>
      </c>
      <c r="EG29" s="36" t="str">
        <f t="shared" si="53"/>
        <v/>
      </c>
      <c r="EH29" s="37"/>
      <c r="EI29" s="33"/>
      <c r="EJ29" s="34"/>
      <c r="EK29" s="35" t="str">
        <f t="shared" si="54"/>
        <v/>
      </c>
      <c r="EL29" s="36" t="str">
        <f t="shared" si="55"/>
        <v/>
      </c>
      <c r="EM29" s="37"/>
      <c r="EN29" s="33"/>
      <c r="EO29" s="34"/>
      <c r="EP29" s="35" t="str">
        <f t="shared" si="56"/>
        <v/>
      </c>
      <c r="EQ29" s="36" t="str">
        <f t="shared" si="57"/>
        <v/>
      </c>
      <c r="ER29" s="37"/>
      <c r="ES29" s="33"/>
      <c r="ET29" s="34"/>
      <c r="EU29" s="35" t="str">
        <f t="shared" si="58"/>
        <v/>
      </c>
      <c r="EV29" s="36" t="str">
        <f t="shared" si="59"/>
        <v/>
      </c>
      <c r="EW29" s="37"/>
    </row>
    <row r="30" spans="1:153" ht="19.5" customHeight="1">
      <c r="A30" s="32">
        <f>IF(DAY(DATE(対象年度,9,27))&lt;&gt;27,"",27)</f>
        <v>27</v>
      </c>
      <c r="B30" s="32" t="str">
        <f>IF(DAY(DATE(対象年度,9,27))&lt;&gt;27,"",CHOOSE(WEEKDAY(DATE(対象年度,9,27),2),"月","火","水","木","金","土","日"))</f>
        <v>日</v>
      </c>
      <c r="C30" s="32" t="str">
        <f>IF(DAY(DATE(対象年度,9,27))&lt;&gt;27,"",IF(ISNUMBER(MATCH(DATE(対象年度,9,27),祝日リスト,0)),"祝",""))</f>
        <v/>
      </c>
      <c r="D30" s="33"/>
      <c r="E30" s="34"/>
      <c r="F30" s="35" t="str">
        <f t="shared" si="0"/>
        <v/>
      </c>
      <c r="G30" s="36" t="str">
        <f t="shared" si="1"/>
        <v/>
      </c>
      <c r="H30" s="37"/>
      <c r="I30" s="33"/>
      <c r="J30" s="34"/>
      <c r="K30" s="35" t="str">
        <f t="shared" si="2"/>
        <v/>
      </c>
      <c r="L30" s="36" t="str">
        <f t="shared" si="3"/>
        <v/>
      </c>
      <c r="M30" s="37"/>
      <c r="N30" s="33"/>
      <c r="O30" s="34"/>
      <c r="P30" s="35" t="str">
        <f t="shared" si="4"/>
        <v/>
      </c>
      <c r="Q30" s="36" t="str">
        <f t="shared" si="5"/>
        <v/>
      </c>
      <c r="R30" s="37"/>
      <c r="S30" s="33"/>
      <c r="T30" s="34"/>
      <c r="U30" s="35" t="str">
        <f t="shared" si="6"/>
        <v/>
      </c>
      <c r="V30" s="36" t="str">
        <f t="shared" si="7"/>
        <v/>
      </c>
      <c r="W30" s="37"/>
      <c r="X30" s="33"/>
      <c r="Y30" s="34"/>
      <c r="Z30" s="35" t="str">
        <f t="shared" si="8"/>
        <v/>
      </c>
      <c r="AA30" s="36" t="str">
        <f t="shared" si="9"/>
        <v/>
      </c>
      <c r="AB30" s="37"/>
      <c r="AC30" s="33"/>
      <c r="AD30" s="34"/>
      <c r="AE30" s="35" t="str">
        <f t="shared" si="10"/>
        <v/>
      </c>
      <c r="AF30" s="36" t="str">
        <f t="shared" si="11"/>
        <v/>
      </c>
      <c r="AG30" s="37"/>
      <c r="AH30" s="33"/>
      <c r="AI30" s="34"/>
      <c r="AJ30" s="35" t="str">
        <f t="shared" si="12"/>
        <v/>
      </c>
      <c r="AK30" s="36" t="str">
        <f t="shared" si="13"/>
        <v/>
      </c>
      <c r="AL30" s="37"/>
      <c r="AM30" s="33"/>
      <c r="AN30" s="34"/>
      <c r="AO30" s="35" t="str">
        <f t="shared" si="14"/>
        <v/>
      </c>
      <c r="AP30" s="36" t="str">
        <f t="shared" si="15"/>
        <v/>
      </c>
      <c r="AQ30" s="37"/>
      <c r="AR30" s="33"/>
      <c r="AS30" s="34"/>
      <c r="AT30" s="35" t="str">
        <f t="shared" si="16"/>
        <v/>
      </c>
      <c r="AU30" s="36" t="str">
        <f t="shared" si="17"/>
        <v/>
      </c>
      <c r="AV30" s="37"/>
      <c r="AW30" s="33"/>
      <c r="AX30" s="34"/>
      <c r="AY30" s="35" t="str">
        <f t="shared" si="18"/>
        <v/>
      </c>
      <c r="AZ30" s="36" t="str">
        <f t="shared" si="19"/>
        <v/>
      </c>
      <c r="BA30" s="37"/>
      <c r="BB30" s="33"/>
      <c r="BC30" s="34"/>
      <c r="BD30" s="35" t="str">
        <f t="shared" si="20"/>
        <v/>
      </c>
      <c r="BE30" s="36" t="str">
        <f t="shared" si="21"/>
        <v/>
      </c>
      <c r="BF30" s="37"/>
      <c r="BG30" s="33"/>
      <c r="BH30" s="34"/>
      <c r="BI30" s="35" t="str">
        <f t="shared" si="22"/>
        <v/>
      </c>
      <c r="BJ30" s="36" t="str">
        <f t="shared" si="23"/>
        <v/>
      </c>
      <c r="BK30" s="37"/>
      <c r="BL30" s="33"/>
      <c r="BM30" s="34"/>
      <c r="BN30" s="35" t="str">
        <f t="shared" si="24"/>
        <v/>
      </c>
      <c r="BO30" s="36" t="str">
        <f t="shared" si="25"/>
        <v/>
      </c>
      <c r="BP30" s="37"/>
      <c r="BQ30" s="33"/>
      <c r="BR30" s="34"/>
      <c r="BS30" s="35" t="str">
        <f t="shared" si="26"/>
        <v/>
      </c>
      <c r="BT30" s="36" t="str">
        <f t="shared" si="27"/>
        <v/>
      </c>
      <c r="BU30" s="37"/>
      <c r="BV30" s="33"/>
      <c r="BW30" s="34"/>
      <c r="BX30" s="35" t="str">
        <f t="shared" si="28"/>
        <v/>
      </c>
      <c r="BY30" s="36" t="str">
        <f t="shared" si="29"/>
        <v/>
      </c>
      <c r="BZ30" s="37"/>
      <c r="CA30" s="33"/>
      <c r="CB30" s="34"/>
      <c r="CC30" s="35" t="str">
        <f t="shared" si="30"/>
        <v/>
      </c>
      <c r="CD30" s="36" t="str">
        <f t="shared" si="31"/>
        <v/>
      </c>
      <c r="CE30" s="37"/>
      <c r="CF30" s="33"/>
      <c r="CG30" s="34"/>
      <c r="CH30" s="35" t="str">
        <f t="shared" si="32"/>
        <v/>
      </c>
      <c r="CI30" s="36" t="str">
        <f t="shared" si="33"/>
        <v/>
      </c>
      <c r="CJ30" s="37"/>
      <c r="CK30" s="33"/>
      <c r="CL30" s="34"/>
      <c r="CM30" s="35" t="str">
        <f t="shared" si="34"/>
        <v/>
      </c>
      <c r="CN30" s="36" t="str">
        <f t="shared" si="35"/>
        <v/>
      </c>
      <c r="CO30" s="37"/>
      <c r="CP30" s="33"/>
      <c r="CQ30" s="34"/>
      <c r="CR30" s="35" t="str">
        <f t="shared" si="36"/>
        <v/>
      </c>
      <c r="CS30" s="36" t="str">
        <f t="shared" si="37"/>
        <v/>
      </c>
      <c r="CT30" s="37"/>
      <c r="CU30" s="33"/>
      <c r="CV30" s="34"/>
      <c r="CW30" s="35" t="str">
        <f t="shared" si="38"/>
        <v/>
      </c>
      <c r="CX30" s="36" t="str">
        <f t="shared" si="39"/>
        <v/>
      </c>
      <c r="CY30" s="37"/>
      <c r="CZ30" s="33"/>
      <c r="DA30" s="34"/>
      <c r="DB30" s="35" t="str">
        <f t="shared" si="40"/>
        <v/>
      </c>
      <c r="DC30" s="36" t="str">
        <f t="shared" si="41"/>
        <v/>
      </c>
      <c r="DD30" s="37"/>
      <c r="DE30" s="33"/>
      <c r="DF30" s="34"/>
      <c r="DG30" s="35" t="str">
        <f t="shared" si="42"/>
        <v/>
      </c>
      <c r="DH30" s="36" t="str">
        <f t="shared" si="43"/>
        <v/>
      </c>
      <c r="DI30" s="37"/>
      <c r="DJ30" s="33"/>
      <c r="DK30" s="34"/>
      <c r="DL30" s="35" t="str">
        <f t="shared" si="44"/>
        <v/>
      </c>
      <c r="DM30" s="36" t="str">
        <f t="shared" si="45"/>
        <v/>
      </c>
      <c r="DN30" s="37"/>
      <c r="DO30" s="33"/>
      <c r="DP30" s="34"/>
      <c r="DQ30" s="35" t="str">
        <f t="shared" si="46"/>
        <v/>
      </c>
      <c r="DR30" s="36" t="str">
        <f t="shared" si="47"/>
        <v/>
      </c>
      <c r="DS30" s="37"/>
      <c r="DT30" s="33"/>
      <c r="DU30" s="34"/>
      <c r="DV30" s="35" t="str">
        <f t="shared" si="48"/>
        <v/>
      </c>
      <c r="DW30" s="36" t="str">
        <f t="shared" si="49"/>
        <v/>
      </c>
      <c r="DX30" s="37"/>
      <c r="DY30" s="33"/>
      <c r="DZ30" s="34"/>
      <c r="EA30" s="35" t="str">
        <f t="shared" si="50"/>
        <v/>
      </c>
      <c r="EB30" s="36" t="str">
        <f t="shared" si="51"/>
        <v/>
      </c>
      <c r="EC30" s="37"/>
      <c r="ED30" s="33"/>
      <c r="EE30" s="34"/>
      <c r="EF30" s="35" t="str">
        <f t="shared" si="52"/>
        <v/>
      </c>
      <c r="EG30" s="36" t="str">
        <f t="shared" si="53"/>
        <v/>
      </c>
      <c r="EH30" s="37"/>
      <c r="EI30" s="33"/>
      <c r="EJ30" s="34"/>
      <c r="EK30" s="35" t="str">
        <f t="shared" si="54"/>
        <v/>
      </c>
      <c r="EL30" s="36" t="str">
        <f t="shared" si="55"/>
        <v/>
      </c>
      <c r="EM30" s="37"/>
      <c r="EN30" s="33"/>
      <c r="EO30" s="34"/>
      <c r="EP30" s="35" t="str">
        <f t="shared" si="56"/>
        <v/>
      </c>
      <c r="EQ30" s="36" t="str">
        <f t="shared" si="57"/>
        <v/>
      </c>
      <c r="ER30" s="37"/>
      <c r="ES30" s="33"/>
      <c r="ET30" s="34"/>
      <c r="EU30" s="35" t="str">
        <f t="shared" si="58"/>
        <v/>
      </c>
      <c r="EV30" s="36" t="str">
        <f t="shared" si="59"/>
        <v/>
      </c>
      <c r="EW30" s="37"/>
    </row>
    <row r="31" spans="1:153" ht="19.5" customHeight="1">
      <c r="A31" s="32">
        <f>IF(DAY(DATE(対象年度,9,28))&lt;&gt;28,"",28)</f>
        <v>28</v>
      </c>
      <c r="B31" s="32" t="str">
        <f>IF(DAY(DATE(対象年度,9,28))&lt;&gt;28,"",CHOOSE(WEEKDAY(DATE(対象年度,9,28),2),"月","火","水","木","金","土","日"))</f>
        <v>月</v>
      </c>
      <c r="C31" s="32" t="str">
        <f>IF(DAY(DATE(対象年度,9,28))&lt;&gt;28,"",IF(ISNUMBER(MATCH(DATE(対象年度,9,28),祝日リスト,0)),"祝",""))</f>
        <v/>
      </c>
      <c r="D31" s="33"/>
      <c r="E31" s="34"/>
      <c r="F31" s="35" t="str">
        <f t="shared" si="0"/>
        <v/>
      </c>
      <c r="G31" s="36" t="str">
        <f t="shared" si="1"/>
        <v/>
      </c>
      <c r="H31" s="37"/>
      <c r="I31" s="33"/>
      <c r="J31" s="34"/>
      <c r="K31" s="35" t="str">
        <f t="shared" si="2"/>
        <v/>
      </c>
      <c r="L31" s="36" t="str">
        <f t="shared" si="3"/>
        <v/>
      </c>
      <c r="M31" s="37"/>
      <c r="N31" s="33"/>
      <c r="O31" s="34"/>
      <c r="P31" s="35" t="str">
        <f t="shared" si="4"/>
        <v/>
      </c>
      <c r="Q31" s="36" t="str">
        <f t="shared" si="5"/>
        <v/>
      </c>
      <c r="R31" s="37"/>
      <c r="S31" s="33"/>
      <c r="T31" s="34"/>
      <c r="U31" s="35" t="str">
        <f t="shared" si="6"/>
        <v/>
      </c>
      <c r="V31" s="36" t="str">
        <f t="shared" si="7"/>
        <v/>
      </c>
      <c r="W31" s="37"/>
      <c r="X31" s="33"/>
      <c r="Y31" s="34"/>
      <c r="Z31" s="35" t="str">
        <f t="shared" si="8"/>
        <v/>
      </c>
      <c r="AA31" s="36" t="str">
        <f t="shared" si="9"/>
        <v/>
      </c>
      <c r="AB31" s="37"/>
      <c r="AC31" s="33"/>
      <c r="AD31" s="34"/>
      <c r="AE31" s="35" t="str">
        <f t="shared" si="10"/>
        <v/>
      </c>
      <c r="AF31" s="36" t="str">
        <f t="shared" si="11"/>
        <v/>
      </c>
      <c r="AG31" s="37"/>
      <c r="AH31" s="33"/>
      <c r="AI31" s="34"/>
      <c r="AJ31" s="35" t="str">
        <f t="shared" si="12"/>
        <v/>
      </c>
      <c r="AK31" s="36" t="str">
        <f t="shared" si="13"/>
        <v/>
      </c>
      <c r="AL31" s="37"/>
      <c r="AM31" s="33"/>
      <c r="AN31" s="34"/>
      <c r="AO31" s="35" t="str">
        <f t="shared" si="14"/>
        <v/>
      </c>
      <c r="AP31" s="36" t="str">
        <f t="shared" si="15"/>
        <v/>
      </c>
      <c r="AQ31" s="37"/>
      <c r="AR31" s="33"/>
      <c r="AS31" s="34"/>
      <c r="AT31" s="35" t="str">
        <f t="shared" si="16"/>
        <v/>
      </c>
      <c r="AU31" s="36" t="str">
        <f t="shared" si="17"/>
        <v/>
      </c>
      <c r="AV31" s="37"/>
      <c r="AW31" s="33"/>
      <c r="AX31" s="34"/>
      <c r="AY31" s="35" t="str">
        <f t="shared" si="18"/>
        <v/>
      </c>
      <c r="AZ31" s="36" t="str">
        <f t="shared" si="19"/>
        <v/>
      </c>
      <c r="BA31" s="37"/>
      <c r="BB31" s="33"/>
      <c r="BC31" s="34"/>
      <c r="BD31" s="35" t="str">
        <f t="shared" si="20"/>
        <v/>
      </c>
      <c r="BE31" s="36" t="str">
        <f t="shared" si="21"/>
        <v/>
      </c>
      <c r="BF31" s="37"/>
      <c r="BG31" s="33"/>
      <c r="BH31" s="34"/>
      <c r="BI31" s="35" t="str">
        <f t="shared" si="22"/>
        <v/>
      </c>
      <c r="BJ31" s="36" t="str">
        <f t="shared" si="23"/>
        <v/>
      </c>
      <c r="BK31" s="37"/>
      <c r="BL31" s="33"/>
      <c r="BM31" s="34"/>
      <c r="BN31" s="35" t="str">
        <f t="shared" si="24"/>
        <v/>
      </c>
      <c r="BO31" s="36" t="str">
        <f t="shared" si="25"/>
        <v/>
      </c>
      <c r="BP31" s="37"/>
      <c r="BQ31" s="33"/>
      <c r="BR31" s="34"/>
      <c r="BS31" s="35" t="str">
        <f t="shared" si="26"/>
        <v/>
      </c>
      <c r="BT31" s="36" t="str">
        <f t="shared" si="27"/>
        <v/>
      </c>
      <c r="BU31" s="37"/>
      <c r="BV31" s="33"/>
      <c r="BW31" s="34"/>
      <c r="BX31" s="35" t="str">
        <f t="shared" si="28"/>
        <v/>
      </c>
      <c r="BY31" s="36" t="str">
        <f t="shared" si="29"/>
        <v/>
      </c>
      <c r="BZ31" s="37"/>
      <c r="CA31" s="33"/>
      <c r="CB31" s="34"/>
      <c r="CC31" s="35" t="str">
        <f t="shared" si="30"/>
        <v/>
      </c>
      <c r="CD31" s="36" t="str">
        <f t="shared" si="31"/>
        <v/>
      </c>
      <c r="CE31" s="37"/>
      <c r="CF31" s="33"/>
      <c r="CG31" s="34"/>
      <c r="CH31" s="35" t="str">
        <f t="shared" si="32"/>
        <v/>
      </c>
      <c r="CI31" s="36" t="str">
        <f t="shared" si="33"/>
        <v/>
      </c>
      <c r="CJ31" s="37"/>
      <c r="CK31" s="33"/>
      <c r="CL31" s="34"/>
      <c r="CM31" s="35" t="str">
        <f t="shared" si="34"/>
        <v/>
      </c>
      <c r="CN31" s="36" t="str">
        <f t="shared" si="35"/>
        <v/>
      </c>
      <c r="CO31" s="37"/>
      <c r="CP31" s="33"/>
      <c r="CQ31" s="34"/>
      <c r="CR31" s="35" t="str">
        <f t="shared" si="36"/>
        <v/>
      </c>
      <c r="CS31" s="36" t="str">
        <f t="shared" si="37"/>
        <v/>
      </c>
      <c r="CT31" s="37"/>
      <c r="CU31" s="33"/>
      <c r="CV31" s="34"/>
      <c r="CW31" s="35" t="str">
        <f t="shared" si="38"/>
        <v/>
      </c>
      <c r="CX31" s="36" t="str">
        <f t="shared" si="39"/>
        <v/>
      </c>
      <c r="CY31" s="37"/>
      <c r="CZ31" s="33"/>
      <c r="DA31" s="34"/>
      <c r="DB31" s="35" t="str">
        <f t="shared" si="40"/>
        <v/>
      </c>
      <c r="DC31" s="36" t="str">
        <f t="shared" si="41"/>
        <v/>
      </c>
      <c r="DD31" s="37"/>
      <c r="DE31" s="33"/>
      <c r="DF31" s="34"/>
      <c r="DG31" s="35" t="str">
        <f t="shared" si="42"/>
        <v/>
      </c>
      <c r="DH31" s="36" t="str">
        <f t="shared" si="43"/>
        <v/>
      </c>
      <c r="DI31" s="37"/>
      <c r="DJ31" s="33"/>
      <c r="DK31" s="34"/>
      <c r="DL31" s="35" t="str">
        <f t="shared" si="44"/>
        <v/>
      </c>
      <c r="DM31" s="36" t="str">
        <f t="shared" si="45"/>
        <v/>
      </c>
      <c r="DN31" s="37"/>
      <c r="DO31" s="33"/>
      <c r="DP31" s="34"/>
      <c r="DQ31" s="35" t="str">
        <f t="shared" si="46"/>
        <v/>
      </c>
      <c r="DR31" s="36" t="str">
        <f t="shared" si="47"/>
        <v/>
      </c>
      <c r="DS31" s="37"/>
      <c r="DT31" s="33"/>
      <c r="DU31" s="34"/>
      <c r="DV31" s="35" t="str">
        <f t="shared" si="48"/>
        <v/>
      </c>
      <c r="DW31" s="36" t="str">
        <f t="shared" si="49"/>
        <v/>
      </c>
      <c r="DX31" s="37"/>
      <c r="DY31" s="33"/>
      <c r="DZ31" s="34"/>
      <c r="EA31" s="35" t="str">
        <f t="shared" si="50"/>
        <v/>
      </c>
      <c r="EB31" s="36" t="str">
        <f t="shared" si="51"/>
        <v/>
      </c>
      <c r="EC31" s="37"/>
      <c r="ED31" s="33"/>
      <c r="EE31" s="34"/>
      <c r="EF31" s="35" t="str">
        <f t="shared" si="52"/>
        <v/>
      </c>
      <c r="EG31" s="36" t="str">
        <f t="shared" si="53"/>
        <v/>
      </c>
      <c r="EH31" s="37"/>
      <c r="EI31" s="33"/>
      <c r="EJ31" s="34"/>
      <c r="EK31" s="35" t="str">
        <f t="shared" si="54"/>
        <v/>
      </c>
      <c r="EL31" s="36" t="str">
        <f t="shared" si="55"/>
        <v/>
      </c>
      <c r="EM31" s="37"/>
      <c r="EN31" s="33"/>
      <c r="EO31" s="34"/>
      <c r="EP31" s="35" t="str">
        <f t="shared" si="56"/>
        <v/>
      </c>
      <c r="EQ31" s="36" t="str">
        <f t="shared" si="57"/>
        <v/>
      </c>
      <c r="ER31" s="37"/>
      <c r="ES31" s="33"/>
      <c r="ET31" s="34"/>
      <c r="EU31" s="35" t="str">
        <f t="shared" si="58"/>
        <v/>
      </c>
      <c r="EV31" s="36" t="str">
        <f t="shared" si="59"/>
        <v/>
      </c>
      <c r="EW31" s="37"/>
    </row>
    <row r="32" spans="1:153" ht="19.5" customHeight="1">
      <c r="A32" s="32">
        <f>IF(DAY(DATE(対象年度,9,29))&lt;&gt;29,"",29)</f>
        <v>29</v>
      </c>
      <c r="B32" s="32" t="str">
        <f>IF(DAY(DATE(対象年度,9,29))&lt;&gt;29,"",CHOOSE(WEEKDAY(DATE(対象年度,9,29),2),"月","火","水","木","金","土","日"))</f>
        <v>火</v>
      </c>
      <c r="C32" s="32" t="str">
        <f>IF(DAY(DATE(対象年度,9,29))&lt;&gt;29,"",IF(ISNUMBER(MATCH(DATE(対象年度,9,29),祝日リスト,0)),"祝",""))</f>
        <v/>
      </c>
      <c r="D32" s="33"/>
      <c r="E32" s="34"/>
      <c r="F32" s="35" t="str">
        <f t="shared" si="0"/>
        <v/>
      </c>
      <c r="G32" s="36" t="str">
        <f t="shared" si="1"/>
        <v/>
      </c>
      <c r="H32" s="37"/>
      <c r="I32" s="33"/>
      <c r="J32" s="34"/>
      <c r="K32" s="35" t="str">
        <f t="shared" si="2"/>
        <v/>
      </c>
      <c r="L32" s="36" t="str">
        <f t="shared" si="3"/>
        <v/>
      </c>
      <c r="M32" s="37"/>
      <c r="N32" s="33"/>
      <c r="O32" s="34"/>
      <c r="P32" s="35" t="str">
        <f t="shared" si="4"/>
        <v/>
      </c>
      <c r="Q32" s="36" t="str">
        <f t="shared" si="5"/>
        <v/>
      </c>
      <c r="R32" s="37"/>
      <c r="S32" s="33"/>
      <c r="T32" s="34"/>
      <c r="U32" s="35" t="str">
        <f t="shared" si="6"/>
        <v/>
      </c>
      <c r="V32" s="36" t="str">
        <f t="shared" si="7"/>
        <v/>
      </c>
      <c r="W32" s="37"/>
      <c r="X32" s="33"/>
      <c r="Y32" s="34"/>
      <c r="Z32" s="35" t="str">
        <f t="shared" si="8"/>
        <v/>
      </c>
      <c r="AA32" s="36" t="str">
        <f t="shared" si="9"/>
        <v/>
      </c>
      <c r="AB32" s="37"/>
      <c r="AC32" s="33"/>
      <c r="AD32" s="34"/>
      <c r="AE32" s="35" t="str">
        <f t="shared" si="10"/>
        <v/>
      </c>
      <c r="AF32" s="36" t="str">
        <f t="shared" si="11"/>
        <v/>
      </c>
      <c r="AG32" s="37"/>
      <c r="AH32" s="33"/>
      <c r="AI32" s="34"/>
      <c r="AJ32" s="35" t="str">
        <f t="shared" si="12"/>
        <v/>
      </c>
      <c r="AK32" s="36" t="str">
        <f t="shared" si="13"/>
        <v/>
      </c>
      <c r="AL32" s="37"/>
      <c r="AM32" s="33"/>
      <c r="AN32" s="34"/>
      <c r="AO32" s="35" t="str">
        <f t="shared" si="14"/>
        <v/>
      </c>
      <c r="AP32" s="36" t="str">
        <f t="shared" si="15"/>
        <v/>
      </c>
      <c r="AQ32" s="37"/>
      <c r="AR32" s="33"/>
      <c r="AS32" s="34"/>
      <c r="AT32" s="35" t="str">
        <f t="shared" si="16"/>
        <v/>
      </c>
      <c r="AU32" s="36" t="str">
        <f t="shared" si="17"/>
        <v/>
      </c>
      <c r="AV32" s="37"/>
      <c r="AW32" s="33"/>
      <c r="AX32" s="34"/>
      <c r="AY32" s="35" t="str">
        <f t="shared" si="18"/>
        <v/>
      </c>
      <c r="AZ32" s="36" t="str">
        <f t="shared" si="19"/>
        <v/>
      </c>
      <c r="BA32" s="37"/>
      <c r="BB32" s="33"/>
      <c r="BC32" s="34"/>
      <c r="BD32" s="35" t="str">
        <f t="shared" si="20"/>
        <v/>
      </c>
      <c r="BE32" s="36" t="str">
        <f t="shared" si="21"/>
        <v/>
      </c>
      <c r="BF32" s="37"/>
      <c r="BG32" s="33"/>
      <c r="BH32" s="34"/>
      <c r="BI32" s="35" t="str">
        <f t="shared" si="22"/>
        <v/>
      </c>
      <c r="BJ32" s="36" t="str">
        <f t="shared" si="23"/>
        <v/>
      </c>
      <c r="BK32" s="37"/>
      <c r="BL32" s="33"/>
      <c r="BM32" s="34"/>
      <c r="BN32" s="35" t="str">
        <f t="shared" si="24"/>
        <v/>
      </c>
      <c r="BO32" s="36" t="str">
        <f t="shared" si="25"/>
        <v/>
      </c>
      <c r="BP32" s="37"/>
      <c r="BQ32" s="33"/>
      <c r="BR32" s="34"/>
      <c r="BS32" s="35" t="str">
        <f t="shared" si="26"/>
        <v/>
      </c>
      <c r="BT32" s="36" t="str">
        <f t="shared" si="27"/>
        <v/>
      </c>
      <c r="BU32" s="37"/>
      <c r="BV32" s="33"/>
      <c r="BW32" s="34"/>
      <c r="BX32" s="35" t="str">
        <f t="shared" si="28"/>
        <v/>
      </c>
      <c r="BY32" s="36" t="str">
        <f t="shared" si="29"/>
        <v/>
      </c>
      <c r="BZ32" s="37"/>
      <c r="CA32" s="33"/>
      <c r="CB32" s="34"/>
      <c r="CC32" s="35" t="str">
        <f t="shared" si="30"/>
        <v/>
      </c>
      <c r="CD32" s="36" t="str">
        <f t="shared" si="31"/>
        <v/>
      </c>
      <c r="CE32" s="37"/>
      <c r="CF32" s="33"/>
      <c r="CG32" s="34"/>
      <c r="CH32" s="35" t="str">
        <f t="shared" si="32"/>
        <v/>
      </c>
      <c r="CI32" s="36" t="str">
        <f t="shared" si="33"/>
        <v/>
      </c>
      <c r="CJ32" s="37"/>
      <c r="CK32" s="33"/>
      <c r="CL32" s="34"/>
      <c r="CM32" s="35" t="str">
        <f t="shared" si="34"/>
        <v/>
      </c>
      <c r="CN32" s="36" t="str">
        <f t="shared" si="35"/>
        <v/>
      </c>
      <c r="CO32" s="37"/>
      <c r="CP32" s="33"/>
      <c r="CQ32" s="34"/>
      <c r="CR32" s="35" t="str">
        <f t="shared" si="36"/>
        <v/>
      </c>
      <c r="CS32" s="36" t="str">
        <f t="shared" si="37"/>
        <v/>
      </c>
      <c r="CT32" s="37"/>
      <c r="CU32" s="33"/>
      <c r="CV32" s="34"/>
      <c r="CW32" s="35" t="str">
        <f t="shared" si="38"/>
        <v/>
      </c>
      <c r="CX32" s="36" t="str">
        <f t="shared" si="39"/>
        <v/>
      </c>
      <c r="CY32" s="37"/>
      <c r="CZ32" s="33"/>
      <c r="DA32" s="34"/>
      <c r="DB32" s="35" t="str">
        <f t="shared" si="40"/>
        <v/>
      </c>
      <c r="DC32" s="36" t="str">
        <f t="shared" si="41"/>
        <v/>
      </c>
      <c r="DD32" s="37"/>
      <c r="DE32" s="33"/>
      <c r="DF32" s="34"/>
      <c r="DG32" s="35" t="str">
        <f t="shared" si="42"/>
        <v/>
      </c>
      <c r="DH32" s="36" t="str">
        <f t="shared" si="43"/>
        <v/>
      </c>
      <c r="DI32" s="37"/>
      <c r="DJ32" s="33"/>
      <c r="DK32" s="34"/>
      <c r="DL32" s="35" t="str">
        <f t="shared" si="44"/>
        <v/>
      </c>
      <c r="DM32" s="36" t="str">
        <f t="shared" si="45"/>
        <v/>
      </c>
      <c r="DN32" s="37"/>
      <c r="DO32" s="33"/>
      <c r="DP32" s="34"/>
      <c r="DQ32" s="35" t="str">
        <f t="shared" si="46"/>
        <v/>
      </c>
      <c r="DR32" s="36" t="str">
        <f t="shared" si="47"/>
        <v/>
      </c>
      <c r="DS32" s="37"/>
      <c r="DT32" s="33"/>
      <c r="DU32" s="34"/>
      <c r="DV32" s="35" t="str">
        <f t="shared" si="48"/>
        <v/>
      </c>
      <c r="DW32" s="36" t="str">
        <f t="shared" si="49"/>
        <v/>
      </c>
      <c r="DX32" s="37"/>
      <c r="DY32" s="33"/>
      <c r="DZ32" s="34"/>
      <c r="EA32" s="35" t="str">
        <f t="shared" si="50"/>
        <v/>
      </c>
      <c r="EB32" s="36" t="str">
        <f t="shared" si="51"/>
        <v/>
      </c>
      <c r="EC32" s="37"/>
      <c r="ED32" s="33"/>
      <c r="EE32" s="34"/>
      <c r="EF32" s="35" t="str">
        <f t="shared" si="52"/>
        <v/>
      </c>
      <c r="EG32" s="36" t="str">
        <f t="shared" si="53"/>
        <v/>
      </c>
      <c r="EH32" s="37"/>
      <c r="EI32" s="33"/>
      <c r="EJ32" s="34"/>
      <c r="EK32" s="35" t="str">
        <f t="shared" si="54"/>
        <v/>
      </c>
      <c r="EL32" s="36" t="str">
        <f t="shared" si="55"/>
        <v/>
      </c>
      <c r="EM32" s="37"/>
      <c r="EN32" s="33"/>
      <c r="EO32" s="34"/>
      <c r="EP32" s="35" t="str">
        <f t="shared" si="56"/>
        <v/>
      </c>
      <c r="EQ32" s="36" t="str">
        <f t="shared" si="57"/>
        <v/>
      </c>
      <c r="ER32" s="37"/>
      <c r="ES32" s="33"/>
      <c r="ET32" s="34"/>
      <c r="EU32" s="35" t="str">
        <f t="shared" si="58"/>
        <v/>
      </c>
      <c r="EV32" s="36" t="str">
        <f t="shared" si="59"/>
        <v/>
      </c>
      <c r="EW32" s="37"/>
    </row>
    <row r="33" spans="1:153" ht="19.5" customHeight="1">
      <c r="A33" s="32">
        <f>IF(DAY(DATE(対象年度,9,30))&lt;&gt;30,"",30)</f>
        <v>30</v>
      </c>
      <c r="B33" s="32" t="str">
        <f>IF(DAY(DATE(対象年度,9,30))&lt;&gt;30,"",CHOOSE(WEEKDAY(DATE(対象年度,9,30),2),"月","火","水","木","金","土","日"))</f>
        <v>水</v>
      </c>
      <c r="C33" s="32" t="str">
        <f>IF(DAY(DATE(対象年度,9,30))&lt;&gt;30,"",IF(ISNUMBER(MATCH(DATE(対象年度,9,30),祝日リスト,0)),"祝",""))</f>
        <v/>
      </c>
      <c r="D33" s="33"/>
      <c r="E33" s="34"/>
      <c r="F33" s="35" t="str">
        <f t="shared" si="0"/>
        <v/>
      </c>
      <c r="G33" s="36" t="str">
        <f t="shared" si="1"/>
        <v/>
      </c>
      <c r="H33" s="37"/>
      <c r="I33" s="33"/>
      <c r="J33" s="34"/>
      <c r="K33" s="35" t="str">
        <f t="shared" si="2"/>
        <v/>
      </c>
      <c r="L33" s="36" t="str">
        <f t="shared" si="3"/>
        <v/>
      </c>
      <c r="M33" s="37"/>
      <c r="N33" s="33"/>
      <c r="O33" s="34"/>
      <c r="P33" s="35" t="str">
        <f t="shared" si="4"/>
        <v/>
      </c>
      <c r="Q33" s="36" t="str">
        <f t="shared" si="5"/>
        <v/>
      </c>
      <c r="R33" s="37"/>
      <c r="S33" s="33"/>
      <c r="T33" s="34"/>
      <c r="U33" s="35" t="str">
        <f t="shared" si="6"/>
        <v/>
      </c>
      <c r="V33" s="36" t="str">
        <f t="shared" si="7"/>
        <v/>
      </c>
      <c r="W33" s="37"/>
      <c r="X33" s="33"/>
      <c r="Y33" s="34"/>
      <c r="Z33" s="35" t="str">
        <f t="shared" si="8"/>
        <v/>
      </c>
      <c r="AA33" s="36" t="str">
        <f t="shared" si="9"/>
        <v/>
      </c>
      <c r="AB33" s="37"/>
      <c r="AC33" s="33"/>
      <c r="AD33" s="34"/>
      <c r="AE33" s="35" t="str">
        <f t="shared" si="10"/>
        <v/>
      </c>
      <c r="AF33" s="36" t="str">
        <f t="shared" si="11"/>
        <v/>
      </c>
      <c r="AG33" s="37"/>
      <c r="AH33" s="33"/>
      <c r="AI33" s="34"/>
      <c r="AJ33" s="35" t="str">
        <f t="shared" si="12"/>
        <v/>
      </c>
      <c r="AK33" s="36" t="str">
        <f t="shared" si="13"/>
        <v/>
      </c>
      <c r="AL33" s="37"/>
      <c r="AM33" s="33"/>
      <c r="AN33" s="34"/>
      <c r="AO33" s="35" t="str">
        <f t="shared" si="14"/>
        <v/>
      </c>
      <c r="AP33" s="36" t="str">
        <f t="shared" si="15"/>
        <v/>
      </c>
      <c r="AQ33" s="37"/>
      <c r="AR33" s="33"/>
      <c r="AS33" s="34"/>
      <c r="AT33" s="35" t="str">
        <f t="shared" si="16"/>
        <v/>
      </c>
      <c r="AU33" s="36" t="str">
        <f t="shared" si="17"/>
        <v/>
      </c>
      <c r="AV33" s="37"/>
      <c r="AW33" s="33"/>
      <c r="AX33" s="34"/>
      <c r="AY33" s="35" t="str">
        <f t="shared" si="18"/>
        <v/>
      </c>
      <c r="AZ33" s="36" t="str">
        <f t="shared" si="19"/>
        <v/>
      </c>
      <c r="BA33" s="37"/>
      <c r="BB33" s="33"/>
      <c r="BC33" s="34"/>
      <c r="BD33" s="35" t="str">
        <f t="shared" si="20"/>
        <v/>
      </c>
      <c r="BE33" s="36" t="str">
        <f t="shared" si="21"/>
        <v/>
      </c>
      <c r="BF33" s="37"/>
      <c r="BG33" s="33"/>
      <c r="BH33" s="34"/>
      <c r="BI33" s="35" t="str">
        <f t="shared" si="22"/>
        <v/>
      </c>
      <c r="BJ33" s="36" t="str">
        <f t="shared" si="23"/>
        <v/>
      </c>
      <c r="BK33" s="37"/>
      <c r="BL33" s="33"/>
      <c r="BM33" s="34"/>
      <c r="BN33" s="35" t="str">
        <f t="shared" si="24"/>
        <v/>
      </c>
      <c r="BO33" s="36" t="str">
        <f t="shared" si="25"/>
        <v/>
      </c>
      <c r="BP33" s="37"/>
      <c r="BQ33" s="33"/>
      <c r="BR33" s="34"/>
      <c r="BS33" s="35" t="str">
        <f t="shared" si="26"/>
        <v/>
      </c>
      <c r="BT33" s="36" t="str">
        <f t="shared" si="27"/>
        <v/>
      </c>
      <c r="BU33" s="37"/>
      <c r="BV33" s="33"/>
      <c r="BW33" s="34"/>
      <c r="BX33" s="35" t="str">
        <f t="shared" si="28"/>
        <v/>
      </c>
      <c r="BY33" s="36" t="str">
        <f t="shared" si="29"/>
        <v/>
      </c>
      <c r="BZ33" s="37"/>
      <c r="CA33" s="33"/>
      <c r="CB33" s="34"/>
      <c r="CC33" s="35" t="str">
        <f t="shared" si="30"/>
        <v/>
      </c>
      <c r="CD33" s="36" t="str">
        <f t="shared" si="31"/>
        <v/>
      </c>
      <c r="CE33" s="37"/>
      <c r="CF33" s="33"/>
      <c r="CG33" s="34"/>
      <c r="CH33" s="35" t="str">
        <f t="shared" si="32"/>
        <v/>
      </c>
      <c r="CI33" s="36" t="str">
        <f t="shared" si="33"/>
        <v/>
      </c>
      <c r="CJ33" s="37"/>
      <c r="CK33" s="33"/>
      <c r="CL33" s="34"/>
      <c r="CM33" s="35" t="str">
        <f t="shared" si="34"/>
        <v/>
      </c>
      <c r="CN33" s="36" t="str">
        <f t="shared" si="35"/>
        <v/>
      </c>
      <c r="CO33" s="37"/>
      <c r="CP33" s="33"/>
      <c r="CQ33" s="34"/>
      <c r="CR33" s="35" t="str">
        <f t="shared" si="36"/>
        <v/>
      </c>
      <c r="CS33" s="36" t="str">
        <f t="shared" si="37"/>
        <v/>
      </c>
      <c r="CT33" s="37"/>
      <c r="CU33" s="33"/>
      <c r="CV33" s="34"/>
      <c r="CW33" s="35" t="str">
        <f t="shared" si="38"/>
        <v/>
      </c>
      <c r="CX33" s="36" t="str">
        <f t="shared" si="39"/>
        <v/>
      </c>
      <c r="CY33" s="37"/>
      <c r="CZ33" s="33"/>
      <c r="DA33" s="34"/>
      <c r="DB33" s="35" t="str">
        <f t="shared" si="40"/>
        <v/>
      </c>
      <c r="DC33" s="36" t="str">
        <f t="shared" si="41"/>
        <v/>
      </c>
      <c r="DD33" s="37"/>
      <c r="DE33" s="33"/>
      <c r="DF33" s="34"/>
      <c r="DG33" s="35" t="str">
        <f t="shared" si="42"/>
        <v/>
      </c>
      <c r="DH33" s="36" t="str">
        <f t="shared" si="43"/>
        <v/>
      </c>
      <c r="DI33" s="37"/>
      <c r="DJ33" s="33"/>
      <c r="DK33" s="34"/>
      <c r="DL33" s="35" t="str">
        <f t="shared" si="44"/>
        <v/>
      </c>
      <c r="DM33" s="36" t="str">
        <f t="shared" si="45"/>
        <v/>
      </c>
      <c r="DN33" s="37"/>
      <c r="DO33" s="33"/>
      <c r="DP33" s="34"/>
      <c r="DQ33" s="35" t="str">
        <f t="shared" si="46"/>
        <v/>
      </c>
      <c r="DR33" s="36" t="str">
        <f t="shared" si="47"/>
        <v/>
      </c>
      <c r="DS33" s="37"/>
      <c r="DT33" s="33"/>
      <c r="DU33" s="34"/>
      <c r="DV33" s="35" t="str">
        <f t="shared" si="48"/>
        <v/>
      </c>
      <c r="DW33" s="36" t="str">
        <f t="shared" si="49"/>
        <v/>
      </c>
      <c r="DX33" s="37"/>
      <c r="DY33" s="33"/>
      <c r="DZ33" s="34"/>
      <c r="EA33" s="35" t="str">
        <f t="shared" si="50"/>
        <v/>
      </c>
      <c r="EB33" s="36" t="str">
        <f t="shared" si="51"/>
        <v/>
      </c>
      <c r="EC33" s="37"/>
      <c r="ED33" s="33"/>
      <c r="EE33" s="34"/>
      <c r="EF33" s="35" t="str">
        <f t="shared" si="52"/>
        <v/>
      </c>
      <c r="EG33" s="36" t="str">
        <f t="shared" si="53"/>
        <v/>
      </c>
      <c r="EH33" s="37"/>
      <c r="EI33" s="33"/>
      <c r="EJ33" s="34"/>
      <c r="EK33" s="35" t="str">
        <f t="shared" si="54"/>
        <v/>
      </c>
      <c r="EL33" s="36" t="str">
        <f t="shared" si="55"/>
        <v/>
      </c>
      <c r="EM33" s="37"/>
      <c r="EN33" s="33"/>
      <c r="EO33" s="34"/>
      <c r="EP33" s="35" t="str">
        <f t="shared" si="56"/>
        <v/>
      </c>
      <c r="EQ33" s="36" t="str">
        <f t="shared" si="57"/>
        <v/>
      </c>
      <c r="ER33" s="37"/>
      <c r="ES33" s="33"/>
      <c r="ET33" s="34"/>
      <c r="EU33" s="35" t="str">
        <f t="shared" si="58"/>
        <v/>
      </c>
      <c r="EV33" s="36" t="str">
        <f t="shared" si="59"/>
        <v/>
      </c>
      <c r="EW33" s="37"/>
    </row>
    <row r="34" spans="1:153" ht="19.5" customHeight="1">
      <c r="A34" s="39" t="str">
        <f>IF(DAY(DATE(対象年度,9,31))&lt;&gt;31,"",31)</f>
        <v/>
      </c>
      <c r="B34" s="39" t="str">
        <f>IF(DAY(DATE(対象年度,9,31))&lt;&gt;31,"",CHOOSE(WEEKDAY(DATE(対象年度,9,31),2),"月","火","水","木","金","土","日"))</f>
        <v/>
      </c>
      <c r="C34" s="39" t="str">
        <f>IF(DAY(DATE(対象年度,9,31))&lt;&gt;31,"",IF(ISNUMBER(MATCH(DATE(対象年度,9,31),祝日リスト,0)),"祝",""))</f>
        <v/>
      </c>
      <c r="D34" s="40"/>
      <c r="E34" s="41"/>
      <c r="F34" s="42" t="str">
        <f t="shared" si="0"/>
        <v/>
      </c>
      <c r="G34" s="43" t="str">
        <f t="shared" si="1"/>
        <v/>
      </c>
      <c r="H34" s="44"/>
      <c r="I34" s="40"/>
      <c r="J34" s="41"/>
      <c r="K34" s="42" t="str">
        <f t="shared" si="2"/>
        <v/>
      </c>
      <c r="L34" s="43" t="str">
        <f t="shared" si="3"/>
        <v/>
      </c>
      <c r="M34" s="44"/>
      <c r="N34" s="40"/>
      <c r="O34" s="41"/>
      <c r="P34" s="42" t="str">
        <f t="shared" si="4"/>
        <v/>
      </c>
      <c r="Q34" s="43" t="str">
        <f t="shared" si="5"/>
        <v/>
      </c>
      <c r="R34" s="44"/>
      <c r="S34" s="40"/>
      <c r="T34" s="41"/>
      <c r="U34" s="42" t="str">
        <f t="shared" si="6"/>
        <v/>
      </c>
      <c r="V34" s="43" t="str">
        <f t="shared" si="7"/>
        <v/>
      </c>
      <c r="W34" s="44"/>
      <c r="X34" s="40"/>
      <c r="Y34" s="41"/>
      <c r="Z34" s="42" t="str">
        <f t="shared" si="8"/>
        <v/>
      </c>
      <c r="AA34" s="43" t="str">
        <f t="shared" si="9"/>
        <v/>
      </c>
      <c r="AB34" s="44"/>
      <c r="AC34" s="40"/>
      <c r="AD34" s="41"/>
      <c r="AE34" s="42" t="str">
        <f t="shared" si="10"/>
        <v/>
      </c>
      <c r="AF34" s="43" t="str">
        <f t="shared" si="11"/>
        <v/>
      </c>
      <c r="AG34" s="44"/>
      <c r="AH34" s="40"/>
      <c r="AI34" s="41"/>
      <c r="AJ34" s="42" t="str">
        <f t="shared" si="12"/>
        <v/>
      </c>
      <c r="AK34" s="43" t="str">
        <f t="shared" si="13"/>
        <v/>
      </c>
      <c r="AL34" s="44"/>
      <c r="AM34" s="40"/>
      <c r="AN34" s="41"/>
      <c r="AO34" s="42" t="str">
        <f t="shared" si="14"/>
        <v/>
      </c>
      <c r="AP34" s="43" t="str">
        <f t="shared" si="15"/>
        <v/>
      </c>
      <c r="AQ34" s="44"/>
      <c r="AR34" s="40"/>
      <c r="AS34" s="41"/>
      <c r="AT34" s="42" t="str">
        <f t="shared" si="16"/>
        <v/>
      </c>
      <c r="AU34" s="43" t="str">
        <f t="shared" si="17"/>
        <v/>
      </c>
      <c r="AV34" s="44"/>
      <c r="AW34" s="40"/>
      <c r="AX34" s="41"/>
      <c r="AY34" s="42" t="str">
        <f t="shared" si="18"/>
        <v/>
      </c>
      <c r="AZ34" s="43" t="str">
        <f t="shared" si="19"/>
        <v/>
      </c>
      <c r="BA34" s="44"/>
      <c r="BB34" s="40"/>
      <c r="BC34" s="41"/>
      <c r="BD34" s="42" t="str">
        <f t="shared" si="20"/>
        <v/>
      </c>
      <c r="BE34" s="43" t="str">
        <f t="shared" si="21"/>
        <v/>
      </c>
      <c r="BF34" s="44"/>
      <c r="BG34" s="40"/>
      <c r="BH34" s="41"/>
      <c r="BI34" s="42" t="str">
        <f t="shared" si="22"/>
        <v/>
      </c>
      <c r="BJ34" s="43" t="str">
        <f t="shared" si="23"/>
        <v/>
      </c>
      <c r="BK34" s="44"/>
      <c r="BL34" s="40"/>
      <c r="BM34" s="41"/>
      <c r="BN34" s="42" t="str">
        <f t="shared" si="24"/>
        <v/>
      </c>
      <c r="BO34" s="43" t="str">
        <f t="shared" si="25"/>
        <v/>
      </c>
      <c r="BP34" s="44"/>
      <c r="BQ34" s="40"/>
      <c r="BR34" s="41"/>
      <c r="BS34" s="42" t="str">
        <f t="shared" si="26"/>
        <v/>
      </c>
      <c r="BT34" s="43" t="str">
        <f t="shared" si="27"/>
        <v/>
      </c>
      <c r="BU34" s="44"/>
      <c r="BV34" s="40"/>
      <c r="BW34" s="41"/>
      <c r="BX34" s="42" t="str">
        <f t="shared" si="28"/>
        <v/>
      </c>
      <c r="BY34" s="43" t="str">
        <f t="shared" si="29"/>
        <v/>
      </c>
      <c r="BZ34" s="44"/>
      <c r="CA34" s="40"/>
      <c r="CB34" s="41"/>
      <c r="CC34" s="42" t="str">
        <f t="shared" si="30"/>
        <v/>
      </c>
      <c r="CD34" s="43" t="str">
        <f t="shared" si="31"/>
        <v/>
      </c>
      <c r="CE34" s="44"/>
      <c r="CF34" s="40"/>
      <c r="CG34" s="41"/>
      <c r="CH34" s="42" t="str">
        <f t="shared" si="32"/>
        <v/>
      </c>
      <c r="CI34" s="43" t="str">
        <f t="shared" si="33"/>
        <v/>
      </c>
      <c r="CJ34" s="44"/>
      <c r="CK34" s="40"/>
      <c r="CL34" s="41"/>
      <c r="CM34" s="42" t="str">
        <f t="shared" si="34"/>
        <v/>
      </c>
      <c r="CN34" s="43" t="str">
        <f t="shared" si="35"/>
        <v/>
      </c>
      <c r="CO34" s="44"/>
      <c r="CP34" s="40"/>
      <c r="CQ34" s="41"/>
      <c r="CR34" s="42" t="str">
        <f t="shared" si="36"/>
        <v/>
      </c>
      <c r="CS34" s="43" t="str">
        <f t="shared" si="37"/>
        <v/>
      </c>
      <c r="CT34" s="44"/>
      <c r="CU34" s="40"/>
      <c r="CV34" s="41"/>
      <c r="CW34" s="42" t="str">
        <f t="shared" si="38"/>
        <v/>
      </c>
      <c r="CX34" s="43" t="str">
        <f t="shared" si="39"/>
        <v/>
      </c>
      <c r="CY34" s="44"/>
      <c r="CZ34" s="40"/>
      <c r="DA34" s="41"/>
      <c r="DB34" s="42" t="str">
        <f t="shared" si="40"/>
        <v/>
      </c>
      <c r="DC34" s="43" t="str">
        <f t="shared" si="41"/>
        <v/>
      </c>
      <c r="DD34" s="44"/>
      <c r="DE34" s="40"/>
      <c r="DF34" s="41"/>
      <c r="DG34" s="42" t="str">
        <f t="shared" si="42"/>
        <v/>
      </c>
      <c r="DH34" s="43" t="str">
        <f t="shared" si="43"/>
        <v/>
      </c>
      <c r="DI34" s="44"/>
      <c r="DJ34" s="40"/>
      <c r="DK34" s="41"/>
      <c r="DL34" s="42" t="str">
        <f t="shared" si="44"/>
        <v/>
      </c>
      <c r="DM34" s="43" t="str">
        <f t="shared" si="45"/>
        <v/>
      </c>
      <c r="DN34" s="44"/>
      <c r="DO34" s="40"/>
      <c r="DP34" s="41"/>
      <c r="DQ34" s="42" t="str">
        <f t="shared" si="46"/>
        <v/>
      </c>
      <c r="DR34" s="43" t="str">
        <f t="shared" si="47"/>
        <v/>
      </c>
      <c r="DS34" s="44"/>
      <c r="DT34" s="40"/>
      <c r="DU34" s="41"/>
      <c r="DV34" s="42" t="str">
        <f t="shared" si="48"/>
        <v/>
      </c>
      <c r="DW34" s="43" t="str">
        <f t="shared" si="49"/>
        <v/>
      </c>
      <c r="DX34" s="44"/>
      <c r="DY34" s="40"/>
      <c r="DZ34" s="41"/>
      <c r="EA34" s="42" t="str">
        <f t="shared" si="50"/>
        <v/>
      </c>
      <c r="EB34" s="43" t="str">
        <f t="shared" si="51"/>
        <v/>
      </c>
      <c r="EC34" s="44"/>
      <c r="ED34" s="40"/>
      <c r="EE34" s="41"/>
      <c r="EF34" s="42" t="str">
        <f t="shared" si="52"/>
        <v/>
      </c>
      <c r="EG34" s="43" t="str">
        <f t="shared" si="53"/>
        <v/>
      </c>
      <c r="EH34" s="44"/>
      <c r="EI34" s="40"/>
      <c r="EJ34" s="41"/>
      <c r="EK34" s="42" t="str">
        <f t="shared" si="54"/>
        <v/>
      </c>
      <c r="EL34" s="43" t="str">
        <f t="shared" si="55"/>
        <v/>
      </c>
      <c r="EM34" s="44"/>
      <c r="EN34" s="40"/>
      <c r="EO34" s="41"/>
      <c r="EP34" s="42" t="str">
        <f t="shared" si="56"/>
        <v/>
      </c>
      <c r="EQ34" s="43" t="str">
        <f t="shared" si="57"/>
        <v/>
      </c>
      <c r="ER34" s="44"/>
      <c r="ES34" s="40"/>
      <c r="ET34" s="41"/>
      <c r="EU34" s="42" t="str">
        <f t="shared" si="58"/>
        <v/>
      </c>
      <c r="EV34" s="43" t="str">
        <f t="shared" si="59"/>
        <v/>
      </c>
      <c r="EW34" s="44"/>
    </row>
    <row r="35" spans="1:153" ht="21.75" customHeight="1">
      <c r="A35" s="98" t="s">
        <v>120</v>
      </c>
      <c r="B35" s="98"/>
      <c r="C35" s="98"/>
      <c r="D35" s="99">
        <f>COUNTIF(F4:F34,"○")</f>
        <v>0</v>
      </c>
      <c r="E35" s="99"/>
      <c r="F35" s="99"/>
      <c r="G35" s="99"/>
      <c r="H35" s="99"/>
      <c r="I35" s="99">
        <f>COUNTIF(K4:K34,"○")</f>
        <v>0</v>
      </c>
      <c r="J35" s="99"/>
      <c r="K35" s="99"/>
      <c r="L35" s="99"/>
      <c r="M35" s="99"/>
      <c r="N35" s="99">
        <f>COUNTIF(P4:P34,"○")</f>
        <v>0</v>
      </c>
      <c r="O35" s="99"/>
      <c r="P35" s="99"/>
      <c r="Q35" s="99"/>
      <c r="R35" s="99"/>
      <c r="S35" s="99">
        <f>COUNTIF(U4:U34,"○")</f>
        <v>0</v>
      </c>
      <c r="T35" s="99"/>
      <c r="U35" s="99"/>
      <c r="V35" s="99"/>
      <c r="W35" s="99"/>
      <c r="X35" s="99">
        <f>COUNTIF(Z4:Z34,"○")</f>
        <v>0</v>
      </c>
      <c r="Y35" s="99"/>
      <c r="Z35" s="99"/>
      <c r="AA35" s="99"/>
      <c r="AB35" s="99"/>
      <c r="AC35" s="99">
        <f>COUNTIF(AE4:AE34,"○")</f>
        <v>0</v>
      </c>
      <c r="AD35" s="99"/>
      <c r="AE35" s="99"/>
      <c r="AF35" s="99"/>
      <c r="AG35" s="99"/>
      <c r="AH35" s="99">
        <f>COUNTIF(AJ4:AJ34,"○")</f>
        <v>0</v>
      </c>
      <c r="AI35" s="99"/>
      <c r="AJ35" s="99"/>
      <c r="AK35" s="99"/>
      <c r="AL35" s="99"/>
      <c r="AM35" s="99">
        <f>COUNTIF(AO4:AO34,"○")</f>
        <v>0</v>
      </c>
      <c r="AN35" s="99"/>
      <c r="AO35" s="99"/>
      <c r="AP35" s="99"/>
      <c r="AQ35" s="99"/>
      <c r="AR35" s="99">
        <f>COUNTIF(AT4:AT34,"○")</f>
        <v>0</v>
      </c>
      <c r="AS35" s="99"/>
      <c r="AT35" s="99"/>
      <c r="AU35" s="99"/>
      <c r="AV35" s="99"/>
      <c r="AW35" s="99">
        <f>COUNTIF(AY4:AY34,"○")</f>
        <v>0</v>
      </c>
      <c r="AX35" s="99"/>
      <c r="AY35" s="99"/>
      <c r="AZ35" s="99"/>
      <c r="BA35" s="99"/>
      <c r="BB35" s="99">
        <f>COUNTIF(BD4:BD34,"○")</f>
        <v>0</v>
      </c>
      <c r="BC35" s="99"/>
      <c r="BD35" s="99"/>
      <c r="BE35" s="99"/>
      <c r="BF35" s="99"/>
      <c r="BG35" s="99">
        <f>COUNTIF(BI4:BI34,"○")</f>
        <v>0</v>
      </c>
      <c r="BH35" s="99"/>
      <c r="BI35" s="99"/>
      <c r="BJ35" s="99"/>
      <c r="BK35" s="99"/>
      <c r="BL35" s="99">
        <f>COUNTIF(BN4:BN34,"○")</f>
        <v>0</v>
      </c>
      <c r="BM35" s="99"/>
      <c r="BN35" s="99"/>
      <c r="BO35" s="99"/>
      <c r="BP35" s="99"/>
      <c r="BQ35" s="99">
        <f>COUNTIF(BS4:BS34,"○")</f>
        <v>0</v>
      </c>
      <c r="BR35" s="99"/>
      <c r="BS35" s="99"/>
      <c r="BT35" s="99"/>
      <c r="BU35" s="99"/>
      <c r="BV35" s="99">
        <f>COUNTIF(BX4:BX34,"○")</f>
        <v>0</v>
      </c>
      <c r="BW35" s="99"/>
      <c r="BX35" s="99"/>
      <c r="BY35" s="99"/>
      <c r="BZ35" s="99"/>
      <c r="CA35" s="99">
        <f>COUNTIF(CC4:CC34,"○")</f>
        <v>0</v>
      </c>
      <c r="CB35" s="99"/>
      <c r="CC35" s="99"/>
      <c r="CD35" s="99"/>
      <c r="CE35" s="99"/>
      <c r="CF35" s="99">
        <f>COUNTIF(CH4:CH34,"○")</f>
        <v>0</v>
      </c>
      <c r="CG35" s="99"/>
      <c r="CH35" s="99"/>
      <c r="CI35" s="99"/>
      <c r="CJ35" s="99"/>
      <c r="CK35" s="99">
        <f>COUNTIF(CM4:CM34,"○")</f>
        <v>0</v>
      </c>
      <c r="CL35" s="99"/>
      <c r="CM35" s="99"/>
      <c r="CN35" s="99"/>
      <c r="CO35" s="99"/>
      <c r="CP35" s="99">
        <f>COUNTIF(CR4:CR34,"○")</f>
        <v>0</v>
      </c>
      <c r="CQ35" s="99"/>
      <c r="CR35" s="99"/>
      <c r="CS35" s="99"/>
      <c r="CT35" s="99"/>
      <c r="CU35" s="99">
        <f>COUNTIF(CW4:CW34,"○")</f>
        <v>0</v>
      </c>
      <c r="CV35" s="99"/>
      <c r="CW35" s="99"/>
      <c r="CX35" s="99"/>
      <c r="CY35" s="99"/>
      <c r="CZ35" s="99">
        <f>COUNTIF(DB4:DB34,"○")</f>
        <v>0</v>
      </c>
      <c r="DA35" s="99"/>
      <c r="DB35" s="99"/>
      <c r="DC35" s="99"/>
      <c r="DD35" s="99"/>
      <c r="DE35" s="99">
        <f>COUNTIF(DG4:DG34,"○")</f>
        <v>0</v>
      </c>
      <c r="DF35" s="99"/>
      <c r="DG35" s="99"/>
      <c r="DH35" s="99"/>
      <c r="DI35" s="99"/>
      <c r="DJ35" s="99">
        <f>COUNTIF(DL4:DL34,"○")</f>
        <v>0</v>
      </c>
      <c r="DK35" s="99"/>
      <c r="DL35" s="99"/>
      <c r="DM35" s="99"/>
      <c r="DN35" s="99"/>
      <c r="DO35" s="99">
        <f>COUNTIF(DQ4:DQ34,"○")</f>
        <v>0</v>
      </c>
      <c r="DP35" s="99"/>
      <c r="DQ35" s="99"/>
      <c r="DR35" s="99"/>
      <c r="DS35" s="99"/>
      <c r="DT35" s="99">
        <f>COUNTIF(DV4:DV34,"○")</f>
        <v>0</v>
      </c>
      <c r="DU35" s="99"/>
      <c r="DV35" s="99"/>
      <c r="DW35" s="99"/>
      <c r="DX35" s="99"/>
      <c r="DY35" s="99">
        <f>COUNTIF(EA4:EA34,"○")</f>
        <v>0</v>
      </c>
      <c r="DZ35" s="99"/>
      <c r="EA35" s="99"/>
      <c r="EB35" s="99"/>
      <c r="EC35" s="99"/>
      <c r="ED35" s="99">
        <f>COUNTIF(EF4:EF34,"○")</f>
        <v>0</v>
      </c>
      <c r="EE35" s="99"/>
      <c r="EF35" s="99"/>
      <c r="EG35" s="99"/>
      <c r="EH35" s="99"/>
      <c r="EI35" s="99">
        <f>COUNTIF(EK4:EK34,"○")</f>
        <v>0</v>
      </c>
      <c r="EJ35" s="99"/>
      <c r="EK35" s="99"/>
      <c r="EL35" s="99"/>
      <c r="EM35" s="99"/>
      <c r="EN35" s="99">
        <f>COUNTIF(EP4:EP34,"○")</f>
        <v>0</v>
      </c>
      <c r="EO35" s="99"/>
      <c r="EP35" s="99"/>
      <c r="EQ35" s="99"/>
      <c r="ER35" s="99"/>
      <c r="ES35" s="99">
        <f>COUNTIF(EU4:EU34,"○")</f>
        <v>0</v>
      </c>
      <c r="ET35" s="99"/>
      <c r="EU35" s="99"/>
      <c r="EV35" s="99"/>
      <c r="EW35" s="99"/>
    </row>
    <row r="36" spans="1:153" ht="21.75" customHeight="1">
      <c r="A36" s="100" t="s">
        <v>121</v>
      </c>
      <c r="B36" s="100"/>
      <c r="C36" s="100"/>
      <c r="D36" s="101">
        <f>COUNTIF(G4:G34,"○")</f>
        <v>0</v>
      </c>
      <c r="E36" s="101"/>
      <c r="F36" s="101"/>
      <c r="G36" s="101"/>
      <c r="H36" s="101"/>
      <c r="I36" s="101">
        <f>COUNTIF(L4:L34,"○")</f>
        <v>0</v>
      </c>
      <c r="J36" s="101"/>
      <c r="K36" s="101"/>
      <c r="L36" s="101"/>
      <c r="M36" s="101"/>
      <c r="N36" s="101">
        <f>COUNTIF(Q4:Q34,"○")</f>
        <v>0</v>
      </c>
      <c r="O36" s="101"/>
      <c r="P36" s="101"/>
      <c r="Q36" s="101"/>
      <c r="R36" s="101"/>
      <c r="S36" s="101">
        <f>COUNTIF(V4:V34,"○")</f>
        <v>0</v>
      </c>
      <c r="T36" s="101"/>
      <c r="U36" s="101"/>
      <c r="V36" s="101"/>
      <c r="W36" s="101"/>
      <c r="X36" s="101">
        <f>COUNTIF(AA4:AA34,"○")</f>
        <v>0</v>
      </c>
      <c r="Y36" s="101"/>
      <c r="Z36" s="101"/>
      <c r="AA36" s="101"/>
      <c r="AB36" s="101"/>
      <c r="AC36" s="101">
        <f>COUNTIF(AF4:AF34,"○")</f>
        <v>0</v>
      </c>
      <c r="AD36" s="101"/>
      <c r="AE36" s="101"/>
      <c r="AF36" s="101"/>
      <c r="AG36" s="101"/>
      <c r="AH36" s="101">
        <f>COUNTIF(AK4:AK34,"○")</f>
        <v>0</v>
      </c>
      <c r="AI36" s="101"/>
      <c r="AJ36" s="101"/>
      <c r="AK36" s="101"/>
      <c r="AL36" s="101"/>
      <c r="AM36" s="101">
        <f>COUNTIF(AP4:AP34,"○")</f>
        <v>0</v>
      </c>
      <c r="AN36" s="101"/>
      <c r="AO36" s="101"/>
      <c r="AP36" s="101"/>
      <c r="AQ36" s="101"/>
      <c r="AR36" s="101">
        <f>COUNTIF(AU4:AU34,"○")</f>
        <v>0</v>
      </c>
      <c r="AS36" s="101"/>
      <c r="AT36" s="101"/>
      <c r="AU36" s="101"/>
      <c r="AV36" s="101"/>
      <c r="AW36" s="101">
        <f>COUNTIF(AZ4:AZ34,"○")</f>
        <v>0</v>
      </c>
      <c r="AX36" s="101"/>
      <c r="AY36" s="101"/>
      <c r="AZ36" s="101"/>
      <c r="BA36" s="101"/>
      <c r="BB36" s="101">
        <f>COUNTIF(BE4:BE34,"○")</f>
        <v>0</v>
      </c>
      <c r="BC36" s="101"/>
      <c r="BD36" s="101"/>
      <c r="BE36" s="101"/>
      <c r="BF36" s="101"/>
      <c r="BG36" s="101">
        <f>COUNTIF(BJ4:BJ34,"○")</f>
        <v>0</v>
      </c>
      <c r="BH36" s="101"/>
      <c r="BI36" s="101"/>
      <c r="BJ36" s="101"/>
      <c r="BK36" s="101"/>
      <c r="BL36" s="101">
        <f>COUNTIF(BO4:BO34,"○")</f>
        <v>0</v>
      </c>
      <c r="BM36" s="101"/>
      <c r="BN36" s="101"/>
      <c r="BO36" s="101"/>
      <c r="BP36" s="101"/>
      <c r="BQ36" s="101">
        <f>COUNTIF(BT4:BT34,"○")</f>
        <v>0</v>
      </c>
      <c r="BR36" s="101"/>
      <c r="BS36" s="101"/>
      <c r="BT36" s="101"/>
      <c r="BU36" s="101"/>
      <c r="BV36" s="101">
        <f>COUNTIF(BY4:BY34,"○")</f>
        <v>0</v>
      </c>
      <c r="BW36" s="101"/>
      <c r="BX36" s="101"/>
      <c r="BY36" s="101"/>
      <c r="BZ36" s="101"/>
      <c r="CA36" s="101">
        <f>COUNTIF(CD4:CD34,"○")</f>
        <v>0</v>
      </c>
      <c r="CB36" s="101"/>
      <c r="CC36" s="101"/>
      <c r="CD36" s="101"/>
      <c r="CE36" s="101"/>
      <c r="CF36" s="101">
        <f>COUNTIF(CI4:CI34,"○")</f>
        <v>0</v>
      </c>
      <c r="CG36" s="101"/>
      <c r="CH36" s="101"/>
      <c r="CI36" s="101"/>
      <c r="CJ36" s="101"/>
      <c r="CK36" s="101">
        <f>COUNTIF(CN4:CN34,"○")</f>
        <v>0</v>
      </c>
      <c r="CL36" s="101"/>
      <c r="CM36" s="101"/>
      <c r="CN36" s="101"/>
      <c r="CO36" s="101"/>
      <c r="CP36" s="101">
        <f>COUNTIF(CS4:CS34,"○")</f>
        <v>0</v>
      </c>
      <c r="CQ36" s="101"/>
      <c r="CR36" s="101"/>
      <c r="CS36" s="101"/>
      <c r="CT36" s="101"/>
      <c r="CU36" s="101">
        <f>COUNTIF(CX4:CX34,"○")</f>
        <v>0</v>
      </c>
      <c r="CV36" s="101"/>
      <c r="CW36" s="101"/>
      <c r="CX36" s="101"/>
      <c r="CY36" s="101"/>
      <c r="CZ36" s="101">
        <f>COUNTIF(DC4:DC34,"○")</f>
        <v>0</v>
      </c>
      <c r="DA36" s="101"/>
      <c r="DB36" s="101"/>
      <c r="DC36" s="101"/>
      <c r="DD36" s="101"/>
      <c r="DE36" s="101">
        <f>COUNTIF(DH4:DH34,"○")</f>
        <v>0</v>
      </c>
      <c r="DF36" s="101"/>
      <c r="DG36" s="101"/>
      <c r="DH36" s="101"/>
      <c r="DI36" s="101"/>
      <c r="DJ36" s="101">
        <f>COUNTIF(DM4:DM34,"○")</f>
        <v>0</v>
      </c>
      <c r="DK36" s="101"/>
      <c r="DL36" s="101"/>
      <c r="DM36" s="101"/>
      <c r="DN36" s="101"/>
      <c r="DO36" s="101">
        <f>COUNTIF(DR4:DR34,"○")</f>
        <v>0</v>
      </c>
      <c r="DP36" s="101"/>
      <c r="DQ36" s="101"/>
      <c r="DR36" s="101"/>
      <c r="DS36" s="101"/>
      <c r="DT36" s="101">
        <f>COUNTIF(DW4:DW34,"○")</f>
        <v>0</v>
      </c>
      <c r="DU36" s="101"/>
      <c r="DV36" s="101"/>
      <c r="DW36" s="101"/>
      <c r="DX36" s="101"/>
      <c r="DY36" s="101">
        <f>COUNTIF(EB4:EB34,"○")</f>
        <v>0</v>
      </c>
      <c r="DZ36" s="101"/>
      <c r="EA36" s="101"/>
      <c r="EB36" s="101"/>
      <c r="EC36" s="101"/>
      <c r="ED36" s="101">
        <f>COUNTIF(EG4:EG34,"○")</f>
        <v>0</v>
      </c>
      <c r="EE36" s="101"/>
      <c r="EF36" s="101"/>
      <c r="EG36" s="101"/>
      <c r="EH36" s="101"/>
      <c r="EI36" s="101">
        <f>COUNTIF(EL4:EL34,"○")</f>
        <v>0</v>
      </c>
      <c r="EJ36" s="101"/>
      <c r="EK36" s="101"/>
      <c r="EL36" s="101"/>
      <c r="EM36" s="101"/>
      <c r="EN36" s="101">
        <f>COUNTIF(EQ4:EQ34,"○")</f>
        <v>0</v>
      </c>
      <c r="EO36" s="101"/>
      <c r="EP36" s="101"/>
      <c r="EQ36" s="101"/>
      <c r="ER36" s="101"/>
      <c r="ES36" s="101">
        <f>COUNTIF(EV4:EV34,"○")</f>
        <v>0</v>
      </c>
      <c r="ET36" s="101"/>
      <c r="EU36" s="101"/>
      <c r="EV36" s="101"/>
      <c r="EW36" s="101"/>
    </row>
    <row r="37" spans="1:153" ht="21.75" customHeight="1">
      <c r="A37" s="102" t="s">
        <v>122</v>
      </c>
      <c r="B37" s="102"/>
      <c r="C37" s="102"/>
      <c r="D37" s="103">
        <f>D35+D36</f>
        <v>0</v>
      </c>
      <c r="E37" s="103"/>
      <c r="F37" s="103"/>
      <c r="G37" s="103"/>
      <c r="H37" s="103"/>
      <c r="I37" s="103">
        <f>I35+I36</f>
        <v>0</v>
      </c>
      <c r="J37" s="103"/>
      <c r="K37" s="103"/>
      <c r="L37" s="103"/>
      <c r="M37" s="103"/>
      <c r="N37" s="103">
        <f>N35+N36</f>
        <v>0</v>
      </c>
      <c r="O37" s="103"/>
      <c r="P37" s="103"/>
      <c r="Q37" s="103"/>
      <c r="R37" s="103"/>
      <c r="S37" s="103">
        <f>S35+S36</f>
        <v>0</v>
      </c>
      <c r="T37" s="103"/>
      <c r="U37" s="103"/>
      <c r="V37" s="103"/>
      <c r="W37" s="103"/>
      <c r="X37" s="103">
        <f>X35+X36</f>
        <v>0</v>
      </c>
      <c r="Y37" s="103"/>
      <c r="Z37" s="103"/>
      <c r="AA37" s="103"/>
      <c r="AB37" s="103"/>
      <c r="AC37" s="103">
        <f>AC35+AC36</f>
        <v>0</v>
      </c>
      <c r="AD37" s="103"/>
      <c r="AE37" s="103"/>
      <c r="AF37" s="103"/>
      <c r="AG37" s="103"/>
      <c r="AH37" s="103">
        <f>AH35+AH36</f>
        <v>0</v>
      </c>
      <c r="AI37" s="103"/>
      <c r="AJ37" s="103"/>
      <c r="AK37" s="103"/>
      <c r="AL37" s="103"/>
      <c r="AM37" s="103">
        <f>AM35+AM36</f>
        <v>0</v>
      </c>
      <c r="AN37" s="103"/>
      <c r="AO37" s="103"/>
      <c r="AP37" s="103"/>
      <c r="AQ37" s="103"/>
      <c r="AR37" s="103">
        <f>AR35+AR36</f>
        <v>0</v>
      </c>
      <c r="AS37" s="103"/>
      <c r="AT37" s="103"/>
      <c r="AU37" s="103"/>
      <c r="AV37" s="103"/>
      <c r="AW37" s="103">
        <f>AW35+AW36</f>
        <v>0</v>
      </c>
      <c r="AX37" s="103"/>
      <c r="AY37" s="103"/>
      <c r="AZ37" s="103"/>
      <c r="BA37" s="103"/>
      <c r="BB37" s="103">
        <f>BB35+BB36</f>
        <v>0</v>
      </c>
      <c r="BC37" s="103"/>
      <c r="BD37" s="103"/>
      <c r="BE37" s="103"/>
      <c r="BF37" s="103"/>
      <c r="BG37" s="103">
        <f>BG35+BG36</f>
        <v>0</v>
      </c>
      <c r="BH37" s="103"/>
      <c r="BI37" s="103"/>
      <c r="BJ37" s="103"/>
      <c r="BK37" s="103"/>
      <c r="BL37" s="103">
        <f>BL35+BL36</f>
        <v>0</v>
      </c>
      <c r="BM37" s="103"/>
      <c r="BN37" s="103"/>
      <c r="BO37" s="103"/>
      <c r="BP37" s="103"/>
      <c r="BQ37" s="103">
        <f>BQ35+BQ36</f>
        <v>0</v>
      </c>
      <c r="BR37" s="103"/>
      <c r="BS37" s="103"/>
      <c r="BT37" s="103"/>
      <c r="BU37" s="103"/>
      <c r="BV37" s="103">
        <f>BV35+BV36</f>
        <v>0</v>
      </c>
      <c r="BW37" s="103"/>
      <c r="BX37" s="103"/>
      <c r="BY37" s="103"/>
      <c r="BZ37" s="103"/>
      <c r="CA37" s="103">
        <f>CA35+CA36</f>
        <v>0</v>
      </c>
      <c r="CB37" s="103"/>
      <c r="CC37" s="103"/>
      <c r="CD37" s="103"/>
      <c r="CE37" s="103"/>
      <c r="CF37" s="103">
        <f>CF35+CF36</f>
        <v>0</v>
      </c>
      <c r="CG37" s="103"/>
      <c r="CH37" s="103"/>
      <c r="CI37" s="103"/>
      <c r="CJ37" s="103"/>
      <c r="CK37" s="103">
        <f>CK35+CK36</f>
        <v>0</v>
      </c>
      <c r="CL37" s="103"/>
      <c r="CM37" s="103"/>
      <c r="CN37" s="103"/>
      <c r="CO37" s="103"/>
      <c r="CP37" s="103">
        <f>CP35+CP36</f>
        <v>0</v>
      </c>
      <c r="CQ37" s="103"/>
      <c r="CR37" s="103"/>
      <c r="CS37" s="103"/>
      <c r="CT37" s="103"/>
      <c r="CU37" s="103">
        <f>CU35+CU36</f>
        <v>0</v>
      </c>
      <c r="CV37" s="103"/>
      <c r="CW37" s="103"/>
      <c r="CX37" s="103"/>
      <c r="CY37" s="103"/>
      <c r="CZ37" s="103">
        <f>CZ35+CZ36</f>
        <v>0</v>
      </c>
      <c r="DA37" s="103"/>
      <c r="DB37" s="103"/>
      <c r="DC37" s="103"/>
      <c r="DD37" s="103"/>
      <c r="DE37" s="103">
        <f>DE35+DE36</f>
        <v>0</v>
      </c>
      <c r="DF37" s="103"/>
      <c r="DG37" s="103"/>
      <c r="DH37" s="103"/>
      <c r="DI37" s="103"/>
      <c r="DJ37" s="103">
        <f>DJ35+DJ36</f>
        <v>0</v>
      </c>
      <c r="DK37" s="103"/>
      <c r="DL37" s="103"/>
      <c r="DM37" s="103"/>
      <c r="DN37" s="103"/>
      <c r="DO37" s="103">
        <f>DO35+DO36</f>
        <v>0</v>
      </c>
      <c r="DP37" s="103"/>
      <c r="DQ37" s="103"/>
      <c r="DR37" s="103"/>
      <c r="DS37" s="103"/>
      <c r="DT37" s="103">
        <f>DT35+DT36</f>
        <v>0</v>
      </c>
      <c r="DU37" s="103"/>
      <c r="DV37" s="103"/>
      <c r="DW37" s="103"/>
      <c r="DX37" s="103"/>
      <c r="DY37" s="103">
        <f>DY35+DY36</f>
        <v>0</v>
      </c>
      <c r="DZ37" s="103"/>
      <c r="EA37" s="103"/>
      <c r="EB37" s="103"/>
      <c r="EC37" s="103"/>
      <c r="ED37" s="103">
        <f>ED35+ED36</f>
        <v>0</v>
      </c>
      <c r="EE37" s="103"/>
      <c r="EF37" s="103"/>
      <c r="EG37" s="103"/>
      <c r="EH37" s="103"/>
      <c r="EI37" s="103">
        <f>EI35+EI36</f>
        <v>0</v>
      </c>
      <c r="EJ37" s="103"/>
      <c r="EK37" s="103"/>
      <c r="EL37" s="103"/>
      <c r="EM37" s="103"/>
      <c r="EN37" s="103">
        <f>EN35+EN36</f>
        <v>0</v>
      </c>
      <c r="EO37" s="103"/>
      <c r="EP37" s="103"/>
      <c r="EQ37" s="103"/>
      <c r="ER37" s="103"/>
      <c r="ES37" s="103">
        <f>ES35+ES36</f>
        <v>0</v>
      </c>
      <c r="ET37" s="103"/>
      <c r="EU37" s="103"/>
      <c r="EV37" s="103"/>
      <c r="EW37" s="103"/>
    </row>
    <row r="38" spans="1:153" ht="21.75" customHeight="1">
      <c r="A38" s="104" t="s">
        <v>123</v>
      </c>
      <c r="B38" s="104"/>
      <c r="C38" s="104"/>
      <c r="D38" s="105">
        <f>SUM(H4:H34)</f>
        <v>0</v>
      </c>
      <c r="E38" s="105"/>
      <c r="F38" s="105"/>
      <c r="G38" s="105"/>
      <c r="H38" s="105"/>
      <c r="I38" s="105">
        <f>SUM(M4:M34)</f>
        <v>0</v>
      </c>
      <c r="J38" s="105"/>
      <c r="K38" s="105"/>
      <c r="L38" s="105"/>
      <c r="M38" s="105"/>
      <c r="N38" s="105">
        <f>SUM(R4:R34)</f>
        <v>0</v>
      </c>
      <c r="O38" s="105"/>
      <c r="P38" s="105"/>
      <c r="Q38" s="105"/>
      <c r="R38" s="105"/>
      <c r="S38" s="105">
        <f>SUM(W4:W34)</f>
        <v>0</v>
      </c>
      <c r="T38" s="105"/>
      <c r="U38" s="105"/>
      <c r="V38" s="105"/>
      <c r="W38" s="105"/>
      <c r="X38" s="105">
        <f>SUM(AB4:AB34)</f>
        <v>0</v>
      </c>
      <c r="Y38" s="105"/>
      <c r="Z38" s="105"/>
      <c r="AA38" s="105"/>
      <c r="AB38" s="105"/>
      <c r="AC38" s="105">
        <f>SUM(AG4:AG34)</f>
        <v>0</v>
      </c>
      <c r="AD38" s="105"/>
      <c r="AE38" s="105"/>
      <c r="AF38" s="105"/>
      <c r="AG38" s="105"/>
      <c r="AH38" s="105">
        <f>SUM(AL4:AL34)</f>
        <v>0</v>
      </c>
      <c r="AI38" s="105"/>
      <c r="AJ38" s="105"/>
      <c r="AK38" s="105"/>
      <c r="AL38" s="105"/>
      <c r="AM38" s="105">
        <f>SUM(AQ4:AQ34)</f>
        <v>0</v>
      </c>
      <c r="AN38" s="105"/>
      <c r="AO38" s="105"/>
      <c r="AP38" s="105"/>
      <c r="AQ38" s="105"/>
      <c r="AR38" s="105">
        <f>SUM(AV4:AV34)</f>
        <v>0</v>
      </c>
      <c r="AS38" s="105"/>
      <c r="AT38" s="105"/>
      <c r="AU38" s="105"/>
      <c r="AV38" s="105"/>
      <c r="AW38" s="105">
        <f>SUM(BA4:BA34)</f>
        <v>0</v>
      </c>
      <c r="AX38" s="105"/>
      <c r="AY38" s="105"/>
      <c r="AZ38" s="105"/>
      <c r="BA38" s="105"/>
      <c r="BB38" s="105">
        <f>SUM(BF4:BF34)</f>
        <v>0</v>
      </c>
      <c r="BC38" s="105"/>
      <c r="BD38" s="105"/>
      <c r="BE38" s="105"/>
      <c r="BF38" s="105"/>
      <c r="BG38" s="105">
        <f>SUM(BK4:BK34)</f>
        <v>0</v>
      </c>
      <c r="BH38" s="105"/>
      <c r="BI38" s="105"/>
      <c r="BJ38" s="105"/>
      <c r="BK38" s="105"/>
      <c r="BL38" s="105">
        <f>SUM(BP4:BP34)</f>
        <v>0</v>
      </c>
      <c r="BM38" s="105"/>
      <c r="BN38" s="105"/>
      <c r="BO38" s="105"/>
      <c r="BP38" s="105"/>
      <c r="BQ38" s="105">
        <f>SUM(BU4:BU34)</f>
        <v>0</v>
      </c>
      <c r="BR38" s="105"/>
      <c r="BS38" s="105"/>
      <c r="BT38" s="105"/>
      <c r="BU38" s="105"/>
      <c r="BV38" s="105">
        <f>SUM(BZ4:BZ34)</f>
        <v>0</v>
      </c>
      <c r="BW38" s="105"/>
      <c r="BX38" s="105"/>
      <c r="BY38" s="105"/>
      <c r="BZ38" s="105"/>
      <c r="CA38" s="105">
        <f>SUM(CE4:CE34)</f>
        <v>0</v>
      </c>
      <c r="CB38" s="105"/>
      <c r="CC38" s="105"/>
      <c r="CD38" s="105"/>
      <c r="CE38" s="105"/>
      <c r="CF38" s="105">
        <f>SUM(CJ4:CJ34)</f>
        <v>0</v>
      </c>
      <c r="CG38" s="105"/>
      <c r="CH38" s="105"/>
      <c r="CI38" s="105"/>
      <c r="CJ38" s="105"/>
      <c r="CK38" s="105">
        <f>SUM(CO4:CO34)</f>
        <v>0</v>
      </c>
      <c r="CL38" s="105"/>
      <c r="CM38" s="105"/>
      <c r="CN38" s="105"/>
      <c r="CO38" s="105"/>
      <c r="CP38" s="105">
        <f>SUM(CT4:CT34)</f>
        <v>0</v>
      </c>
      <c r="CQ38" s="105"/>
      <c r="CR38" s="105"/>
      <c r="CS38" s="105"/>
      <c r="CT38" s="105"/>
      <c r="CU38" s="105">
        <f>SUM(CY4:CY34)</f>
        <v>0</v>
      </c>
      <c r="CV38" s="105"/>
      <c r="CW38" s="105"/>
      <c r="CX38" s="105"/>
      <c r="CY38" s="105"/>
      <c r="CZ38" s="105">
        <f>SUM(DD4:DD34)</f>
        <v>0</v>
      </c>
      <c r="DA38" s="105"/>
      <c r="DB38" s="105"/>
      <c r="DC38" s="105"/>
      <c r="DD38" s="105"/>
      <c r="DE38" s="105">
        <f>SUM(DI4:DI34)</f>
        <v>0</v>
      </c>
      <c r="DF38" s="105"/>
      <c r="DG38" s="105"/>
      <c r="DH38" s="105"/>
      <c r="DI38" s="105"/>
      <c r="DJ38" s="105">
        <f>SUM(DN4:DN34)</f>
        <v>0</v>
      </c>
      <c r="DK38" s="105"/>
      <c r="DL38" s="105"/>
      <c r="DM38" s="105"/>
      <c r="DN38" s="105"/>
      <c r="DO38" s="105">
        <f>SUM(DS4:DS34)</f>
        <v>0</v>
      </c>
      <c r="DP38" s="105"/>
      <c r="DQ38" s="105"/>
      <c r="DR38" s="105"/>
      <c r="DS38" s="105"/>
      <c r="DT38" s="105">
        <f>SUM(DX4:DX34)</f>
        <v>0</v>
      </c>
      <c r="DU38" s="105"/>
      <c r="DV38" s="105"/>
      <c r="DW38" s="105"/>
      <c r="DX38" s="105"/>
      <c r="DY38" s="105">
        <f>SUM(EC4:EC34)</f>
        <v>0</v>
      </c>
      <c r="DZ38" s="105"/>
      <c r="EA38" s="105"/>
      <c r="EB38" s="105"/>
      <c r="EC38" s="105"/>
      <c r="ED38" s="105">
        <f>SUM(EH4:EH34)</f>
        <v>0</v>
      </c>
      <c r="EE38" s="105"/>
      <c r="EF38" s="105"/>
      <c r="EG38" s="105"/>
      <c r="EH38" s="105"/>
      <c r="EI38" s="105">
        <f>SUM(EM4:EM34)</f>
        <v>0</v>
      </c>
      <c r="EJ38" s="105"/>
      <c r="EK38" s="105"/>
      <c r="EL38" s="105"/>
      <c r="EM38" s="105"/>
      <c r="EN38" s="105">
        <f>SUM(ER4:ER34)</f>
        <v>0</v>
      </c>
      <c r="EO38" s="105"/>
      <c r="EP38" s="105"/>
      <c r="EQ38" s="105"/>
      <c r="ER38" s="105"/>
      <c r="ES38" s="105">
        <f>SUM(EW4:EW34)</f>
        <v>0</v>
      </c>
      <c r="ET38" s="105"/>
      <c r="EU38" s="105"/>
      <c r="EV38" s="105"/>
      <c r="EW38" s="105"/>
    </row>
    <row r="39" spans="1:153" ht="21.75" customHeight="1">
      <c r="A39" s="106" t="s">
        <v>105</v>
      </c>
      <c r="B39" s="106"/>
      <c r="C39" s="106"/>
      <c r="D39" s="107">
        <f>COUNTIF(D4:D34,"有給")</f>
        <v>0</v>
      </c>
      <c r="E39" s="107"/>
      <c r="F39" s="107"/>
      <c r="G39" s="107"/>
      <c r="H39" s="107"/>
      <c r="I39" s="107">
        <f>COUNTIF(I4:I34,"有給")</f>
        <v>0</v>
      </c>
      <c r="J39" s="107"/>
      <c r="K39" s="107"/>
      <c r="L39" s="107"/>
      <c r="M39" s="107"/>
      <c r="N39" s="107">
        <f>COUNTIF(N4:N34,"有給")</f>
        <v>0</v>
      </c>
      <c r="O39" s="107"/>
      <c r="P39" s="107"/>
      <c r="Q39" s="107"/>
      <c r="R39" s="107"/>
      <c r="S39" s="107">
        <f>COUNTIF(S4:S34,"有給")</f>
        <v>0</v>
      </c>
      <c r="T39" s="107"/>
      <c r="U39" s="107"/>
      <c r="V39" s="107"/>
      <c r="W39" s="107"/>
      <c r="X39" s="107">
        <f>COUNTIF(X4:X34,"有給")</f>
        <v>0</v>
      </c>
      <c r="Y39" s="107"/>
      <c r="Z39" s="107"/>
      <c r="AA39" s="107"/>
      <c r="AB39" s="107"/>
      <c r="AC39" s="107">
        <f>COUNTIF(AC4:AC34,"有給")</f>
        <v>0</v>
      </c>
      <c r="AD39" s="107"/>
      <c r="AE39" s="107"/>
      <c r="AF39" s="107"/>
      <c r="AG39" s="107"/>
      <c r="AH39" s="107">
        <f>COUNTIF(AH4:AH34,"有給")</f>
        <v>0</v>
      </c>
      <c r="AI39" s="107"/>
      <c r="AJ39" s="107"/>
      <c r="AK39" s="107"/>
      <c r="AL39" s="107"/>
      <c r="AM39" s="107">
        <f>COUNTIF(AM4:AM34,"有給")</f>
        <v>0</v>
      </c>
      <c r="AN39" s="107"/>
      <c r="AO39" s="107"/>
      <c r="AP39" s="107"/>
      <c r="AQ39" s="107"/>
      <c r="AR39" s="107">
        <f>COUNTIF(AR4:AR34,"有給")</f>
        <v>0</v>
      </c>
      <c r="AS39" s="107"/>
      <c r="AT39" s="107"/>
      <c r="AU39" s="107"/>
      <c r="AV39" s="107"/>
      <c r="AW39" s="107">
        <f>COUNTIF(AW4:AW34,"有給")</f>
        <v>0</v>
      </c>
      <c r="AX39" s="107"/>
      <c r="AY39" s="107"/>
      <c r="AZ39" s="107"/>
      <c r="BA39" s="107"/>
      <c r="BB39" s="107">
        <f>COUNTIF(BB4:BB34,"有給")</f>
        <v>0</v>
      </c>
      <c r="BC39" s="107"/>
      <c r="BD39" s="107"/>
      <c r="BE39" s="107"/>
      <c r="BF39" s="107"/>
      <c r="BG39" s="107">
        <f>COUNTIF(BG4:BG34,"有給")</f>
        <v>0</v>
      </c>
      <c r="BH39" s="107"/>
      <c r="BI39" s="107"/>
      <c r="BJ39" s="107"/>
      <c r="BK39" s="107"/>
      <c r="BL39" s="107">
        <f>COUNTIF(BL4:BL34,"有給")</f>
        <v>0</v>
      </c>
      <c r="BM39" s="107"/>
      <c r="BN39" s="107"/>
      <c r="BO39" s="107"/>
      <c r="BP39" s="107"/>
      <c r="BQ39" s="107">
        <f>COUNTIF(BQ4:BQ34,"有給")</f>
        <v>0</v>
      </c>
      <c r="BR39" s="107"/>
      <c r="BS39" s="107"/>
      <c r="BT39" s="107"/>
      <c r="BU39" s="107"/>
      <c r="BV39" s="107">
        <f>COUNTIF(BV4:BV34,"有給")</f>
        <v>0</v>
      </c>
      <c r="BW39" s="107"/>
      <c r="BX39" s="107"/>
      <c r="BY39" s="107"/>
      <c r="BZ39" s="107"/>
      <c r="CA39" s="107">
        <f>COUNTIF(CA4:CA34,"有給")</f>
        <v>0</v>
      </c>
      <c r="CB39" s="107"/>
      <c r="CC39" s="107"/>
      <c r="CD39" s="107"/>
      <c r="CE39" s="107"/>
      <c r="CF39" s="107">
        <f>COUNTIF(CF4:CF34,"有給")</f>
        <v>0</v>
      </c>
      <c r="CG39" s="107"/>
      <c r="CH39" s="107"/>
      <c r="CI39" s="107"/>
      <c r="CJ39" s="107"/>
      <c r="CK39" s="107">
        <f>COUNTIF(CK4:CK34,"有給")</f>
        <v>0</v>
      </c>
      <c r="CL39" s="107"/>
      <c r="CM39" s="107"/>
      <c r="CN39" s="107"/>
      <c r="CO39" s="107"/>
      <c r="CP39" s="107">
        <f>COUNTIF(CP4:CP34,"有給")</f>
        <v>0</v>
      </c>
      <c r="CQ39" s="107"/>
      <c r="CR39" s="107"/>
      <c r="CS39" s="107"/>
      <c r="CT39" s="107"/>
      <c r="CU39" s="107">
        <f>COUNTIF(CU4:CU34,"有給")</f>
        <v>0</v>
      </c>
      <c r="CV39" s="107"/>
      <c r="CW39" s="107"/>
      <c r="CX39" s="107"/>
      <c r="CY39" s="107"/>
      <c r="CZ39" s="107">
        <f>COUNTIF(CZ4:CZ34,"有給")</f>
        <v>0</v>
      </c>
      <c r="DA39" s="107"/>
      <c r="DB39" s="107"/>
      <c r="DC39" s="107"/>
      <c r="DD39" s="107"/>
      <c r="DE39" s="107">
        <f>COUNTIF(DE4:DE34,"有給")</f>
        <v>0</v>
      </c>
      <c r="DF39" s="107"/>
      <c r="DG39" s="107"/>
      <c r="DH39" s="107"/>
      <c r="DI39" s="107"/>
      <c r="DJ39" s="107">
        <f>COUNTIF(DJ4:DJ34,"有給")</f>
        <v>0</v>
      </c>
      <c r="DK39" s="107"/>
      <c r="DL39" s="107"/>
      <c r="DM39" s="107"/>
      <c r="DN39" s="107"/>
      <c r="DO39" s="107">
        <f>COUNTIF(DO4:DO34,"有給")</f>
        <v>0</v>
      </c>
      <c r="DP39" s="107"/>
      <c r="DQ39" s="107"/>
      <c r="DR39" s="107"/>
      <c r="DS39" s="107"/>
      <c r="DT39" s="107">
        <f>COUNTIF(DT4:DT34,"有給")</f>
        <v>0</v>
      </c>
      <c r="DU39" s="107"/>
      <c r="DV39" s="107"/>
      <c r="DW39" s="107"/>
      <c r="DX39" s="107"/>
      <c r="DY39" s="107">
        <f>COUNTIF(DY4:DY34,"有給")</f>
        <v>0</v>
      </c>
      <c r="DZ39" s="107"/>
      <c r="EA39" s="107"/>
      <c r="EB39" s="107"/>
      <c r="EC39" s="107"/>
      <c r="ED39" s="107">
        <f>COUNTIF(ED4:ED34,"有給")</f>
        <v>0</v>
      </c>
      <c r="EE39" s="107"/>
      <c r="EF39" s="107"/>
      <c r="EG39" s="107"/>
      <c r="EH39" s="107"/>
      <c r="EI39" s="107">
        <f>COUNTIF(EI4:EI34,"有給")</f>
        <v>0</v>
      </c>
      <c r="EJ39" s="107"/>
      <c r="EK39" s="107"/>
      <c r="EL39" s="107"/>
      <c r="EM39" s="107"/>
      <c r="EN39" s="107">
        <f>COUNTIF(EN4:EN34,"有給")</f>
        <v>0</v>
      </c>
      <c r="EO39" s="107"/>
      <c r="EP39" s="107"/>
      <c r="EQ39" s="107"/>
      <c r="ER39" s="107"/>
      <c r="ES39" s="107">
        <f>COUNTIF(ES4:ES34,"有給")</f>
        <v>0</v>
      </c>
      <c r="ET39" s="107"/>
      <c r="EU39" s="107"/>
      <c r="EV39" s="107"/>
      <c r="EW39" s="107"/>
    </row>
    <row r="40" spans="1:153" ht="21.75" customHeight="1">
      <c r="A40" s="108" t="s">
        <v>106</v>
      </c>
      <c r="B40" s="108"/>
      <c r="C40" s="108"/>
      <c r="D40" s="109">
        <f>COUNTIF(D4:D34,"休業")</f>
        <v>0</v>
      </c>
      <c r="E40" s="109"/>
      <c r="F40" s="109"/>
      <c r="G40" s="109"/>
      <c r="H40" s="109"/>
      <c r="I40" s="109">
        <f>COUNTIF(I4:I34,"休業")</f>
        <v>0</v>
      </c>
      <c r="J40" s="109"/>
      <c r="K40" s="109"/>
      <c r="L40" s="109"/>
      <c r="M40" s="109"/>
      <c r="N40" s="109">
        <f>COUNTIF(N4:N34,"休業")</f>
        <v>0</v>
      </c>
      <c r="O40" s="109"/>
      <c r="P40" s="109"/>
      <c r="Q40" s="109"/>
      <c r="R40" s="109"/>
      <c r="S40" s="109">
        <f>COUNTIF(S4:S34,"休業")</f>
        <v>0</v>
      </c>
      <c r="T40" s="109"/>
      <c r="U40" s="109"/>
      <c r="V40" s="109"/>
      <c r="W40" s="109"/>
      <c r="X40" s="109">
        <f>COUNTIF(X4:X34,"休業")</f>
        <v>0</v>
      </c>
      <c r="Y40" s="109"/>
      <c r="Z40" s="109"/>
      <c r="AA40" s="109"/>
      <c r="AB40" s="109"/>
      <c r="AC40" s="109">
        <f>COUNTIF(AC4:AC34,"休業")</f>
        <v>0</v>
      </c>
      <c r="AD40" s="109"/>
      <c r="AE40" s="109"/>
      <c r="AF40" s="109"/>
      <c r="AG40" s="109"/>
      <c r="AH40" s="109">
        <f>COUNTIF(AH4:AH34,"休業")</f>
        <v>0</v>
      </c>
      <c r="AI40" s="109"/>
      <c r="AJ40" s="109"/>
      <c r="AK40" s="109"/>
      <c r="AL40" s="109"/>
      <c r="AM40" s="109">
        <f>COUNTIF(AM4:AM34,"休業")</f>
        <v>0</v>
      </c>
      <c r="AN40" s="109"/>
      <c r="AO40" s="109"/>
      <c r="AP40" s="109"/>
      <c r="AQ40" s="109"/>
      <c r="AR40" s="109">
        <f>COUNTIF(AR4:AR34,"休業")</f>
        <v>0</v>
      </c>
      <c r="AS40" s="109"/>
      <c r="AT40" s="109"/>
      <c r="AU40" s="109"/>
      <c r="AV40" s="109"/>
      <c r="AW40" s="109">
        <f>COUNTIF(AW4:AW34,"休業")</f>
        <v>0</v>
      </c>
      <c r="AX40" s="109"/>
      <c r="AY40" s="109"/>
      <c r="AZ40" s="109"/>
      <c r="BA40" s="109"/>
      <c r="BB40" s="109">
        <f>COUNTIF(BB4:BB34,"休業")</f>
        <v>0</v>
      </c>
      <c r="BC40" s="109"/>
      <c r="BD40" s="109"/>
      <c r="BE40" s="109"/>
      <c r="BF40" s="109"/>
      <c r="BG40" s="109">
        <f>COUNTIF(BG4:BG34,"休業")</f>
        <v>0</v>
      </c>
      <c r="BH40" s="109"/>
      <c r="BI40" s="109"/>
      <c r="BJ40" s="109"/>
      <c r="BK40" s="109"/>
      <c r="BL40" s="109">
        <f>COUNTIF(BL4:BL34,"休業")</f>
        <v>0</v>
      </c>
      <c r="BM40" s="109"/>
      <c r="BN40" s="109"/>
      <c r="BO40" s="109"/>
      <c r="BP40" s="109"/>
      <c r="BQ40" s="109">
        <f>COUNTIF(BQ4:BQ34,"休業")</f>
        <v>0</v>
      </c>
      <c r="BR40" s="109"/>
      <c r="BS40" s="109"/>
      <c r="BT40" s="109"/>
      <c r="BU40" s="109"/>
      <c r="BV40" s="109">
        <f>COUNTIF(BV4:BV34,"休業")</f>
        <v>0</v>
      </c>
      <c r="BW40" s="109"/>
      <c r="BX40" s="109"/>
      <c r="BY40" s="109"/>
      <c r="BZ40" s="109"/>
      <c r="CA40" s="109">
        <f>COUNTIF(CA4:CA34,"休業")</f>
        <v>0</v>
      </c>
      <c r="CB40" s="109"/>
      <c r="CC40" s="109"/>
      <c r="CD40" s="109"/>
      <c r="CE40" s="109"/>
      <c r="CF40" s="109">
        <f>COUNTIF(CF4:CF34,"休業")</f>
        <v>0</v>
      </c>
      <c r="CG40" s="109"/>
      <c r="CH40" s="109"/>
      <c r="CI40" s="109"/>
      <c r="CJ40" s="109"/>
      <c r="CK40" s="109">
        <f>COUNTIF(CK4:CK34,"休業")</f>
        <v>0</v>
      </c>
      <c r="CL40" s="109"/>
      <c r="CM40" s="109"/>
      <c r="CN40" s="109"/>
      <c r="CO40" s="109"/>
      <c r="CP40" s="109">
        <f>COUNTIF(CP4:CP34,"休業")</f>
        <v>0</v>
      </c>
      <c r="CQ40" s="109"/>
      <c r="CR40" s="109"/>
      <c r="CS40" s="109"/>
      <c r="CT40" s="109"/>
      <c r="CU40" s="109">
        <f>COUNTIF(CU4:CU34,"休業")</f>
        <v>0</v>
      </c>
      <c r="CV40" s="109"/>
      <c r="CW40" s="109"/>
      <c r="CX40" s="109"/>
      <c r="CY40" s="109"/>
      <c r="CZ40" s="109">
        <f>COUNTIF(CZ4:CZ34,"休業")</f>
        <v>0</v>
      </c>
      <c r="DA40" s="109"/>
      <c r="DB40" s="109"/>
      <c r="DC40" s="109"/>
      <c r="DD40" s="109"/>
      <c r="DE40" s="109">
        <f>COUNTIF(DE4:DE34,"休業")</f>
        <v>0</v>
      </c>
      <c r="DF40" s="109"/>
      <c r="DG40" s="109"/>
      <c r="DH40" s="109"/>
      <c r="DI40" s="109"/>
      <c r="DJ40" s="109">
        <f>COUNTIF(DJ4:DJ34,"休業")</f>
        <v>0</v>
      </c>
      <c r="DK40" s="109"/>
      <c r="DL40" s="109"/>
      <c r="DM40" s="109"/>
      <c r="DN40" s="109"/>
      <c r="DO40" s="109">
        <f>COUNTIF(DO4:DO34,"休業")</f>
        <v>0</v>
      </c>
      <c r="DP40" s="109"/>
      <c r="DQ40" s="109"/>
      <c r="DR40" s="109"/>
      <c r="DS40" s="109"/>
      <c r="DT40" s="109">
        <f>COUNTIF(DT4:DT34,"休業")</f>
        <v>0</v>
      </c>
      <c r="DU40" s="109"/>
      <c r="DV40" s="109"/>
      <c r="DW40" s="109"/>
      <c r="DX40" s="109"/>
      <c r="DY40" s="109">
        <f>COUNTIF(DY4:DY34,"休業")</f>
        <v>0</v>
      </c>
      <c r="DZ40" s="109"/>
      <c r="EA40" s="109"/>
      <c r="EB40" s="109"/>
      <c r="EC40" s="109"/>
      <c r="ED40" s="109">
        <f>COUNTIF(ED4:ED34,"休業")</f>
        <v>0</v>
      </c>
      <c r="EE40" s="109"/>
      <c r="EF40" s="109"/>
      <c r="EG40" s="109"/>
      <c r="EH40" s="109"/>
      <c r="EI40" s="109">
        <f>COUNTIF(EI4:EI34,"休業")</f>
        <v>0</v>
      </c>
      <c r="EJ40" s="109"/>
      <c r="EK40" s="109"/>
      <c r="EL40" s="109"/>
      <c r="EM40" s="109"/>
      <c r="EN40" s="109">
        <f>COUNTIF(EN4:EN34,"休業")</f>
        <v>0</v>
      </c>
      <c r="EO40" s="109"/>
      <c r="EP40" s="109"/>
      <c r="EQ40" s="109"/>
      <c r="ER40" s="109"/>
      <c r="ES40" s="109">
        <f>COUNTIF(ES4:ES34,"休業")</f>
        <v>0</v>
      </c>
      <c r="ET40" s="109"/>
      <c r="EU40" s="109"/>
      <c r="EV40" s="109"/>
      <c r="EW40" s="109"/>
    </row>
  </sheetData>
  <mergeCells count="217">
    <mergeCell ref="ED40:EH40"/>
    <mergeCell ref="EI40:EM40"/>
    <mergeCell ref="EN40:ER40"/>
    <mergeCell ref="ES40:EW40"/>
    <mergeCell ref="CK40:CO40"/>
    <mergeCell ref="CP40:CT40"/>
    <mergeCell ref="CU40:CY40"/>
    <mergeCell ref="CZ40:DD40"/>
    <mergeCell ref="DE40:DI40"/>
    <mergeCell ref="DJ40:DN40"/>
    <mergeCell ref="DO40:DS40"/>
    <mergeCell ref="DT40:DX40"/>
    <mergeCell ref="DY40:EC40"/>
    <mergeCell ref="DT39:DX39"/>
    <mergeCell ref="DY39:EC39"/>
    <mergeCell ref="ED39:EH39"/>
    <mergeCell ref="EI39:EM39"/>
    <mergeCell ref="EN39:ER39"/>
    <mergeCell ref="ES39:EW39"/>
    <mergeCell ref="A40:C40"/>
    <mergeCell ref="D40:H40"/>
    <mergeCell ref="I40:M40"/>
    <mergeCell ref="N40:R40"/>
    <mergeCell ref="S40:W40"/>
    <mergeCell ref="X40:AB40"/>
    <mergeCell ref="AC40:AG40"/>
    <mergeCell ref="AH40:AL40"/>
    <mergeCell ref="AM40:AQ40"/>
    <mergeCell ref="AR40:AV40"/>
    <mergeCell ref="AW40:BA40"/>
    <mergeCell ref="BB40:BF40"/>
    <mergeCell ref="BG40:BK40"/>
    <mergeCell ref="BL40:BP40"/>
    <mergeCell ref="BQ40:BU40"/>
    <mergeCell ref="BV40:BZ40"/>
    <mergeCell ref="CA40:CE40"/>
    <mergeCell ref="CF40:CJ40"/>
    <mergeCell ref="CA39:CE39"/>
    <mergeCell ref="CF39:CJ39"/>
    <mergeCell ref="CK39:CO39"/>
    <mergeCell ref="CP39:CT39"/>
    <mergeCell ref="CU39:CY39"/>
    <mergeCell ref="CZ39:DD39"/>
    <mergeCell ref="DE39:DI39"/>
    <mergeCell ref="DJ39:DN39"/>
    <mergeCell ref="DO39:DS39"/>
    <mergeCell ref="DJ38:DN38"/>
    <mergeCell ref="DO38:DS38"/>
    <mergeCell ref="DT38:DX38"/>
    <mergeCell ref="DY38:EC38"/>
    <mergeCell ref="ED38:EH38"/>
    <mergeCell ref="EI38:EM38"/>
    <mergeCell ref="EN38:ER38"/>
    <mergeCell ref="ES38:EW38"/>
    <mergeCell ref="A39:C39"/>
    <mergeCell ref="D39:H39"/>
    <mergeCell ref="I39:M39"/>
    <mergeCell ref="N39:R39"/>
    <mergeCell ref="S39:W39"/>
    <mergeCell ref="X39:AB39"/>
    <mergeCell ref="AC39:AG39"/>
    <mergeCell ref="AH39:AL39"/>
    <mergeCell ref="AM39:AQ39"/>
    <mergeCell ref="AR39:AV39"/>
    <mergeCell ref="AW39:BA39"/>
    <mergeCell ref="BB39:BF39"/>
    <mergeCell ref="BG39:BK39"/>
    <mergeCell ref="BL39:BP39"/>
    <mergeCell ref="BQ39:BU39"/>
    <mergeCell ref="BV39:BZ39"/>
    <mergeCell ref="ES37:EW37"/>
    <mergeCell ref="A38:C38"/>
    <mergeCell ref="D38:H38"/>
    <mergeCell ref="I38:M38"/>
    <mergeCell ref="N38:R38"/>
    <mergeCell ref="S38:W38"/>
    <mergeCell ref="X38:AB38"/>
    <mergeCell ref="AC38:AG38"/>
    <mergeCell ref="AH38:AL38"/>
    <mergeCell ref="AM38:AQ38"/>
    <mergeCell ref="AR38:AV38"/>
    <mergeCell ref="AW38:BA38"/>
    <mergeCell ref="BB38:BF38"/>
    <mergeCell ref="BG38:BK38"/>
    <mergeCell ref="BL38:BP38"/>
    <mergeCell ref="BQ38:BU38"/>
    <mergeCell ref="BV38:BZ38"/>
    <mergeCell ref="CA38:CE38"/>
    <mergeCell ref="CF38:CJ38"/>
    <mergeCell ref="CK38:CO38"/>
    <mergeCell ref="CP38:CT38"/>
    <mergeCell ref="CU38:CY38"/>
    <mergeCell ref="CZ38:DD38"/>
    <mergeCell ref="DE38:DI38"/>
    <mergeCell ref="CZ37:DD37"/>
    <mergeCell ref="DE37:DI37"/>
    <mergeCell ref="DJ37:DN37"/>
    <mergeCell ref="DO37:DS37"/>
    <mergeCell ref="DT37:DX37"/>
    <mergeCell ref="DY37:EC37"/>
    <mergeCell ref="ED37:EH37"/>
    <mergeCell ref="EI37:EM37"/>
    <mergeCell ref="EN37:ER37"/>
    <mergeCell ref="EI36:EM36"/>
    <mergeCell ref="EN36:ER36"/>
    <mergeCell ref="ES36:EW36"/>
    <mergeCell ref="A37:C37"/>
    <mergeCell ref="D37:H37"/>
    <mergeCell ref="I37:M37"/>
    <mergeCell ref="N37:R37"/>
    <mergeCell ref="S37:W37"/>
    <mergeCell ref="X37:AB37"/>
    <mergeCell ref="AC37:AG37"/>
    <mergeCell ref="AH37:AL37"/>
    <mergeCell ref="AM37:AQ37"/>
    <mergeCell ref="AR37:AV37"/>
    <mergeCell ref="AW37:BA37"/>
    <mergeCell ref="BB37:BF37"/>
    <mergeCell ref="BG37:BK37"/>
    <mergeCell ref="BL37:BP37"/>
    <mergeCell ref="BQ37:BU37"/>
    <mergeCell ref="BV37:BZ37"/>
    <mergeCell ref="CA37:CE37"/>
    <mergeCell ref="CF37:CJ37"/>
    <mergeCell ref="CK37:CO37"/>
    <mergeCell ref="CP37:CT37"/>
    <mergeCell ref="CU37:CY37"/>
    <mergeCell ref="CP36:CT36"/>
    <mergeCell ref="CU36:CY36"/>
    <mergeCell ref="CZ36:DD36"/>
    <mergeCell ref="DE36:DI36"/>
    <mergeCell ref="DJ36:DN36"/>
    <mergeCell ref="DO36:DS36"/>
    <mergeCell ref="DT36:DX36"/>
    <mergeCell ref="DY36:EC36"/>
    <mergeCell ref="ED36:EH36"/>
    <mergeCell ref="DY35:EC35"/>
    <mergeCell ref="ED35:EH35"/>
    <mergeCell ref="EI35:EM35"/>
    <mergeCell ref="EN35:ER35"/>
    <mergeCell ref="ES35:EW35"/>
    <mergeCell ref="A36:C36"/>
    <mergeCell ref="D36:H36"/>
    <mergeCell ref="I36:M36"/>
    <mergeCell ref="N36:R36"/>
    <mergeCell ref="S36:W36"/>
    <mergeCell ref="X36:AB36"/>
    <mergeCell ref="AC36:AG36"/>
    <mergeCell ref="AH36:AL36"/>
    <mergeCell ref="AM36:AQ36"/>
    <mergeCell ref="AR36:AV36"/>
    <mergeCell ref="AW36:BA36"/>
    <mergeCell ref="BB36:BF36"/>
    <mergeCell ref="BG36:BK36"/>
    <mergeCell ref="BL36:BP36"/>
    <mergeCell ref="BQ36:BU36"/>
    <mergeCell ref="BV36:BZ36"/>
    <mergeCell ref="CA36:CE36"/>
    <mergeCell ref="CF36:CJ36"/>
    <mergeCell ref="CK36:CO36"/>
    <mergeCell ref="CF35:CJ35"/>
    <mergeCell ref="CK35:CO35"/>
    <mergeCell ref="CP35:CT35"/>
    <mergeCell ref="CU35:CY35"/>
    <mergeCell ref="CZ35:DD35"/>
    <mergeCell ref="DE35:DI35"/>
    <mergeCell ref="DJ35:DN35"/>
    <mergeCell ref="DO35:DS35"/>
    <mergeCell ref="DT35:DX35"/>
    <mergeCell ref="DO2:DS2"/>
    <mergeCell ref="DT2:DX2"/>
    <mergeCell ref="DY2:EC2"/>
    <mergeCell ref="ED2:EH2"/>
    <mergeCell ref="EI2:EM2"/>
    <mergeCell ref="EN2:ER2"/>
    <mergeCell ref="ES2:EW2"/>
    <mergeCell ref="A35:C35"/>
    <mergeCell ref="D35:H35"/>
    <mergeCell ref="I35:M35"/>
    <mergeCell ref="N35:R35"/>
    <mergeCell ref="S35:W35"/>
    <mergeCell ref="X35:AB35"/>
    <mergeCell ref="AC35:AG35"/>
    <mergeCell ref="AH35:AL35"/>
    <mergeCell ref="AM35:AQ35"/>
    <mergeCell ref="AR35:AV35"/>
    <mergeCell ref="AW35:BA35"/>
    <mergeCell ref="BB35:BF35"/>
    <mergeCell ref="BG35:BK35"/>
    <mergeCell ref="BL35:BP35"/>
    <mergeCell ref="BQ35:BU35"/>
    <mergeCell ref="BV35:BZ35"/>
    <mergeCell ref="CA35:CE35"/>
    <mergeCell ref="A1:EW1"/>
    <mergeCell ref="D2:H2"/>
    <mergeCell ref="I2:M2"/>
    <mergeCell ref="N2:R2"/>
    <mergeCell ref="S2:W2"/>
    <mergeCell ref="X2:AB2"/>
    <mergeCell ref="AC2:AG2"/>
    <mergeCell ref="AH2:AL2"/>
    <mergeCell ref="AM2:AQ2"/>
    <mergeCell ref="AR2:AV2"/>
    <mergeCell ref="AW2:BA2"/>
    <mergeCell ref="BB2:BF2"/>
    <mergeCell ref="BG2:BK2"/>
    <mergeCell ref="BL2:BP2"/>
    <mergeCell ref="BQ2:BU2"/>
    <mergeCell ref="BV2:BZ2"/>
    <mergeCell ref="CA2:CE2"/>
    <mergeCell ref="CF2:CJ2"/>
    <mergeCell ref="CK2:CO2"/>
    <mergeCell ref="CP2:CT2"/>
    <mergeCell ref="CU2:CY2"/>
    <mergeCell ref="CZ2:DD2"/>
    <mergeCell ref="DE2:DI2"/>
    <mergeCell ref="DJ2:DN2"/>
  </mergeCells>
  <phoneticPr fontId="51"/>
  <conditionalFormatting sqref="A4:EW34">
    <cfRule type="expression" dxfId="316" priority="63">
      <formula>$B4="日"</formula>
    </cfRule>
    <cfRule type="expression" dxfId="315" priority="64">
      <formula>$B4="土"</formula>
    </cfRule>
    <cfRule type="expression" dxfId="314" priority="62">
      <formula>AND($A4&lt;&gt;"",ISNUMBER(MATCH(DATE(対象年度,9,$A4),祝日リスト,0)))</formula>
    </cfRule>
  </conditionalFormatting>
  <conditionalFormatting sqref="D4:D34">
    <cfRule type="expression" dxfId="313" priority="3">
      <formula>$D4="休業"</formula>
    </cfRule>
    <cfRule type="expression" dxfId="312" priority="2">
      <formula>$D4="有給"</formula>
    </cfRule>
  </conditionalFormatting>
  <conditionalFormatting sqref="I4:I34">
    <cfRule type="expression" dxfId="311" priority="4">
      <formula>$I4="有給"</formula>
    </cfRule>
    <cfRule type="expression" dxfId="310" priority="5">
      <formula>$I4="休業"</formula>
    </cfRule>
  </conditionalFormatting>
  <conditionalFormatting sqref="N4:N34">
    <cfRule type="expression" dxfId="309" priority="6">
      <formula>$N4="有給"</formula>
    </cfRule>
    <cfRule type="expression" dxfId="308" priority="7">
      <formula>$N4="休業"</formula>
    </cfRule>
  </conditionalFormatting>
  <conditionalFormatting sqref="S4:S34">
    <cfRule type="expression" dxfId="307" priority="8">
      <formula>$S4="有給"</formula>
    </cfRule>
    <cfRule type="expression" dxfId="306" priority="9">
      <formula>$S4="休業"</formula>
    </cfRule>
  </conditionalFormatting>
  <conditionalFormatting sqref="X4:X34">
    <cfRule type="expression" dxfId="305" priority="10">
      <formula>$X4="有給"</formula>
    </cfRule>
    <cfRule type="expression" dxfId="304" priority="11">
      <formula>$X4="休業"</formula>
    </cfRule>
  </conditionalFormatting>
  <conditionalFormatting sqref="AC4:AC34">
    <cfRule type="expression" dxfId="303" priority="12">
      <formula>$AC4="有給"</formula>
    </cfRule>
    <cfRule type="expression" dxfId="302" priority="13">
      <formula>$AC4="休業"</formula>
    </cfRule>
  </conditionalFormatting>
  <conditionalFormatting sqref="AH4:AH34">
    <cfRule type="expression" dxfId="301" priority="14">
      <formula>$AH4="有給"</formula>
    </cfRule>
    <cfRule type="expression" dxfId="300" priority="15">
      <formula>$AH4="休業"</formula>
    </cfRule>
  </conditionalFormatting>
  <conditionalFormatting sqref="AM4:AM34">
    <cfRule type="expression" dxfId="299" priority="17">
      <formula>$AM4="休業"</formula>
    </cfRule>
    <cfRule type="expression" dxfId="298" priority="16">
      <formula>$AM4="有給"</formula>
    </cfRule>
  </conditionalFormatting>
  <conditionalFormatting sqref="AR4:AR34">
    <cfRule type="expression" dxfId="297" priority="19">
      <formula>$AR4="休業"</formula>
    </cfRule>
    <cfRule type="expression" dxfId="296" priority="18">
      <formula>$AR4="有給"</formula>
    </cfRule>
  </conditionalFormatting>
  <conditionalFormatting sqref="AW4:AW34">
    <cfRule type="expression" dxfId="295" priority="20">
      <formula>$AW4="有給"</formula>
    </cfRule>
    <cfRule type="expression" dxfId="294" priority="21">
      <formula>$AW4="休業"</formula>
    </cfRule>
  </conditionalFormatting>
  <conditionalFormatting sqref="BB4:BB34">
    <cfRule type="expression" dxfId="293" priority="22">
      <formula>$BB4="有給"</formula>
    </cfRule>
    <cfRule type="expression" dxfId="292" priority="23">
      <formula>$BB4="休業"</formula>
    </cfRule>
  </conditionalFormatting>
  <conditionalFormatting sqref="BG4:BG34">
    <cfRule type="expression" dxfId="291" priority="24">
      <formula>$BG4="有給"</formula>
    </cfRule>
    <cfRule type="expression" dxfId="290" priority="25">
      <formula>$BG4="休業"</formula>
    </cfRule>
  </conditionalFormatting>
  <conditionalFormatting sqref="BL4:BL34">
    <cfRule type="expression" dxfId="289" priority="26">
      <formula>$BL4="有給"</formula>
    </cfRule>
    <cfRule type="expression" dxfId="288" priority="27">
      <formula>$BL4="休業"</formula>
    </cfRule>
  </conditionalFormatting>
  <conditionalFormatting sqref="BQ4:BQ34">
    <cfRule type="expression" dxfId="287" priority="28">
      <formula>$BQ4="有給"</formula>
    </cfRule>
    <cfRule type="expression" dxfId="286" priority="29">
      <formula>$BQ4="休業"</formula>
    </cfRule>
  </conditionalFormatting>
  <conditionalFormatting sqref="BV4:BV34">
    <cfRule type="expression" dxfId="285" priority="30">
      <formula>$BV4="有給"</formula>
    </cfRule>
    <cfRule type="expression" dxfId="284" priority="31">
      <formula>$BV4="休業"</formula>
    </cfRule>
  </conditionalFormatting>
  <conditionalFormatting sqref="CA4:CA34">
    <cfRule type="expression" dxfId="283" priority="33">
      <formula>$CA4="休業"</formula>
    </cfRule>
    <cfRule type="expression" dxfId="282" priority="32">
      <formula>$CA4="有給"</formula>
    </cfRule>
  </conditionalFormatting>
  <conditionalFormatting sqref="CF4:CF34">
    <cfRule type="expression" dxfId="281" priority="34">
      <formula>$CF4="有給"</formula>
    </cfRule>
    <cfRule type="expression" dxfId="280" priority="35">
      <formula>$CF4="休業"</formula>
    </cfRule>
  </conditionalFormatting>
  <conditionalFormatting sqref="CK4:CK34">
    <cfRule type="expression" dxfId="279" priority="37">
      <formula>$CK4="休業"</formula>
    </cfRule>
    <cfRule type="expression" dxfId="278" priority="36">
      <formula>$CK4="有給"</formula>
    </cfRule>
  </conditionalFormatting>
  <conditionalFormatting sqref="CP4:CP34">
    <cfRule type="expression" dxfId="277" priority="38">
      <formula>$CP4="有給"</formula>
    </cfRule>
    <cfRule type="expression" dxfId="276" priority="39">
      <formula>$CP4="休業"</formula>
    </cfRule>
  </conditionalFormatting>
  <conditionalFormatting sqref="CU4:CU34">
    <cfRule type="expression" dxfId="275" priority="40">
      <formula>$CU4="有給"</formula>
    </cfRule>
    <cfRule type="expression" dxfId="274" priority="41">
      <formula>$CU4="休業"</formula>
    </cfRule>
  </conditionalFormatting>
  <conditionalFormatting sqref="CZ4:CZ34">
    <cfRule type="expression" dxfId="273" priority="42">
      <formula>$CZ4="有給"</formula>
    </cfRule>
    <cfRule type="expression" dxfId="272" priority="43">
      <formula>$CZ4="休業"</formula>
    </cfRule>
  </conditionalFormatting>
  <conditionalFormatting sqref="DE4:DE34">
    <cfRule type="expression" dxfId="271" priority="44">
      <formula>$DE4="有給"</formula>
    </cfRule>
    <cfRule type="expression" dxfId="270" priority="45">
      <formula>$DE4="休業"</formula>
    </cfRule>
  </conditionalFormatting>
  <conditionalFormatting sqref="DJ4:DJ34">
    <cfRule type="expression" dxfId="269" priority="46">
      <formula>$DJ4="有給"</formula>
    </cfRule>
    <cfRule type="expression" dxfId="268" priority="47">
      <formula>$DJ4="休業"</formula>
    </cfRule>
  </conditionalFormatting>
  <conditionalFormatting sqref="DO4:DO34">
    <cfRule type="expression" dxfId="267" priority="48">
      <formula>$DO4="有給"</formula>
    </cfRule>
    <cfRule type="expression" dxfId="266" priority="49">
      <formula>$DO4="休業"</formula>
    </cfRule>
  </conditionalFormatting>
  <conditionalFormatting sqref="DT4:DT34">
    <cfRule type="expression" dxfId="265" priority="51">
      <formula>$DT4="休業"</formula>
    </cfRule>
    <cfRule type="expression" dxfId="264" priority="50">
      <formula>$DT4="有給"</formula>
    </cfRule>
  </conditionalFormatting>
  <conditionalFormatting sqref="DY4:DY34">
    <cfRule type="expression" dxfId="263" priority="52">
      <formula>$DY4="有給"</formula>
    </cfRule>
    <cfRule type="expression" dxfId="262" priority="53">
      <formula>$DY4="休業"</formula>
    </cfRule>
  </conditionalFormatting>
  <conditionalFormatting sqref="ED4:ED34">
    <cfRule type="expression" dxfId="261" priority="54">
      <formula>$ED4="有給"</formula>
    </cfRule>
    <cfRule type="expression" dxfId="260" priority="55">
      <formula>$ED4="休業"</formula>
    </cfRule>
  </conditionalFormatting>
  <conditionalFormatting sqref="EI4:EI34">
    <cfRule type="expression" dxfId="259" priority="56">
      <formula>$EI4="有給"</formula>
    </cfRule>
    <cfRule type="expression" dxfId="258" priority="57">
      <formula>$EI4="休業"</formula>
    </cfRule>
  </conditionalFormatting>
  <conditionalFormatting sqref="EN4:EN34">
    <cfRule type="expression" dxfId="257" priority="58">
      <formula>$EN4="有給"</formula>
    </cfRule>
    <cfRule type="expression" dxfId="256" priority="59">
      <formula>$EN4="休業"</formula>
    </cfRule>
  </conditionalFormatting>
  <conditionalFormatting sqref="ES4:ES34">
    <cfRule type="expression" dxfId="255" priority="60">
      <formula>$ES4="有給"</formula>
    </cfRule>
    <cfRule type="expression" dxfId="254" priority="61">
      <formula>$ES4="休業"</formula>
    </cfRule>
  </conditionalFormatting>
  <pageMargins left="0.31496062992125984" right="0.31496062992125984" top="0.98425196850393704" bottom="0.98425196850393704" header="0.51181102362204722" footer="0.51181102362204722"/>
  <pageSetup paperSize="8" scale="14" orientation="landscape" horizontalDpi="300" verticalDpi="300" r:id="rId1"/>
  <headerFooter>
    <oddFooter>&amp;C&amp;"ＭＳ Ｐゴシック,標準"制作：有限会社水越設備&amp;Rsp-mizukoshi.jp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00000000-0002-0000-0C00-000000000000}">
          <x14:formula1>
            <xm:f>現場マスタ!$C$4:$C$43</xm:f>
          </x14:formula1>
          <x14:formula2>
            <xm:f>0</xm:f>
          </x14:formula2>
          <xm:sqref>D4:E34 I4:J34 N4:O34 S4:T34 X4:Y34 AC4:AD34 AH4:AI34 AM4:AN34 AR4:AS34 AW4:AX34 BB4:BC34 BG4:BH34 BL4:BM34 BQ4:BR34 BV4:BW34 CA4:CB34 CF4:CG34 CK4:CL34 CP4:CQ34 CU4:CV34 CZ4:DA34 DE4:DF34 DJ4:DK34 DO4:DP34 DT4:DU34 DY4:DZ34 ED4:EE34 EI4:EJ34 EN4:EO34 ES4:ET34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EW40"/>
  <sheetViews>
    <sheetView zoomScaleNormal="100" workbookViewId="0">
      <pane xSplit="3" ySplit="3" topLeftCell="D4" activePane="bottomRight" state="frozen"/>
      <selection sqref="A1:EW1"/>
      <selection pane="topRight" sqref="A1:EW1"/>
      <selection pane="bottomLeft" sqref="A1:EW1"/>
      <selection pane="bottomRight" sqref="A1:EW1"/>
    </sheetView>
  </sheetViews>
  <sheetFormatPr defaultColWidth="8.7109375" defaultRowHeight="15"/>
  <cols>
    <col min="1" max="1" width="5" customWidth="1"/>
    <col min="2" max="3" width="4" customWidth="1"/>
    <col min="4" max="5" width="13" customWidth="1"/>
    <col min="6" max="7" width="6" customWidth="1"/>
    <col min="8" max="8" width="7" customWidth="1"/>
    <col min="9" max="10" width="13" customWidth="1"/>
    <col min="11" max="12" width="6" customWidth="1"/>
    <col min="13" max="13" width="7" customWidth="1"/>
    <col min="14" max="15" width="13" customWidth="1"/>
    <col min="16" max="17" width="6" customWidth="1"/>
    <col min="18" max="18" width="7" customWidth="1"/>
    <col min="19" max="20" width="13" customWidth="1"/>
    <col min="21" max="22" width="6" customWidth="1"/>
    <col min="23" max="23" width="7" customWidth="1"/>
    <col min="24" max="25" width="13" customWidth="1"/>
    <col min="26" max="27" width="6" customWidth="1"/>
    <col min="28" max="28" width="7" customWidth="1"/>
    <col min="29" max="30" width="13" customWidth="1"/>
    <col min="31" max="32" width="6" customWidth="1"/>
    <col min="33" max="33" width="7" customWidth="1"/>
    <col min="34" max="35" width="13" customWidth="1"/>
    <col min="36" max="37" width="6" customWidth="1"/>
    <col min="38" max="38" width="7" customWidth="1"/>
    <col min="39" max="40" width="13" customWidth="1"/>
    <col min="41" max="42" width="6" customWidth="1"/>
    <col min="43" max="43" width="7" customWidth="1"/>
    <col min="44" max="45" width="13" customWidth="1"/>
    <col min="46" max="47" width="6" customWidth="1"/>
    <col min="48" max="48" width="7" customWidth="1"/>
    <col min="49" max="50" width="13" customWidth="1"/>
    <col min="51" max="52" width="6" customWidth="1"/>
    <col min="53" max="53" width="7" customWidth="1"/>
    <col min="54" max="55" width="13" customWidth="1"/>
    <col min="56" max="57" width="6" customWidth="1"/>
    <col min="58" max="58" width="7" customWidth="1"/>
    <col min="59" max="60" width="13" customWidth="1"/>
    <col min="61" max="62" width="6" customWidth="1"/>
    <col min="63" max="63" width="7" customWidth="1"/>
    <col min="64" max="65" width="13" customWidth="1"/>
    <col min="66" max="67" width="6" customWidth="1"/>
    <col min="68" max="68" width="7" customWidth="1"/>
    <col min="69" max="70" width="13" customWidth="1"/>
    <col min="71" max="72" width="6" customWidth="1"/>
    <col min="73" max="73" width="7" customWidth="1"/>
    <col min="74" max="75" width="13" customWidth="1"/>
    <col min="76" max="77" width="6" customWidth="1"/>
    <col min="78" max="78" width="7" customWidth="1"/>
    <col min="79" max="80" width="13" customWidth="1"/>
    <col min="81" max="82" width="6" customWidth="1"/>
    <col min="83" max="83" width="7" customWidth="1"/>
    <col min="84" max="85" width="13" customWidth="1"/>
    <col min="86" max="87" width="6" customWidth="1"/>
    <col min="88" max="88" width="7" customWidth="1"/>
    <col min="89" max="90" width="13" customWidth="1"/>
    <col min="91" max="92" width="6" customWidth="1"/>
    <col min="93" max="93" width="7" customWidth="1"/>
    <col min="94" max="95" width="13" customWidth="1"/>
    <col min="96" max="97" width="6" customWidth="1"/>
    <col min="98" max="98" width="7" customWidth="1"/>
    <col min="99" max="100" width="13" customWidth="1"/>
    <col min="101" max="102" width="6" customWidth="1"/>
    <col min="103" max="103" width="7" customWidth="1"/>
    <col min="104" max="105" width="13" customWidth="1"/>
    <col min="106" max="107" width="6" customWidth="1"/>
    <col min="108" max="108" width="7" customWidth="1"/>
    <col min="109" max="110" width="13" customWidth="1"/>
    <col min="111" max="112" width="6" customWidth="1"/>
    <col min="113" max="113" width="7" customWidth="1"/>
    <col min="114" max="115" width="13" customWidth="1"/>
    <col min="116" max="117" width="6" customWidth="1"/>
    <col min="118" max="118" width="7" customWidth="1"/>
    <col min="119" max="120" width="13" customWidth="1"/>
    <col min="121" max="122" width="6" customWidth="1"/>
    <col min="123" max="123" width="7" customWidth="1"/>
    <col min="124" max="125" width="13" customWidth="1"/>
    <col min="126" max="127" width="6" customWidth="1"/>
    <col min="128" max="128" width="7" customWidth="1"/>
    <col min="129" max="130" width="13" customWidth="1"/>
    <col min="131" max="132" width="6" customWidth="1"/>
    <col min="133" max="133" width="7" customWidth="1"/>
    <col min="134" max="135" width="13" customWidth="1"/>
    <col min="136" max="137" width="6" customWidth="1"/>
    <col min="138" max="138" width="7" customWidth="1"/>
    <col min="139" max="140" width="13" customWidth="1"/>
    <col min="141" max="142" width="6" customWidth="1"/>
    <col min="143" max="143" width="7" customWidth="1"/>
    <col min="144" max="145" width="13" customWidth="1"/>
    <col min="146" max="147" width="6" customWidth="1"/>
    <col min="148" max="148" width="7" customWidth="1"/>
    <col min="149" max="150" width="13" customWidth="1"/>
    <col min="151" max="152" width="6" customWidth="1"/>
    <col min="153" max="153" width="7" customWidth="1"/>
  </cols>
  <sheetData>
    <row r="1" spans="1:153" ht="36" customHeight="1">
      <c r="A1" s="96" t="str">
        <f>" "&amp;対象年度&amp;"年 10月分　出面表　"</f>
        <v xml:space="preserve"> 2026年 10月分　出面表　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Y1" s="96"/>
      <c r="BZ1" s="96"/>
      <c r="CA1" s="96"/>
      <c r="CB1" s="96"/>
      <c r="CC1" s="96"/>
      <c r="CD1" s="96"/>
      <c r="CE1" s="96"/>
      <c r="CF1" s="96"/>
      <c r="CG1" s="96"/>
      <c r="CH1" s="96"/>
      <c r="CI1" s="96"/>
      <c r="CJ1" s="96"/>
      <c r="CK1" s="96"/>
      <c r="CL1" s="96"/>
      <c r="CM1" s="96"/>
      <c r="CN1" s="96"/>
      <c r="CO1" s="96"/>
      <c r="CP1" s="96"/>
      <c r="CQ1" s="96"/>
      <c r="CR1" s="96"/>
      <c r="CS1" s="96"/>
      <c r="CT1" s="96"/>
      <c r="CU1" s="96"/>
      <c r="CV1" s="96"/>
      <c r="CW1" s="96"/>
      <c r="CX1" s="96"/>
      <c r="CY1" s="96"/>
      <c r="CZ1" s="96"/>
      <c r="DA1" s="96"/>
      <c r="DB1" s="96"/>
      <c r="DC1" s="96"/>
      <c r="DD1" s="96"/>
      <c r="DE1" s="96"/>
      <c r="DF1" s="96"/>
      <c r="DG1" s="96"/>
      <c r="DH1" s="96"/>
      <c r="DI1" s="96"/>
      <c r="DJ1" s="96"/>
      <c r="DK1" s="96"/>
      <c r="DL1" s="96"/>
      <c r="DM1" s="96"/>
      <c r="DN1" s="96"/>
      <c r="DO1" s="96"/>
      <c r="DP1" s="96"/>
      <c r="DQ1" s="96"/>
      <c r="DR1" s="96"/>
      <c r="DS1" s="96"/>
      <c r="DT1" s="96"/>
      <c r="DU1" s="96"/>
      <c r="DV1" s="96"/>
      <c r="DW1" s="96"/>
      <c r="DX1" s="96"/>
      <c r="DY1" s="96"/>
      <c r="DZ1" s="96"/>
      <c r="EA1" s="96"/>
      <c r="EB1" s="96"/>
      <c r="EC1" s="96"/>
      <c r="ED1" s="96"/>
      <c r="EE1" s="96"/>
      <c r="EF1" s="96"/>
      <c r="EG1" s="96"/>
      <c r="EH1" s="96"/>
      <c r="EI1" s="96"/>
      <c r="EJ1" s="96"/>
      <c r="EK1" s="96"/>
      <c r="EL1" s="96"/>
      <c r="EM1" s="96"/>
      <c r="EN1" s="96"/>
      <c r="EO1" s="96"/>
      <c r="EP1" s="96"/>
      <c r="EQ1" s="96"/>
      <c r="ER1" s="96"/>
      <c r="ES1" s="96"/>
      <c r="ET1" s="96"/>
      <c r="EU1" s="96"/>
      <c r="EV1" s="96"/>
      <c r="EW1" s="96"/>
    </row>
    <row r="2" spans="1:153" ht="25.5" customHeight="1">
      <c r="A2" s="21"/>
      <c r="B2" s="21"/>
      <c r="C2" s="21"/>
      <c r="D2" s="97" t="str">
        <f>IFERROR(IF(従業員マスタ!$C$4="","",対象年度&amp;"年10月　"&amp;従業員マスタ!$C$4),"")</f>
        <v>2026年10月　代表 太郎</v>
      </c>
      <c r="E2" s="97"/>
      <c r="F2" s="97"/>
      <c r="G2" s="97"/>
      <c r="H2" s="97"/>
      <c r="I2" s="97" t="str">
        <f>IFERROR(IF(従業員マスタ!$C$5="","",対象年度&amp;"年10月　"&amp;従業員マスタ!$C$5),"")</f>
        <v>2026年10月　専務 次郎</v>
      </c>
      <c r="J2" s="97"/>
      <c r="K2" s="97"/>
      <c r="L2" s="97"/>
      <c r="M2" s="97"/>
      <c r="N2" s="97" t="str">
        <f>IFERROR(IF(従業員マスタ!$C$6="","",対象年度&amp;"年10月　"&amp;従業員マスタ!$C$6),"")</f>
        <v>2026年10月　山田 一郎</v>
      </c>
      <c r="O2" s="97"/>
      <c r="P2" s="97"/>
      <c r="Q2" s="97"/>
      <c r="R2" s="97"/>
      <c r="S2" s="97" t="str">
        <f>IFERROR(IF(従業員マスタ!$C$7="","",対象年度&amp;"年10月　"&amp;従業員マスタ!$C$7),"")</f>
        <v>2026年10月　鈴木 二郎</v>
      </c>
      <c r="T2" s="97"/>
      <c r="U2" s="97"/>
      <c r="V2" s="97"/>
      <c r="W2" s="97"/>
      <c r="X2" s="97" t="str">
        <f>IFERROR(IF(従業員マスタ!$C$8="","",対象年度&amp;"年10月　"&amp;従業員マスタ!$C$8),"")</f>
        <v>2026年10月　佐藤 三郎</v>
      </c>
      <c r="Y2" s="97"/>
      <c r="Z2" s="97"/>
      <c r="AA2" s="97"/>
      <c r="AB2" s="97"/>
      <c r="AC2" s="97" t="str">
        <f>IFERROR(IF(従業員マスタ!$C$9="","",対象年度&amp;"年10月　"&amp;従業員マスタ!$C$9),"")</f>
        <v>2026年10月　高橋 四郎</v>
      </c>
      <c r="AD2" s="97"/>
      <c r="AE2" s="97"/>
      <c r="AF2" s="97"/>
      <c r="AG2" s="97"/>
      <c r="AH2" s="97" t="str">
        <f>IFERROR(IF(従業員マスタ!$C$10="","",対象年度&amp;"年10月　"&amp;従業員マスタ!$C$10),"")</f>
        <v>2026年10月　田中 五郎</v>
      </c>
      <c r="AI2" s="97"/>
      <c r="AJ2" s="97"/>
      <c r="AK2" s="97"/>
      <c r="AL2" s="97"/>
      <c r="AM2" s="97" t="str">
        <f>IFERROR(IF(従業員マスタ!$C$11="","",対象年度&amp;"年10月　"&amp;従業員マスタ!$C$11),"")</f>
        <v>2026年10月　伊藤 六郎</v>
      </c>
      <c r="AN2" s="97"/>
      <c r="AO2" s="97"/>
      <c r="AP2" s="97"/>
      <c r="AQ2" s="97"/>
      <c r="AR2" s="97" t="str">
        <f>IFERROR(IF(従業員マスタ!$C$12="","",対象年度&amp;"年10月　"&amp;従業員マスタ!$C$12),"")</f>
        <v>2026年10月　渡辺 七郎</v>
      </c>
      <c r="AS2" s="97"/>
      <c r="AT2" s="97"/>
      <c r="AU2" s="97"/>
      <c r="AV2" s="97"/>
      <c r="AW2" s="97" t="str">
        <f>IFERROR(IF(従業員マスタ!$C$13="","",対象年度&amp;"年10月　"&amp;従業員マスタ!$C$13),"")</f>
        <v>2026年10月　中村 八郎</v>
      </c>
      <c r="AX2" s="97"/>
      <c r="AY2" s="97"/>
      <c r="AZ2" s="97"/>
      <c r="BA2" s="97"/>
      <c r="BB2" s="97" t="str">
        <f>IFERROR(IF(従業員マスタ!$C$14="","",対象年度&amp;"年10月　"&amp;従業員マスタ!$C$14),"")</f>
        <v>2026年10月　小林 九郎</v>
      </c>
      <c r="BC2" s="97"/>
      <c r="BD2" s="97"/>
      <c r="BE2" s="97"/>
      <c r="BF2" s="97"/>
      <c r="BG2" s="97" t="str">
        <f>IFERROR(IF(従業員マスタ!$C$15="","",対象年度&amp;"年10月　"&amp;従業員マスタ!$C$15),"")</f>
        <v>2026年10月　加藤 十郎</v>
      </c>
      <c r="BH2" s="97"/>
      <c r="BI2" s="97"/>
      <c r="BJ2" s="97"/>
      <c r="BK2" s="97"/>
      <c r="BL2" s="97" t="str">
        <f>IFERROR(IF(従業員マスタ!$C$16="","",対象年度&amp;"年10月　"&amp;従業員マスタ!$C$16),"")</f>
        <v/>
      </c>
      <c r="BM2" s="97"/>
      <c r="BN2" s="97"/>
      <c r="BO2" s="97"/>
      <c r="BP2" s="97"/>
      <c r="BQ2" s="97" t="str">
        <f>IFERROR(IF(従業員マスタ!$C$17="","",対象年度&amp;"年10月　"&amp;従業員マスタ!$C$17),"")</f>
        <v/>
      </c>
      <c r="BR2" s="97"/>
      <c r="BS2" s="97"/>
      <c r="BT2" s="97"/>
      <c r="BU2" s="97"/>
      <c r="BV2" s="97" t="str">
        <f>IFERROR(IF(従業員マスタ!$C$18="","",対象年度&amp;"年10月　"&amp;従業員マスタ!$C$18),"")</f>
        <v/>
      </c>
      <c r="BW2" s="97"/>
      <c r="BX2" s="97"/>
      <c r="BY2" s="97"/>
      <c r="BZ2" s="97"/>
      <c r="CA2" s="97" t="str">
        <f>IFERROR(IF(従業員マスタ!$C$19="","",対象年度&amp;"年10月　"&amp;従業員マスタ!$C$19),"")</f>
        <v/>
      </c>
      <c r="CB2" s="97"/>
      <c r="CC2" s="97"/>
      <c r="CD2" s="97"/>
      <c r="CE2" s="97"/>
      <c r="CF2" s="97" t="str">
        <f>IFERROR(IF(従業員マスタ!$C$20="","",対象年度&amp;"年10月　"&amp;従業員マスタ!$C$20),"")</f>
        <v/>
      </c>
      <c r="CG2" s="97"/>
      <c r="CH2" s="97"/>
      <c r="CI2" s="97"/>
      <c r="CJ2" s="97"/>
      <c r="CK2" s="97" t="str">
        <f>IFERROR(IF(従業員マスタ!$C$21="","",対象年度&amp;"年10月　"&amp;従業員マスタ!$C$21),"")</f>
        <v/>
      </c>
      <c r="CL2" s="97"/>
      <c r="CM2" s="97"/>
      <c r="CN2" s="97"/>
      <c r="CO2" s="97"/>
      <c r="CP2" s="97" t="str">
        <f>IFERROR(IF(従業員マスタ!$C$22="","",対象年度&amp;"年10月　"&amp;従業員マスタ!$C$22),"")</f>
        <v/>
      </c>
      <c r="CQ2" s="97"/>
      <c r="CR2" s="97"/>
      <c r="CS2" s="97"/>
      <c r="CT2" s="97"/>
      <c r="CU2" s="97" t="str">
        <f>IFERROR(IF(従業員マスタ!$C$23="","",対象年度&amp;"年10月　"&amp;従業員マスタ!$C$23),"")</f>
        <v/>
      </c>
      <c r="CV2" s="97"/>
      <c r="CW2" s="97"/>
      <c r="CX2" s="97"/>
      <c r="CY2" s="97"/>
      <c r="CZ2" s="97" t="str">
        <f>IFERROR(IF(従業員マスタ!$C$24="","",対象年度&amp;"年10月　"&amp;従業員マスタ!$C$24),"")</f>
        <v/>
      </c>
      <c r="DA2" s="97"/>
      <c r="DB2" s="97"/>
      <c r="DC2" s="97"/>
      <c r="DD2" s="97"/>
      <c r="DE2" s="97" t="str">
        <f>IFERROR(IF(従業員マスタ!$C$25="","",対象年度&amp;"年10月　"&amp;従業員マスタ!$C$25),"")</f>
        <v/>
      </c>
      <c r="DF2" s="97"/>
      <c r="DG2" s="97"/>
      <c r="DH2" s="97"/>
      <c r="DI2" s="97"/>
      <c r="DJ2" s="97" t="str">
        <f>IFERROR(IF(従業員マスタ!$C$26="","",対象年度&amp;"年10月　"&amp;従業員マスタ!$C$26),"")</f>
        <v/>
      </c>
      <c r="DK2" s="97"/>
      <c r="DL2" s="97"/>
      <c r="DM2" s="97"/>
      <c r="DN2" s="97"/>
      <c r="DO2" s="97" t="str">
        <f>IFERROR(IF(従業員マスタ!$C$27="","",対象年度&amp;"年10月　"&amp;従業員マスタ!$C$27),"")</f>
        <v/>
      </c>
      <c r="DP2" s="97"/>
      <c r="DQ2" s="97"/>
      <c r="DR2" s="97"/>
      <c r="DS2" s="97"/>
      <c r="DT2" s="97" t="str">
        <f>IFERROR(IF(従業員マスタ!$C$28="","",対象年度&amp;"年10月　"&amp;従業員マスタ!$C$28),"")</f>
        <v/>
      </c>
      <c r="DU2" s="97"/>
      <c r="DV2" s="97"/>
      <c r="DW2" s="97"/>
      <c r="DX2" s="97"/>
      <c r="DY2" s="97" t="str">
        <f>IFERROR(IF(従業員マスタ!$C$29="","",対象年度&amp;"年10月　"&amp;従業員マスタ!$C$29),"")</f>
        <v/>
      </c>
      <c r="DZ2" s="97"/>
      <c r="EA2" s="97"/>
      <c r="EB2" s="97"/>
      <c r="EC2" s="97"/>
      <c r="ED2" s="97" t="str">
        <f>IFERROR(IF(従業員マスタ!$C$30="","",対象年度&amp;"年10月　"&amp;従業員マスタ!$C$30),"")</f>
        <v/>
      </c>
      <c r="EE2" s="97"/>
      <c r="EF2" s="97"/>
      <c r="EG2" s="97"/>
      <c r="EH2" s="97"/>
      <c r="EI2" s="97" t="str">
        <f>IFERROR(IF(従業員マスタ!$C$31="","",対象年度&amp;"年10月　"&amp;従業員マスタ!$C$31),"")</f>
        <v/>
      </c>
      <c r="EJ2" s="97"/>
      <c r="EK2" s="97"/>
      <c r="EL2" s="97"/>
      <c r="EM2" s="97"/>
      <c r="EN2" s="97" t="str">
        <f>IFERROR(IF(従業員マスタ!$C$32="","",対象年度&amp;"年10月　"&amp;従業員マスタ!$C$32),"")</f>
        <v/>
      </c>
      <c r="EO2" s="97"/>
      <c r="EP2" s="97"/>
      <c r="EQ2" s="97"/>
      <c r="ER2" s="97"/>
      <c r="ES2" s="97" t="str">
        <f>IFERROR(IF(従業員マスタ!$C$33="","",対象年度&amp;"年10月　"&amp;従業員マスタ!$C$33),"")</f>
        <v/>
      </c>
      <c r="ET2" s="97"/>
      <c r="EU2" s="97"/>
      <c r="EV2" s="97"/>
      <c r="EW2" s="97"/>
    </row>
    <row r="3" spans="1:153" ht="24" customHeight="1">
      <c r="A3" s="22" t="s">
        <v>108</v>
      </c>
      <c r="B3" s="22" t="s">
        <v>109</v>
      </c>
      <c r="C3" s="22" t="s">
        <v>110</v>
      </c>
      <c r="D3" s="23" t="s">
        <v>111</v>
      </c>
      <c r="E3" s="24" t="s">
        <v>112</v>
      </c>
      <c r="F3" s="22" t="s">
        <v>113</v>
      </c>
      <c r="G3" s="22" t="s">
        <v>114</v>
      </c>
      <c r="H3" s="25" t="s">
        <v>115</v>
      </c>
      <c r="I3" s="23" t="s">
        <v>111</v>
      </c>
      <c r="J3" s="24" t="s">
        <v>112</v>
      </c>
      <c r="K3" s="22" t="s">
        <v>113</v>
      </c>
      <c r="L3" s="22" t="s">
        <v>114</v>
      </c>
      <c r="M3" s="25" t="s">
        <v>115</v>
      </c>
      <c r="N3" s="23" t="s">
        <v>111</v>
      </c>
      <c r="O3" s="24" t="s">
        <v>112</v>
      </c>
      <c r="P3" s="22" t="s">
        <v>113</v>
      </c>
      <c r="Q3" s="22" t="s">
        <v>114</v>
      </c>
      <c r="R3" s="25" t="s">
        <v>115</v>
      </c>
      <c r="S3" s="23" t="s">
        <v>111</v>
      </c>
      <c r="T3" s="24" t="s">
        <v>112</v>
      </c>
      <c r="U3" s="22" t="s">
        <v>113</v>
      </c>
      <c r="V3" s="22" t="s">
        <v>114</v>
      </c>
      <c r="W3" s="25" t="s">
        <v>115</v>
      </c>
      <c r="X3" s="23" t="s">
        <v>111</v>
      </c>
      <c r="Y3" s="24" t="s">
        <v>112</v>
      </c>
      <c r="Z3" s="22" t="s">
        <v>113</v>
      </c>
      <c r="AA3" s="22" t="s">
        <v>114</v>
      </c>
      <c r="AB3" s="25" t="s">
        <v>115</v>
      </c>
      <c r="AC3" s="23" t="s">
        <v>111</v>
      </c>
      <c r="AD3" s="24" t="s">
        <v>112</v>
      </c>
      <c r="AE3" s="22" t="s">
        <v>113</v>
      </c>
      <c r="AF3" s="22" t="s">
        <v>114</v>
      </c>
      <c r="AG3" s="25" t="s">
        <v>115</v>
      </c>
      <c r="AH3" s="23" t="s">
        <v>111</v>
      </c>
      <c r="AI3" s="24" t="s">
        <v>112</v>
      </c>
      <c r="AJ3" s="22" t="s">
        <v>113</v>
      </c>
      <c r="AK3" s="22" t="s">
        <v>114</v>
      </c>
      <c r="AL3" s="25" t="s">
        <v>115</v>
      </c>
      <c r="AM3" s="23" t="s">
        <v>111</v>
      </c>
      <c r="AN3" s="24" t="s">
        <v>112</v>
      </c>
      <c r="AO3" s="22" t="s">
        <v>113</v>
      </c>
      <c r="AP3" s="22" t="s">
        <v>114</v>
      </c>
      <c r="AQ3" s="25" t="s">
        <v>115</v>
      </c>
      <c r="AR3" s="23" t="s">
        <v>111</v>
      </c>
      <c r="AS3" s="24" t="s">
        <v>112</v>
      </c>
      <c r="AT3" s="22" t="s">
        <v>113</v>
      </c>
      <c r="AU3" s="22" t="s">
        <v>114</v>
      </c>
      <c r="AV3" s="25" t="s">
        <v>115</v>
      </c>
      <c r="AW3" s="23" t="s">
        <v>111</v>
      </c>
      <c r="AX3" s="24" t="s">
        <v>112</v>
      </c>
      <c r="AY3" s="22" t="s">
        <v>113</v>
      </c>
      <c r="AZ3" s="22" t="s">
        <v>114</v>
      </c>
      <c r="BA3" s="25" t="s">
        <v>115</v>
      </c>
      <c r="BB3" s="23" t="s">
        <v>111</v>
      </c>
      <c r="BC3" s="24" t="s">
        <v>112</v>
      </c>
      <c r="BD3" s="22" t="s">
        <v>113</v>
      </c>
      <c r="BE3" s="22" t="s">
        <v>114</v>
      </c>
      <c r="BF3" s="25" t="s">
        <v>115</v>
      </c>
      <c r="BG3" s="23" t="s">
        <v>111</v>
      </c>
      <c r="BH3" s="24" t="s">
        <v>112</v>
      </c>
      <c r="BI3" s="22" t="s">
        <v>113</v>
      </c>
      <c r="BJ3" s="22" t="s">
        <v>114</v>
      </c>
      <c r="BK3" s="25" t="s">
        <v>115</v>
      </c>
      <c r="BL3" s="23" t="s">
        <v>111</v>
      </c>
      <c r="BM3" s="24" t="s">
        <v>112</v>
      </c>
      <c r="BN3" s="22" t="s">
        <v>113</v>
      </c>
      <c r="BO3" s="22" t="s">
        <v>114</v>
      </c>
      <c r="BP3" s="25" t="s">
        <v>115</v>
      </c>
      <c r="BQ3" s="23" t="s">
        <v>111</v>
      </c>
      <c r="BR3" s="24" t="s">
        <v>112</v>
      </c>
      <c r="BS3" s="22" t="s">
        <v>113</v>
      </c>
      <c r="BT3" s="22" t="s">
        <v>114</v>
      </c>
      <c r="BU3" s="25" t="s">
        <v>115</v>
      </c>
      <c r="BV3" s="23" t="s">
        <v>111</v>
      </c>
      <c r="BW3" s="24" t="s">
        <v>112</v>
      </c>
      <c r="BX3" s="22" t="s">
        <v>113</v>
      </c>
      <c r="BY3" s="22" t="s">
        <v>114</v>
      </c>
      <c r="BZ3" s="25" t="s">
        <v>115</v>
      </c>
      <c r="CA3" s="23" t="s">
        <v>111</v>
      </c>
      <c r="CB3" s="24" t="s">
        <v>112</v>
      </c>
      <c r="CC3" s="22" t="s">
        <v>113</v>
      </c>
      <c r="CD3" s="22" t="s">
        <v>114</v>
      </c>
      <c r="CE3" s="25" t="s">
        <v>115</v>
      </c>
      <c r="CF3" s="23" t="s">
        <v>111</v>
      </c>
      <c r="CG3" s="24" t="s">
        <v>112</v>
      </c>
      <c r="CH3" s="22" t="s">
        <v>113</v>
      </c>
      <c r="CI3" s="22" t="s">
        <v>114</v>
      </c>
      <c r="CJ3" s="25" t="s">
        <v>115</v>
      </c>
      <c r="CK3" s="23" t="s">
        <v>111</v>
      </c>
      <c r="CL3" s="24" t="s">
        <v>112</v>
      </c>
      <c r="CM3" s="22" t="s">
        <v>113</v>
      </c>
      <c r="CN3" s="22" t="s">
        <v>114</v>
      </c>
      <c r="CO3" s="25" t="s">
        <v>115</v>
      </c>
      <c r="CP3" s="23" t="s">
        <v>111</v>
      </c>
      <c r="CQ3" s="24" t="s">
        <v>112</v>
      </c>
      <c r="CR3" s="22" t="s">
        <v>113</v>
      </c>
      <c r="CS3" s="22" t="s">
        <v>114</v>
      </c>
      <c r="CT3" s="25" t="s">
        <v>115</v>
      </c>
      <c r="CU3" s="23" t="s">
        <v>111</v>
      </c>
      <c r="CV3" s="24" t="s">
        <v>112</v>
      </c>
      <c r="CW3" s="22" t="s">
        <v>113</v>
      </c>
      <c r="CX3" s="22" t="s">
        <v>114</v>
      </c>
      <c r="CY3" s="25" t="s">
        <v>115</v>
      </c>
      <c r="CZ3" s="23" t="s">
        <v>111</v>
      </c>
      <c r="DA3" s="24" t="s">
        <v>112</v>
      </c>
      <c r="DB3" s="22" t="s">
        <v>113</v>
      </c>
      <c r="DC3" s="22" t="s">
        <v>114</v>
      </c>
      <c r="DD3" s="25" t="s">
        <v>115</v>
      </c>
      <c r="DE3" s="23" t="s">
        <v>111</v>
      </c>
      <c r="DF3" s="24" t="s">
        <v>112</v>
      </c>
      <c r="DG3" s="22" t="s">
        <v>113</v>
      </c>
      <c r="DH3" s="22" t="s">
        <v>114</v>
      </c>
      <c r="DI3" s="25" t="s">
        <v>115</v>
      </c>
      <c r="DJ3" s="23" t="s">
        <v>111</v>
      </c>
      <c r="DK3" s="24" t="s">
        <v>112</v>
      </c>
      <c r="DL3" s="22" t="s">
        <v>113</v>
      </c>
      <c r="DM3" s="22" t="s">
        <v>114</v>
      </c>
      <c r="DN3" s="25" t="s">
        <v>115</v>
      </c>
      <c r="DO3" s="23" t="s">
        <v>111</v>
      </c>
      <c r="DP3" s="24" t="s">
        <v>112</v>
      </c>
      <c r="DQ3" s="22" t="s">
        <v>113</v>
      </c>
      <c r="DR3" s="22" t="s">
        <v>114</v>
      </c>
      <c r="DS3" s="25" t="s">
        <v>115</v>
      </c>
      <c r="DT3" s="23" t="s">
        <v>111</v>
      </c>
      <c r="DU3" s="24" t="s">
        <v>112</v>
      </c>
      <c r="DV3" s="22" t="s">
        <v>113</v>
      </c>
      <c r="DW3" s="22" t="s">
        <v>114</v>
      </c>
      <c r="DX3" s="25" t="s">
        <v>115</v>
      </c>
      <c r="DY3" s="23" t="s">
        <v>111</v>
      </c>
      <c r="DZ3" s="24" t="s">
        <v>112</v>
      </c>
      <c r="EA3" s="22" t="s">
        <v>113</v>
      </c>
      <c r="EB3" s="22" t="s">
        <v>114</v>
      </c>
      <c r="EC3" s="25" t="s">
        <v>115</v>
      </c>
      <c r="ED3" s="23" t="s">
        <v>111</v>
      </c>
      <c r="EE3" s="24" t="s">
        <v>112</v>
      </c>
      <c r="EF3" s="22" t="s">
        <v>113</v>
      </c>
      <c r="EG3" s="22" t="s">
        <v>114</v>
      </c>
      <c r="EH3" s="25" t="s">
        <v>115</v>
      </c>
      <c r="EI3" s="23" t="s">
        <v>111</v>
      </c>
      <c r="EJ3" s="24" t="s">
        <v>112</v>
      </c>
      <c r="EK3" s="22" t="s">
        <v>113</v>
      </c>
      <c r="EL3" s="22" t="s">
        <v>114</v>
      </c>
      <c r="EM3" s="25" t="s">
        <v>115</v>
      </c>
      <c r="EN3" s="23" t="s">
        <v>111</v>
      </c>
      <c r="EO3" s="24" t="s">
        <v>112</v>
      </c>
      <c r="EP3" s="22" t="s">
        <v>113</v>
      </c>
      <c r="EQ3" s="22" t="s">
        <v>114</v>
      </c>
      <c r="ER3" s="25" t="s">
        <v>115</v>
      </c>
      <c r="ES3" s="23" t="s">
        <v>111</v>
      </c>
      <c r="ET3" s="24" t="s">
        <v>112</v>
      </c>
      <c r="EU3" s="22" t="s">
        <v>113</v>
      </c>
      <c r="EV3" s="22" t="s">
        <v>114</v>
      </c>
      <c r="EW3" s="25" t="s">
        <v>115</v>
      </c>
    </row>
    <row r="4" spans="1:153" ht="19.5" customHeight="1">
      <c r="A4" s="26">
        <f>IF(DAY(DATE(対象年度,10,1))&lt;&gt;1,"",1)</f>
        <v>1</v>
      </c>
      <c r="B4" s="26" t="str">
        <f>IF(DAY(DATE(対象年度,10,1))&lt;&gt;1,"",CHOOSE(WEEKDAY(DATE(対象年度,10,1),2),"月","火","水","木","金","土","日"))</f>
        <v>木</v>
      </c>
      <c r="C4" s="26" t="str">
        <f>IF(DAY(DATE(対象年度,10,1))&lt;&gt;1,"",IF(ISNUMBER(MATCH(DATE(対象年度,10,1),祝日リスト,0)),"祝",""))</f>
        <v/>
      </c>
      <c r="D4" s="27"/>
      <c r="E4" s="28"/>
      <c r="F4" s="29" t="str">
        <f t="shared" ref="F4:F34" si="0">IF(D4="","",IF(ISNUMBER(SEARCH("夜勤",D4)),"",IF(A4="","","○")))</f>
        <v/>
      </c>
      <c r="G4" s="30" t="str">
        <f t="shared" ref="G4:G34" si="1">IF(A4="","",IF(OR(AND(E4&lt;&gt;"",NOT(OR(E4="有給",E4="休業"))),ISNUMBER(SEARCH("夜勤",D4))),"○",""))</f>
        <v/>
      </c>
      <c r="H4" s="31"/>
      <c r="I4" s="27"/>
      <c r="J4" s="28"/>
      <c r="K4" s="29" t="str">
        <f t="shared" ref="K4:K34" si="2">IF(I4="","",IF(ISNUMBER(SEARCH("夜勤",I4)),"",IF(A4="","","○")))</f>
        <v/>
      </c>
      <c r="L4" s="30" t="str">
        <f t="shared" ref="L4:L34" si="3">IF(A4="","",IF(OR(AND(J4&lt;&gt;"",NOT(OR(J4="有給",J4="休業"))),ISNUMBER(SEARCH("夜勤",I4))),"○",""))</f>
        <v/>
      </c>
      <c r="M4" s="31"/>
      <c r="N4" s="27"/>
      <c r="O4" s="28"/>
      <c r="P4" s="29" t="str">
        <f t="shared" ref="P4:P34" si="4">IF(N4="","",IF(ISNUMBER(SEARCH("夜勤",N4)),"",IF(A4="","","○")))</f>
        <v/>
      </c>
      <c r="Q4" s="30" t="str">
        <f t="shared" ref="Q4:Q34" si="5">IF(A4="","",IF(OR(AND(O4&lt;&gt;"",NOT(OR(O4="有給",O4="休業"))),ISNUMBER(SEARCH("夜勤",N4))),"○",""))</f>
        <v/>
      </c>
      <c r="R4" s="31"/>
      <c r="S4" s="27"/>
      <c r="T4" s="28"/>
      <c r="U4" s="29" t="str">
        <f t="shared" ref="U4:U34" si="6">IF(S4="","",IF(ISNUMBER(SEARCH("夜勤",S4)),"",IF(A4="","","○")))</f>
        <v/>
      </c>
      <c r="V4" s="30" t="str">
        <f t="shared" ref="V4:V34" si="7">IF(A4="","",IF(OR(AND(T4&lt;&gt;"",NOT(OR(T4="有給",T4="休業"))),ISNUMBER(SEARCH("夜勤",S4))),"○",""))</f>
        <v/>
      </c>
      <c r="W4" s="31"/>
      <c r="X4" s="27"/>
      <c r="Y4" s="28"/>
      <c r="Z4" s="29" t="str">
        <f t="shared" ref="Z4:Z34" si="8">IF(X4="","",IF(ISNUMBER(SEARCH("夜勤",X4)),"",IF(A4="","","○")))</f>
        <v/>
      </c>
      <c r="AA4" s="30" t="str">
        <f t="shared" ref="AA4:AA34" si="9">IF(A4="","",IF(OR(AND(Y4&lt;&gt;"",NOT(OR(Y4="有給",Y4="休業"))),ISNUMBER(SEARCH("夜勤",X4))),"○",""))</f>
        <v/>
      </c>
      <c r="AB4" s="31"/>
      <c r="AC4" s="27"/>
      <c r="AD4" s="28"/>
      <c r="AE4" s="29" t="str">
        <f t="shared" ref="AE4:AE34" si="10">IF(AC4="","",IF(ISNUMBER(SEARCH("夜勤",AC4)),"",IF(A4="","","○")))</f>
        <v/>
      </c>
      <c r="AF4" s="30" t="str">
        <f t="shared" ref="AF4:AF34" si="11">IF(A4="","",IF(OR(AND(AD4&lt;&gt;"",NOT(OR(AD4="有給",AD4="休業"))),ISNUMBER(SEARCH("夜勤",AC4))),"○",""))</f>
        <v/>
      </c>
      <c r="AG4" s="31"/>
      <c r="AH4" s="27"/>
      <c r="AI4" s="28"/>
      <c r="AJ4" s="29" t="str">
        <f t="shared" ref="AJ4:AJ34" si="12">IF(AH4="","",IF(ISNUMBER(SEARCH("夜勤",AH4)),"",IF(A4="","","○")))</f>
        <v/>
      </c>
      <c r="AK4" s="30" t="str">
        <f t="shared" ref="AK4:AK34" si="13">IF(A4="","",IF(OR(AND(AI4&lt;&gt;"",NOT(OR(AI4="有給",AI4="休業"))),ISNUMBER(SEARCH("夜勤",AH4))),"○",""))</f>
        <v/>
      </c>
      <c r="AL4" s="31"/>
      <c r="AM4" s="27"/>
      <c r="AN4" s="28"/>
      <c r="AO4" s="29" t="str">
        <f t="shared" ref="AO4:AO34" si="14">IF(AM4="","",IF(ISNUMBER(SEARCH("夜勤",AM4)),"",IF(A4="","","○")))</f>
        <v/>
      </c>
      <c r="AP4" s="30" t="str">
        <f t="shared" ref="AP4:AP34" si="15">IF(A4="","",IF(OR(AND(AN4&lt;&gt;"",NOT(OR(AN4="有給",AN4="休業"))),ISNUMBER(SEARCH("夜勤",AM4))),"○",""))</f>
        <v/>
      </c>
      <c r="AQ4" s="31"/>
      <c r="AR4" s="27"/>
      <c r="AS4" s="28"/>
      <c r="AT4" s="29" t="str">
        <f t="shared" ref="AT4:AT34" si="16">IF(AR4="","",IF(ISNUMBER(SEARCH("夜勤",AR4)),"",IF(A4="","","○")))</f>
        <v/>
      </c>
      <c r="AU4" s="30" t="str">
        <f t="shared" ref="AU4:AU34" si="17">IF(A4="","",IF(OR(AND(AS4&lt;&gt;"",NOT(OR(AS4="有給",AS4="休業"))),ISNUMBER(SEARCH("夜勤",AR4))),"○",""))</f>
        <v/>
      </c>
      <c r="AV4" s="31"/>
      <c r="AW4" s="27"/>
      <c r="AX4" s="28"/>
      <c r="AY4" s="29" t="str">
        <f t="shared" ref="AY4:AY34" si="18">IF(AW4="","",IF(ISNUMBER(SEARCH("夜勤",AW4)),"",IF(A4="","","○")))</f>
        <v/>
      </c>
      <c r="AZ4" s="30" t="str">
        <f t="shared" ref="AZ4:AZ34" si="19">IF(A4="","",IF(OR(AND(AX4&lt;&gt;"",NOT(OR(AX4="有給",AX4="休業"))),ISNUMBER(SEARCH("夜勤",AW4))),"○",""))</f>
        <v/>
      </c>
      <c r="BA4" s="31"/>
      <c r="BB4" s="27"/>
      <c r="BC4" s="28"/>
      <c r="BD4" s="29" t="str">
        <f t="shared" ref="BD4:BD34" si="20">IF(BB4="","",IF(ISNUMBER(SEARCH("夜勤",BB4)),"",IF(A4="","","○")))</f>
        <v/>
      </c>
      <c r="BE4" s="30" t="str">
        <f t="shared" ref="BE4:BE34" si="21">IF(A4="","",IF(OR(AND(BC4&lt;&gt;"",NOT(OR(BC4="有給",BC4="休業"))),ISNUMBER(SEARCH("夜勤",BB4))),"○",""))</f>
        <v/>
      </c>
      <c r="BF4" s="31"/>
      <c r="BG4" s="27"/>
      <c r="BH4" s="28"/>
      <c r="BI4" s="29" t="str">
        <f t="shared" ref="BI4:BI34" si="22">IF(BG4="","",IF(ISNUMBER(SEARCH("夜勤",BG4)),"",IF(A4="","","○")))</f>
        <v/>
      </c>
      <c r="BJ4" s="30" t="str">
        <f t="shared" ref="BJ4:BJ34" si="23">IF(A4="","",IF(OR(AND(BH4&lt;&gt;"",NOT(OR(BH4="有給",BH4="休業"))),ISNUMBER(SEARCH("夜勤",BG4))),"○",""))</f>
        <v/>
      </c>
      <c r="BK4" s="31"/>
      <c r="BL4" s="27"/>
      <c r="BM4" s="28"/>
      <c r="BN4" s="29" t="str">
        <f t="shared" ref="BN4:BN34" si="24">IF(BL4="","",IF(ISNUMBER(SEARCH("夜勤",BL4)),"",IF(A4="","","○")))</f>
        <v/>
      </c>
      <c r="BO4" s="30" t="str">
        <f t="shared" ref="BO4:BO34" si="25">IF(A4="","",IF(OR(AND(BM4&lt;&gt;"",NOT(OR(BM4="有給",BM4="休業"))),ISNUMBER(SEARCH("夜勤",BL4))),"○",""))</f>
        <v/>
      </c>
      <c r="BP4" s="31"/>
      <c r="BQ4" s="27"/>
      <c r="BR4" s="28"/>
      <c r="BS4" s="29" t="str">
        <f t="shared" ref="BS4:BS34" si="26">IF(BQ4="","",IF(ISNUMBER(SEARCH("夜勤",BQ4)),"",IF(A4="","","○")))</f>
        <v/>
      </c>
      <c r="BT4" s="30" t="str">
        <f t="shared" ref="BT4:BT34" si="27">IF(A4="","",IF(OR(AND(BR4&lt;&gt;"",NOT(OR(BR4="有給",BR4="休業"))),ISNUMBER(SEARCH("夜勤",BQ4))),"○",""))</f>
        <v/>
      </c>
      <c r="BU4" s="31"/>
      <c r="BV4" s="27"/>
      <c r="BW4" s="28"/>
      <c r="BX4" s="29" t="str">
        <f t="shared" ref="BX4:BX34" si="28">IF(BV4="","",IF(ISNUMBER(SEARCH("夜勤",BV4)),"",IF(A4="","","○")))</f>
        <v/>
      </c>
      <c r="BY4" s="30" t="str">
        <f t="shared" ref="BY4:BY34" si="29">IF(A4="","",IF(OR(AND(BW4&lt;&gt;"",NOT(OR(BW4="有給",BW4="休業"))),ISNUMBER(SEARCH("夜勤",BV4))),"○",""))</f>
        <v/>
      </c>
      <c r="BZ4" s="31"/>
      <c r="CA4" s="27"/>
      <c r="CB4" s="28"/>
      <c r="CC4" s="29" t="str">
        <f t="shared" ref="CC4:CC34" si="30">IF(CA4="","",IF(ISNUMBER(SEARCH("夜勤",CA4)),"",IF(A4="","","○")))</f>
        <v/>
      </c>
      <c r="CD4" s="30" t="str">
        <f t="shared" ref="CD4:CD34" si="31">IF(A4="","",IF(OR(AND(CB4&lt;&gt;"",NOT(OR(CB4="有給",CB4="休業"))),ISNUMBER(SEARCH("夜勤",CA4))),"○",""))</f>
        <v/>
      </c>
      <c r="CE4" s="31"/>
      <c r="CF4" s="27"/>
      <c r="CG4" s="28"/>
      <c r="CH4" s="29" t="str">
        <f t="shared" ref="CH4:CH34" si="32">IF(CF4="","",IF(ISNUMBER(SEARCH("夜勤",CF4)),"",IF(A4="","","○")))</f>
        <v/>
      </c>
      <c r="CI4" s="30" t="str">
        <f t="shared" ref="CI4:CI34" si="33">IF(A4="","",IF(OR(AND(CG4&lt;&gt;"",NOT(OR(CG4="有給",CG4="休業"))),ISNUMBER(SEARCH("夜勤",CF4))),"○",""))</f>
        <v/>
      </c>
      <c r="CJ4" s="31"/>
      <c r="CK4" s="27"/>
      <c r="CL4" s="28"/>
      <c r="CM4" s="29" t="str">
        <f t="shared" ref="CM4:CM34" si="34">IF(CK4="","",IF(ISNUMBER(SEARCH("夜勤",CK4)),"",IF(A4="","","○")))</f>
        <v/>
      </c>
      <c r="CN4" s="30" t="str">
        <f t="shared" ref="CN4:CN34" si="35">IF(A4="","",IF(OR(AND(CL4&lt;&gt;"",NOT(OR(CL4="有給",CL4="休業"))),ISNUMBER(SEARCH("夜勤",CK4))),"○",""))</f>
        <v/>
      </c>
      <c r="CO4" s="31"/>
      <c r="CP4" s="27"/>
      <c r="CQ4" s="28"/>
      <c r="CR4" s="29" t="str">
        <f t="shared" ref="CR4:CR34" si="36">IF(CP4="","",IF(ISNUMBER(SEARCH("夜勤",CP4)),"",IF(A4="","","○")))</f>
        <v/>
      </c>
      <c r="CS4" s="30" t="str">
        <f t="shared" ref="CS4:CS34" si="37">IF(A4="","",IF(OR(AND(CQ4&lt;&gt;"",NOT(OR(CQ4="有給",CQ4="休業"))),ISNUMBER(SEARCH("夜勤",CP4))),"○",""))</f>
        <v/>
      </c>
      <c r="CT4" s="31"/>
      <c r="CU4" s="27"/>
      <c r="CV4" s="28"/>
      <c r="CW4" s="29" t="str">
        <f t="shared" ref="CW4:CW34" si="38">IF(CU4="","",IF(ISNUMBER(SEARCH("夜勤",CU4)),"",IF(A4="","","○")))</f>
        <v/>
      </c>
      <c r="CX4" s="30" t="str">
        <f t="shared" ref="CX4:CX34" si="39">IF(A4="","",IF(OR(AND(CV4&lt;&gt;"",NOT(OR(CV4="有給",CV4="休業"))),ISNUMBER(SEARCH("夜勤",CU4))),"○",""))</f>
        <v/>
      </c>
      <c r="CY4" s="31"/>
      <c r="CZ4" s="27"/>
      <c r="DA4" s="28"/>
      <c r="DB4" s="29" t="str">
        <f t="shared" ref="DB4:DB34" si="40">IF(CZ4="","",IF(ISNUMBER(SEARCH("夜勤",CZ4)),"",IF(A4="","","○")))</f>
        <v/>
      </c>
      <c r="DC4" s="30" t="str">
        <f t="shared" ref="DC4:DC34" si="41">IF(A4="","",IF(OR(AND(DA4&lt;&gt;"",NOT(OR(DA4="有給",DA4="休業"))),ISNUMBER(SEARCH("夜勤",CZ4))),"○",""))</f>
        <v/>
      </c>
      <c r="DD4" s="31"/>
      <c r="DE4" s="27"/>
      <c r="DF4" s="28"/>
      <c r="DG4" s="29" t="str">
        <f t="shared" ref="DG4:DG34" si="42">IF(DE4="","",IF(ISNUMBER(SEARCH("夜勤",DE4)),"",IF(A4="","","○")))</f>
        <v/>
      </c>
      <c r="DH4" s="30" t="str">
        <f t="shared" ref="DH4:DH34" si="43">IF(A4="","",IF(OR(AND(DF4&lt;&gt;"",NOT(OR(DF4="有給",DF4="休業"))),ISNUMBER(SEARCH("夜勤",DE4))),"○",""))</f>
        <v/>
      </c>
      <c r="DI4" s="31"/>
      <c r="DJ4" s="27"/>
      <c r="DK4" s="28"/>
      <c r="DL4" s="29" t="str">
        <f t="shared" ref="DL4:DL34" si="44">IF(DJ4="","",IF(ISNUMBER(SEARCH("夜勤",DJ4)),"",IF(A4="","","○")))</f>
        <v/>
      </c>
      <c r="DM4" s="30" t="str">
        <f t="shared" ref="DM4:DM34" si="45">IF(A4="","",IF(OR(AND(DK4&lt;&gt;"",NOT(OR(DK4="有給",DK4="休業"))),ISNUMBER(SEARCH("夜勤",DJ4))),"○",""))</f>
        <v/>
      </c>
      <c r="DN4" s="31"/>
      <c r="DO4" s="27"/>
      <c r="DP4" s="28"/>
      <c r="DQ4" s="29" t="str">
        <f t="shared" ref="DQ4:DQ34" si="46">IF(DO4="","",IF(ISNUMBER(SEARCH("夜勤",DO4)),"",IF(A4="","","○")))</f>
        <v/>
      </c>
      <c r="DR4" s="30" t="str">
        <f t="shared" ref="DR4:DR34" si="47">IF(A4="","",IF(OR(AND(DP4&lt;&gt;"",NOT(OR(DP4="有給",DP4="休業"))),ISNUMBER(SEARCH("夜勤",DO4))),"○",""))</f>
        <v/>
      </c>
      <c r="DS4" s="31"/>
      <c r="DT4" s="27"/>
      <c r="DU4" s="28"/>
      <c r="DV4" s="29" t="str">
        <f t="shared" ref="DV4:DV34" si="48">IF(DT4="","",IF(ISNUMBER(SEARCH("夜勤",DT4)),"",IF(A4="","","○")))</f>
        <v/>
      </c>
      <c r="DW4" s="30" t="str">
        <f t="shared" ref="DW4:DW34" si="49">IF(A4="","",IF(OR(AND(DU4&lt;&gt;"",NOT(OR(DU4="有給",DU4="休業"))),ISNUMBER(SEARCH("夜勤",DT4))),"○",""))</f>
        <v/>
      </c>
      <c r="DX4" s="31"/>
      <c r="DY4" s="27"/>
      <c r="DZ4" s="28"/>
      <c r="EA4" s="29" t="str">
        <f t="shared" ref="EA4:EA34" si="50">IF(DY4="","",IF(ISNUMBER(SEARCH("夜勤",DY4)),"",IF(A4="","","○")))</f>
        <v/>
      </c>
      <c r="EB4" s="30" t="str">
        <f t="shared" ref="EB4:EB34" si="51">IF(A4="","",IF(OR(AND(DZ4&lt;&gt;"",NOT(OR(DZ4="有給",DZ4="休業"))),ISNUMBER(SEARCH("夜勤",DY4))),"○",""))</f>
        <v/>
      </c>
      <c r="EC4" s="31"/>
      <c r="ED4" s="27"/>
      <c r="EE4" s="28"/>
      <c r="EF4" s="29" t="str">
        <f t="shared" ref="EF4:EF34" si="52">IF(ED4="","",IF(ISNUMBER(SEARCH("夜勤",ED4)),"",IF(A4="","","○")))</f>
        <v/>
      </c>
      <c r="EG4" s="30" t="str">
        <f t="shared" ref="EG4:EG34" si="53">IF(A4="","",IF(OR(AND(EE4&lt;&gt;"",NOT(OR(EE4="有給",EE4="休業"))),ISNUMBER(SEARCH("夜勤",ED4))),"○",""))</f>
        <v/>
      </c>
      <c r="EH4" s="31"/>
      <c r="EI4" s="27"/>
      <c r="EJ4" s="28"/>
      <c r="EK4" s="29" t="str">
        <f t="shared" ref="EK4:EK34" si="54">IF(EI4="","",IF(ISNUMBER(SEARCH("夜勤",EI4)),"",IF(A4="","","○")))</f>
        <v/>
      </c>
      <c r="EL4" s="30" t="str">
        <f t="shared" ref="EL4:EL34" si="55">IF(A4="","",IF(OR(AND(EJ4&lt;&gt;"",NOT(OR(EJ4="有給",EJ4="休業"))),ISNUMBER(SEARCH("夜勤",EI4))),"○",""))</f>
        <v/>
      </c>
      <c r="EM4" s="31"/>
      <c r="EN4" s="27"/>
      <c r="EO4" s="28"/>
      <c r="EP4" s="29" t="str">
        <f t="shared" ref="EP4:EP34" si="56">IF(EN4="","",IF(ISNUMBER(SEARCH("夜勤",EN4)),"",IF(A4="","","○")))</f>
        <v/>
      </c>
      <c r="EQ4" s="30" t="str">
        <f t="shared" ref="EQ4:EQ34" si="57">IF(A4="","",IF(OR(AND(EO4&lt;&gt;"",NOT(OR(EO4="有給",EO4="休業"))),ISNUMBER(SEARCH("夜勤",EN4))),"○",""))</f>
        <v/>
      </c>
      <c r="ER4" s="31"/>
      <c r="ES4" s="27"/>
      <c r="ET4" s="28"/>
      <c r="EU4" s="29" t="str">
        <f t="shared" ref="EU4:EU34" si="58">IF(ES4="","",IF(ISNUMBER(SEARCH("夜勤",ES4)),"",IF(A4="","","○")))</f>
        <v/>
      </c>
      <c r="EV4" s="30" t="str">
        <f t="shared" ref="EV4:EV34" si="59">IF(A4="","",IF(OR(AND(ET4&lt;&gt;"",NOT(OR(ET4="有給",ET4="休業"))),ISNUMBER(SEARCH("夜勤",ES4))),"○",""))</f>
        <v/>
      </c>
      <c r="EW4" s="31"/>
    </row>
    <row r="5" spans="1:153" ht="19.5" customHeight="1">
      <c r="A5" s="32">
        <f>IF(DAY(DATE(対象年度,10,2))&lt;&gt;2,"",2)</f>
        <v>2</v>
      </c>
      <c r="B5" s="32" t="str">
        <f>IF(DAY(DATE(対象年度,10,2))&lt;&gt;2,"",CHOOSE(WEEKDAY(DATE(対象年度,10,2),2),"月","火","水","木","金","土","日"))</f>
        <v>金</v>
      </c>
      <c r="C5" s="32" t="str">
        <f>IF(DAY(DATE(対象年度,10,2))&lt;&gt;2,"",IF(ISNUMBER(MATCH(DATE(対象年度,10,2),祝日リスト,0)),"祝",""))</f>
        <v/>
      </c>
      <c r="D5" s="33"/>
      <c r="E5" s="34"/>
      <c r="F5" s="35" t="str">
        <f t="shared" si="0"/>
        <v/>
      </c>
      <c r="G5" s="36" t="str">
        <f t="shared" si="1"/>
        <v/>
      </c>
      <c r="H5" s="37"/>
      <c r="I5" s="33"/>
      <c r="J5" s="34"/>
      <c r="K5" s="35" t="str">
        <f t="shared" si="2"/>
        <v/>
      </c>
      <c r="L5" s="36" t="str">
        <f t="shared" si="3"/>
        <v/>
      </c>
      <c r="M5" s="37"/>
      <c r="N5" s="33"/>
      <c r="O5" s="34"/>
      <c r="P5" s="35" t="str">
        <f t="shared" si="4"/>
        <v/>
      </c>
      <c r="Q5" s="36" t="str">
        <f t="shared" si="5"/>
        <v/>
      </c>
      <c r="R5" s="37"/>
      <c r="S5" s="33"/>
      <c r="T5" s="34"/>
      <c r="U5" s="35" t="str">
        <f t="shared" si="6"/>
        <v/>
      </c>
      <c r="V5" s="36" t="str">
        <f t="shared" si="7"/>
        <v/>
      </c>
      <c r="W5" s="37"/>
      <c r="X5" s="33"/>
      <c r="Y5" s="34"/>
      <c r="Z5" s="35" t="str">
        <f t="shared" si="8"/>
        <v/>
      </c>
      <c r="AA5" s="36" t="str">
        <f t="shared" si="9"/>
        <v/>
      </c>
      <c r="AB5" s="37"/>
      <c r="AC5" s="33"/>
      <c r="AD5" s="34"/>
      <c r="AE5" s="35" t="str">
        <f t="shared" si="10"/>
        <v/>
      </c>
      <c r="AF5" s="36" t="str">
        <f t="shared" si="11"/>
        <v/>
      </c>
      <c r="AG5" s="37"/>
      <c r="AH5" s="33"/>
      <c r="AI5" s="34"/>
      <c r="AJ5" s="35" t="str">
        <f t="shared" si="12"/>
        <v/>
      </c>
      <c r="AK5" s="36" t="str">
        <f t="shared" si="13"/>
        <v/>
      </c>
      <c r="AL5" s="37"/>
      <c r="AM5" s="33"/>
      <c r="AN5" s="34"/>
      <c r="AO5" s="35" t="str">
        <f t="shared" si="14"/>
        <v/>
      </c>
      <c r="AP5" s="36" t="str">
        <f t="shared" si="15"/>
        <v/>
      </c>
      <c r="AQ5" s="37"/>
      <c r="AR5" s="33"/>
      <c r="AS5" s="34"/>
      <c r="AT5" s="35" t="str">
        <f t="shared" si="16"/>
        <v/>
      </c>
      <c r="AU5" s="36" t="str">
        <f t="shared" si="17"/>
        <v/>
      </c>
      <c r="AV5" s="37"/>
      <c r="AW5" s="33"/>
      <c r="AX5" s="34"/>
      <c r="AY5" s="35" t="str">
        <f t="shared" si="18"/>
        <v/>
      </c>
      <c r="AZ5" s="36" t="str">
        <f t="shared" si="19"/>
        <v/>
      </c>
      <c r="BA5" s="37"/>
      <c r="BB5" s="33"/>
      <c r="BC5" s="34"/>
      <c r="BD5" s="35" t="str">
        <f t="shared" si="20"/>
        <v/>
      </c>
      <c r="BE5" s="36" t="str">
        <f t="shared" si="21"/>
        <v/>
      </c>
      <c r="BF5" s="37"/>
      <c r="BG5" s="33"/>
      <c r="BH5" s="34"/>
      <c r="BI5" s="35" t="str">
        <f t="shared" si="22"/>
        <v/>
      </c>
      <c r="BJ5" s="36" t="str">
        <f t="shared" si="23"/>
        <v/>
      </c>
      <c r="BK5" s="37"/>
      <c r="BL5" s="33"/>
      <c r="BM5" s="34"/>
      <c r="BN5" s="35" t="str">
        <f t="shared" si="24"/>
        <v/>
      </c>
      <c r="BO5" s="36" t="str">
        <f t="shared" si="25"/>
        <v/>
      </c>
      <c r="BP5" s="37"/>
      <c r="BQ5" s="33"/>
      <c r="BR5" s="34"/>
      <c r="BS5" s="35" t="str">
        <f t="shared" si="26"/>
        <v/>
      </c>
      <c r="BT5" s="36" t="str">
        <f t="shared" si="27"/>
        <v/>
      </c>
      <c r="BU5" s="37"/>
      <c r="BV5" s="33"/>
      <c r="BW5" s="34"/>
      <c r="BX5" s="35" t="str">
        <f t="shared" si="28"/>
        <v/>
      </c>
      <c r="BY5" s="36" t="str">
        <f t="shared" si="29"/>
        <v/>
      </c>
      <c r="BZ5" s="37"/>
      <c r="CA5" s="33"/>
      <c r="CB5" s="34"/>
      <c r="CC5" s="35" t="str">
        <f t="shared" si="30"/>
        <v/>
      </c>
      <c r="CD5" s="36" t="str">
        <f t="shared" si="31"/>
        <v/>
      </c>
      <c r="CE5" s="37"/>
      <c r="CF5" s="33"/>
      <c r="CG5" s="34"/>
      <c r="CH5" s="35" t="str">
        <f t="shared" si="32"/>
        <v/>
      </c>
      <c r="CI5" s="36" t="str">
        <f t="shared" si="33"/>
        <v/>
      </c>
      <c r="CJ5" s="37"/>
      <c r="CK5" s="33"/>
      <c r="CL5" s="34"/>
      <c r="CM5" s="35" t="str">
        <f t="shared" si="34"/>
        <v/>
      </c>
      <c r="CN5" s="36" t="str">
        <f t="shared" si="35"/>
        <v/>
      </c>
      <c r="CO5" s="37"/>
      <c r="CP5" s="33"/>
      <c r="CQ5" s="34"/>
      <c r="CR5" s="35" t="str">
        <f t="shared" si="36"/>
        <v/>
      </c>
      <c r="CS5" s="36" t="str">
        <f t="shared" si="37"/>
        <v/>
      </c>
      <c r="CT5" s="37"/>
      <c r="CU5" s="33"/>
      <c r="CV5" s="34"/>
      <c r="CW5" s="35" t="str">
        <f t="shared" si="38"/>
        <v/>
      </c>
      <c r="CX5" s="36" t="str">
        <f t="shared" si="39"/>
        <v/>
      </c>
      <c r="CY5" s="37"/>
      <c r="CZ5" s="33"/>
      <c r="DA5" s="34"/>
      <c r="DB5" s="35" t="str">
        <f t="shared" si="40"/>
        <v/>
      </c>
      <c r="DC5" s="36" t="str">
        <f t="shared" si="41"/>
        <v/>
      </c>
      <c r="DD5" s="37"/>
      <c r="DE5" s="33"/>
      <c r="DF5" s="34"/>
      <c r="DG5" s="35" t="str">
        <f t="shared" si="42"/>
        <v/>
      </c>
      <c r="DH5" s="36" t="str">
        <f t="shared" si="43"/>
        <v/>
      </c>
      <c r="DI5" s="37"/>
      <c r="DJ5" s="33"/>
      <c r="DK5" s="34"/>
      <c r="DL5" s="35" t="str">
        <f t="shared" si="44"/>
        <v/>
      </c>
      <c r="DM5" s="36" t="str">
        <f t="shared" si="45"/>
        <v/>
      </c>
      <c r="DN5" s="37"/>
      <c r="DO5" s="33"/>
      <c r="DP5" s="34"/>
      <c r="DQ5" s="35" t="str">
        <f t="shared" si="46"/>
        <v/>
      </c>
      <c r="DR5" s="36" t="str">
        <f t="shared" si="47"/>
        <v/>
      </c>
      <c r="DS5" s="37"/>
      <c r="DT5" s="33"/>
      <c r="DU5" s="34"/>
      <c r="DV5" s="35" t="str">
        <f t="shared" si="48"/>
        <v/>
      </c>
      <c r="DW5" s="36" t="str">
        <f t="shared" si="49"/>
        <v/>
      </c>
      <c r="DX5" s="37"/>
      <c r="DY5" s="33"/>
      <c r="DZ5" s="34"/>
      <c r="EA5" s="35" t="str">
        <f t="shared" si="50"/>
        <v/>
      </c>
      <c r="EB5" s="36" t="str">
        <f t="shared" si="51"/>
        <v/>
      </c>
      <c r="EC5" s="37"/>
      <c r="ED5" s="33"/>
      <c r="EE5" s="34"/>
      <c r="EF5" s="35" t="str">
        <f t="shared" si="52"/>
        <v/>
      </c>
      <c r="EG5" s="36" t="str">
        <f t="shared" si="53"/>
        <v/>
      </c>
      <c r="EH5" s="37"/>
      <c r="EI5" s="33"/>
      <c r="EJ5" s="34"/>
      <c r="EK5" s="35" t="str">
        <f t="shared" si="54"/>
        <v/>
      </c>
      <c r="EL5" s="36" t="str">
        <f t="shared" si="55"/>
        <v/>
      </c>
      <c r="EM5" s="37"/>
      <c r="EN5" s="33"/>
      <c r="EO5" s="34"/>
      <c r="EP5" s="35" t="str">
        <f t="shared" si="56"/>
        <v/>
      </c>
      <c r="EQ5" s="36" t="str">
        <f t="shared" si="57"/>
        <v/>
      </c>
      <c r="ER5" s="37"/>
      <c r="ES5" s="33"/>
      <c r="ET5" s="34"/>
      <c r="EU5" s="35" t="str">
        <f t="shared" si="58"/>
        <v/>
      </c>
      <c r="EV5" s="36" t="str">
        <f t="shared" si="59"/>
        <v/>
      </c>
      <c r="EW5" s="37"/>
    </row>
    <row r="6" spans="1:153" ht="19.5" customHeight="1">
      <c r="A6" s="32">
        <f>IF(DAY(DATE(対象年度,10,3))&lt;&gt;3,"",3)</f>
        <v>3</v>
      </c>
      <c r="B6" s="32" t="str">
        <f>IF(DAY(DATE(対象年度,10,3))&lt;&gt;3,"",CHOOSE(WEEKDAY(DATE(対象年度,10,3),2),"月","火","水","木","金","土","日"))</f>
        <v>土</v>
      </c>
      <c r="C6" s="32" t="str">
        <f>IF(DAY(DATE(対象年度,10,3))&lt;&gt;3,"",IF(ISNUMBER(MATCH(DATE(対象年度,10,3),祝日リスト,0)),"祝",""))</f>
        <v/>
      </c>
      <c r="D6" s="33"/>
      <c r="E6" s="34"/>
      <c r="F6" s="35" t="str">
        <f t="shared" si="0"/>
        <v/>
      </c>
      <c r="G6" s="36" t="str">
        <f t="shared" si="1"/>
        <v/>
      </c>
      <c r="H6" s="37"/>
      <c r="I6" s="33"/>
      <c r="J6" s="34"/>
      <c r="K6" s="35" t="str">
        <f t="shared" si="2"/>
        <v/>
      </c>
      <c r="L6" s="36" t="str">
        <f t="shared" si="3"/>
        <v/>
      </c>
      <c r="M6" s="37"/>
      <c r="N6" s="33"/>
      <c r="O6" s="34"/>
      <c r="P6" s="35" t="str">
        <f t="shared" si="4"/>
        <v/>
      </c>
      <c r="Q6" s="36" t="str">
        <f t="shared" si="5"/>
        <v/>
      </c>
      <c r="R6" s="37"/>
      <c r="S6" s="33"/>
      <c r="T6" s="34"/>
      <c r="U6" s="35" t="str">
        <f t="shared" si="6"/>
        <v/>
      </c>
      <c r="V6" s="36" t="str">
        <f t="shared" si="7"/>
        <v/>
      </c>
      <c r="W6" s="37"/>
      <c r="X6" s="33"/>
      <c r="Y6" s="34"/>
      <c r="Z6" s="35" t="str">
        <f t="shared" si="8"/>
        <v/>
      </c>
      <c r="AA6" s="36" t="str">
        <f t="shared" si="9"/>
        <v/>
      </c>
      <c r="AB6" s="37"/>
      <c r="AC6" s="33"/>
      <c r="AD6" s="34"/>
      <c r="AE6" s="35" t="str">
        <f t="shared" si="10"/>
        <v/>
      </c>
      <c r="AF6" s="36" t="str">
        <f t="shared" si="11"/>
        <v/>
      </c>
      <c r="AG6" s="37"/>
      <c r="AH6" s="33"/>
      <c r="AI6" s="34"/>
      <c r="AJ6" s="35" t="str">
        <f t="shared" si="12"/>
        <v/>
      </c>
      <c r="AK6" s="36" t="str">
        <f t="shared" si="13"/>
        <v/>
      </c>
      <c r="AL6" s="37"/>
      <c r="AM6" s="33"/>
      <c r="AN6" s="34"/>
      <c r="AO6" s="35" t="str">
        <f t="shared" si="14"/>
        <v/>
      </c>
      <c r="AP6" s="36" t="str">
        <f t="shared" si="15"/>
        <v/>
      </c>
      <c r="AQ6" s="37"/>
      <c r="AR6" s="33"/>
      <c r="AS6" s="34"/>
      <c r="AT6" s="35" t="str">
        <f t="shared" si="16"/>
        <v/>
      </c>
      <c r="AU6" s="36" t="str">
        <f t="shared" si="17"/>
        <v/>
      </c>
      <c r="AV6" s="37"/>
      <c r="AW6" s="33"/>
      <c r="AX6" s="34"/>
      <c r="AY6" s="35" t="str">
        <f t="shared" si="18"/>
        <v/>
      </c>
      <c r="AZ6" s="36" t="str">
        <f t="shared" si="19"/>
        <v/>
      </c>
      <c r="BA6" s="37"/>
      <c r="BB6" s="33"/>
      <c r="BC6" s="34"/>
      <c r="BD6" s="35" t="str">
        <f t="shared" si="20"/>
        <v/>
      </c>
      <c r="BE6" s="36" t="str">
        <f t="shared" si="21"/>
        <v/>
      </c>
      <c r="BF6" s="37"/>
      <c r="BG6" s="33"/>
      <c r="BH6" s="34"/>
      <c r="BI6" s="35" t="str">
        <f t="shared" si="22"/>
        <v/>
      </c>
      <c r="BJ6" s="36" t="str">
        <f t="shared" si="23"/>
        <v/>
      </c>
      <c r="BK6" s="37"/>
      <c r="BL6" s="33"/>
      <c r="BM6" s="34"/>
      <c r="BN6" s="35" t="str">
        <f t="shared" si="24"/>
        <v/>
      </c>
      <c r="BO6" s="36" t="str">
        <f t="shared" si="25"/>
        <v/>
      </c>
      <c r="BP6" s="37"/>
      <c r="BQ6" s="33"/>
      <c r="BR6" s="34"/>
      <c r="BS6" s="35" t="str">
        <f t="shared" si="26"/>
        <v/>
      </c>
      <c r="BT6" s="36" t="str">
        <f t="shared" si="27"/>
        <v/>
      </c>
      <c r="BU6" s="37"/>
      <c r="BV6" s="33"/>
      <c r="BW6" s="34"/>
      <c r="BX6" s="35" t="str">
        <f t="shared" si="28"/>
        <v/>
      </c>
      <c r="BY6" s="36" t="str">
        <f t="shared" si="29"/>
        <v/>
      </c>
      <c r="BZ6" s="37"/>
      <c r="CA6" s="33"/>
      <c r="CB6" s="34"/>
      <c r="CC6" s="35" t="str">
        <f t="shared" si="30"/>
        <v/>
      </c>
      <c r="CD6" s="36" t="str">
        <f t="shared" si="31"/>
        <v/>
      </c>
      <c r="CE6" s="37"/>
      <c r="CF6" s="33"/>
      <c r="CG6" s="34"/>
      <c r="CH6" s="35" t="str">
        <f t="shared" si="32"/>
        <v/>
      </c>
      <c r="CI6" s="36" t="str">
        <f t="shared" si="33"/>
        <v/>
      </c>
      <c r="CJ6" s="37"/>
      <c r="CK6" s="33"/>
      <c r="CL6" s="34"/>
      <c r="CM6" s="35" t="str">
        <f t="shared" si="34"/>
        <v/>
      </c>
      <c r="CN6" s="36" t="str">
        <f t="shared" si="35"/>
        <v/>
      </c>
      <c r="CO6" s="37"/>
      <c r="CP6" s="33"/>
      <c r="CQ6" s="34"/>
      <c r="CR6" s="35" t="str">
        <f t="shared" si="36"/>
        <v/>
      </c>
      <c r="CS6" s="36" t="str">
        <f t="shared" si="37"/>
        <v/>
      </c>
      <c r="CT6" s="37"/>
      <c r="CU6" s="33"/>
      <c r="CV6" s="34"/>
      <c r="CW6" s="35" t="str">
        <f t="shared" si="38"/>
        <v/>
      </c>
      <c r="CX6" s="36" t="str">
        <f t="shared" si="39"/>
        <v/>
      </c>
      <c r="CY6" s="37"/>
      <c r="CZ6" s="33"/>
      <c r="DA6" s="34"/>
      <c r="DB6" s="35" t="str">
        <f t="shared" si="40"/>
        <v/>
      </c>
      <c r="DC6" s="36" t="str">
        <f t="shared" si="41"/>
        <v/>
      </c>
      <c r="DD6" s="37"/>
      <c r="DE6" s="33"/>
      <c r="DF6" s="34"/>
      <c r="DG6" s="35" t="str">
        <f t="shared" si="42"/>
        <v/>
      </c>
      <c r="DH6" s="36" t="str">
        <f t="shared" si="43"/>
        <v/>
      </c>
      <c r="DI6" s="37"/>
      <c r="DJ6" s="33"/>
      <c r="DK6" s="34"/>
      <c r="DL6" s="35" t="str">
        <f t="shared" si="44"/>
        <v/>
      </c>
      <c r="DM6" s="36" t="str">
        <f t="shared" si="45"/>
        <v/>
      </c>
      <c r="DN6" s="37"/>
      <c r="DO6" s="33"/>
      <c r="DP6" s="34"/>
      <c r="DQ6" s="35" t="str">
        <f t="shared" si="46"/>
        <v/>
      </c>
      <c r="DR6" s="36" t="str">
        <f t="shared" si="47"/>
        <v/>
      </c>
      <c r="DS6" s="37"/>
      <c r="DT6" s="33"/>
      <c r="DU6" s="34"/>
      <c r="DV6" s="35" t="str">
        <f t="shared" si="48"/>
        <v/>
      </c>
      <c r="DW6" s="36" t="str">
        <f t="shared" si="49"/>
        <v/>
      </c>
      <c r="DX6" s="37"/>
      <c r="DY6" s="33"/>
      <c r="DZ6" s="34"/>
      <c r="EA6" s="35" t="str">
        <f t="shared" si="50"/>
        <v/>
      </c>
      <c r="EB6" s="36" t="str">
        <f t="shared" si="51"/>
        <v/>
      </c>
      <c r="EC6" s="37"/>
      <c r="ED6" s="33"/>
      <c r="EE6" s="34"/>
      <c r="EF6" s="35" t="str">
        <f t="shared" si="52"/>
        <v/>
      </c>
      <c r="EG6" s="36" t="str">
        <f t="shared" si="53"/>
        <v/>
      </c>
      <c r="EH6" s="37"/>
      <c r="EI6" s="33"/>
      <c r="EJ6" s="34"/>
      <c r="EK6" s="35" t="str">
        <f t="shared" si="54"/>
        <v/>
      </c>
      <c r="EL6" s="36" t="str">
        <f t="shared" si="55"/>
        <v/>
      </c>
      <c r="EM6" s="37"/>
      <c r="EN6" s="33"/>
      <c r="EO6" s="34"/>
      <c r="EP6" s="35" t="str">
        <f t="shared" si="56"/>
        <v/>
      </c>
      <c r="EQ6" s="36" t="str">
        <f t="shared" si="57"/>
        <v/>
      </c>
      <c r="ER6" s="37"/>
      <c r="ES6" s="33"/>
      <c r="ET6" s="34"/>
      <c r="EU6" s="35" t="str">
        <f t="shared" si="58"/>
        <v/>
      </c>
      <c r="EV6" s="36" t="str">
        <f t="shared" si="59"/>
        <v/>
      </c>
      <c r="EW6" s="37"/>
    </row>
    <row r="7" spans="1:153" ht="19.5" customHeight="1">
      <c r="A7" s="32">
        <f>IF(DAY(DATE(対象年度,10,4))&lt;&gt;4,"",4)</f>
        <v>4</v>
      </c>
      <c r="B7" s="32" t="str">
        <f>IF(DAY(DATE(対象年度,10,4))&lt;&gt;4,"",CHOOSE(WEEKDAY(DATE(対象年度,10,4),2),"月","火","水","木","金","土","日"))</f>
        <v>日</v>
      </c>
      <c r="C7" s="32" t="str">
        <f>IF(DAY(DATE(対象年度,10,4))&lt;&gt;4,"",IF(ISNUMBER(MATCH(DATE(対象年度,10,4),祝日リスト,0)),"祝",""))</f>
        <v/>
      </c>
      <c r="D7" s="33"/>
      <c r="E7" s="34"/>
      <c r="F7" s="35" t="str">
        <f t="shared" si="0"/>
        <v/>
      </c>
      <c r="G7" s="36" t="str">
        <f t="shared" si="1"/>
        <v/>
      </c>
      <c r="H7" s="37"/>
      <c r="I7" s="33"/>
      <c r="J7" s="34"/>
      <c r="K7" s="35" t="str">
        <f t="shared" si="2"/>
        <v/>
      </c>
      <c r="L7" s="36" t="str">
        <f t="shared" si="3"/>
        <v/>
      </c>
      <c r="M7" s="37"/>
      <c r="N7" s="33"/>
      <c r="O7" s="34"/>
      <c r="P7" s="35" t="str">
        <f t="shared" si="4"/>
        <v/>
      </c>
      <c r="Q7" s="36" t="str">
        <f t="shared" si="5"/>
        <v/>
      </c>
      <c r="R7" s="37"/>
      <c r="S7" s="33"/>
      <c r="T7" s="34"/>
      <c r="U7" s="35" t="str">
        <f t="shared" si="6"/>
        <v/>
      </c>
      <c r="V7" s="36" t="str">
        <f t="shared" si="7"/>
        <v/>
      </c>
      <c r="W7" s="37"/>
      <c r="X7" s="33"/>
      <c r="Y7" s="34"/>
      <c r="Z7" s="35" t="str">
        <f t="shared" si="8"/>
        <v/>
      </c>
      <c r="AA7" s="36" t="str">
        <f t="shared" si="9"/>
        <v/>
      </c>
      <c r="AB7" s="37"/>
      <c r="AC7" s="33"/>
      <c r="AD7" s="34"/>
      <c r="AE7" s="35" t="str">
        <f t="shared" si="10"/>
        <v/>
      </c>
      <c r="AF7" s="36" t="str">
        <f t="shared" si="11"/>
        <v/>
      </c>
      <c r="AG7" s="37"/>
      <c r="AH7" s="33"/>
      <c r="AI7" s="34"/>
      <c r="AJ7" s="35" t="str">
        <f t="shared" si="12"/>
        <v/>
      </c>
      <c r="AK7" s="36" t="str">
        <f t="shared" si="13"/>
        <v/>
      </c>
      <c r="AL7" s="37"/>
      <c r="AM7" s="33"/>
      <c r="AN7" s="34"/>
      <c r="AO7" s="35" t="str">
        <f t="shared" si="14"/>
        <v/>
      </c>
      <c r="AP7" s="36" t="str">
        <f t="shared" si="15"/>
        <v/>
      </c>
      <c r="AQ7" s="37"/>
      <c r="AR7" s="33"/>
      <c r="AS7" s="34"/>
      <c r="AT7" s="35" t="str">
        <f t="shared" si="16"/>
        <v/>
      </c>
      <c r="AU7" s="36" t="str">
        <f t="shared" si="17"/>
        <v/>
      </c>
      <c r="AV7" s="37"/>
      <c r="AW7" s="33"/>
      <c r="AX7" s="34"/>
      <c r="AY7" s="35" t="str">
        <f t="shared" si="18"/>
        <v/>
      </c>
      <c r="AZ7" s="36" t="str">
        <f t="shared" si="19"/>
        <v/>
      </c>
      <c r="BA7" s="37"/>
      <c r="BB7" s="33"/>
      <c r="BC7" s="34"/>
      <c r="BD7" s="35" t="str">
        <f t="shared" si="20"/>
        <v/>
      </c>
      <c r="BE7" s="36" t="str">
        <f t="shared" si="21"/>
        <v/>
      </c>
      <c r="BF7" s="37"/>
      <c r="BG7" s="33"/>
      <c r="BH7" s="34"/>
      <c r="BI7" s="35" t="str">
        <f t="shared" si="22"/>
        <v/>
      </c>
      <c r="BJ7" s="36" t="str">
        <f t="shared" si="23"/>
        <v/>
      </c>
      <c r="BK7" s="37"/>
      <c r="BL7" s="33"/>
      <c r="BM7" s="34"/>
      <c r="BN7" s="35" t="str">
        <f t="shared" si="24"/>
        <v/>
      </c>
      <c r="BO7" s="36" t="str">
        <f t="shared" si="25"/>
        <v/>
      </c>
      <c r="BP7" s="37"/>
      <c r="BQ7" s="33"/>
      <c r="BR7" s="34"/>
      <c r="BS7" s="35" t="str">
        <f t="shared" si="26"/>
        <v/>
      </c>
      <c r="BT7" s="36" t="str">
        <f t="shared" si="27"/>
        <v/>
      </c>
      <c r="BU7" s="37"/>
      <c r="BV7" s="33"/>
      <c r="BW7" s="34"/>
      <c r="BX7" s="35" t="str">
        <f t="shared" si="28"/>
        <v/>
      </c>
      <c r="BY7" s="36" t="str">
        <f t="shared" si="29"/>
        <v/>
      </c>
      <c r="BZ7" s="37"/>
      <c r="CA7" s="33"/>
      <c r="CB7" s="34"/>
      <c r="CC7" s="35" t="str">
        <f t="shared" si="30"/>
        <v/>
      </c>
      <c r="CD7" s="36" t="str">
        <f t="shared" si="31"/>
        <v/>
      </c>
      <c r="CE7" s="37"/>
      <c r="CF7" s="33"/>
      <c r="CG7" s="34"/>
      <c r="CH7" s="35" t="str">
        <f t="shared" si="32"/>
        <v/>
      </c>
      <c r="CI7" s="36" t="str">
        <f t="shared" si="33"/>
        <v/>
      </c>
      <c r="CJ7" s="37"/>
      <c r="CK7" s="33"/>
      <c r="CL7" s="34"/>
      <c r="CM7" s="35" t="str">
        <f t="shared" si="34"/>
        <v/>
      </c>
      <c r="CN7" s="36" t="str">
        <f t="shared" si="35"/>
        <v/>
      </c>
      <c r="CO7" s="37"/>
      <c r="CP7" s="33"/>
      <c r="CQ7" s="34"/>
      <c r="CR7" s="35" t="str">
        <f t="shared" si="36"/>
        <v/>
      </c>
      <c r="CS7" s="36" t="str">
        <f t="shared" si="37"/>
        <v/>
      </c>
      <c r="CT7" s="37"/>
      <c r="CU7" s="33"/>
      <c r="CV7" s="34"/>
      <c r="CW7" s="35" t="str">
        <f t="shared" si="38"/>
        <v/>
      </c>
      <c r="CX7" s="36" t="str">
        <f t="shared" si="39"/>
        <v/>
      </c>
      <c r="CY7" s="37"/>
      <c r="CZ7" s="33"/>
      <c r="DA7" s="34"/>
      <c r="DB7" s="35" t="str">
        <f t="shared" si="40"/>
        <v/>
      </c>
      <c r="DC7" s="36" t="str">
        <f t="shared" si="41"/>
        <v/>
      </c>
      <c r="DD7" s="37"/>
      <c r="DE7" s="33"/>
      <c r="DF7" s="34"/>
      <c r="DG7" s="35" t="str">
        <f t="shared" si="42"/>
        <v/>
      </c>
      <c r="DH7" s="36" t="str">
        <f t="shared" si="43"/>
        <v/>
      </c>
      <c r="DI7" s="37"/>
      <c r="DJ7" s="33"/>
      <c r="DK7" s="34"/>
      <c r="DL7" s="35" t="str">
        <f t="shared" si="44"/>
        <v/>
      </c>
      <c r="DM7" s="36" t="str">
        <f t="shared" si="45"/>
        <v/>
      </c>
      <c r="DN7" s="37"/>
      <c r="DO7" s="33"/>
      <c r="DP7" s="34"/>
      <c r="DQ7" s="35" t="str">
        <f t="shared" si="46"/>
        <v/>
      </c>
      <c r="DR7" s="36" t="str">
        <f t="shared" si="47"/>
        <v/>
      </c>
      <c r="DS7" s="37"/>
      <c r="DT7" s="33"/>
      <c r="DU7" s="34"/>
      <c r="DV7" s="35" t="str">
        <f t="shared" si="48"/>
        <v/>
      </c>
      <c r="DW7" s="36" t="str">
        <f t="shared" si="49"/>
        <v/>
      </c>
      <c r="DX7" s="37"/>
      <c r="DY7" s="33"/>
      <c r="DZ7" s="34"/>
      <c r="EA7" s="35" t="str">
        <f t="shared" si="50"/>
        <v/>
      </c>
      <c r="EB7" s="36" t="str">
        <f t="shared" si="51"/>
        <v/>
      </c>
      <c r="EC7" s="37"/>
      <c r="ED7" s="33"/>
      <c r="EE7" s="34"/>
      <c r="EF7" s="35" t="str">
        <f t="shared" si="52"/>
        <v/>
      </c>
      <c r="EG7" s="36" t="str">
        <f t="shared" si="53"/>
        <v/>
      </c>
      <c r="EH7" s="37"/>
      <c r="EI7" s="33"/>
      <c r="EJ7" s="34"/>
      <c r="EK7" s="35" t="str">
        <f t="shared" si="54"/>
        <v/>
      </c>
      <c r="EL7" s="36" t="str">
        <f t="shared" si="55"/>
        <v/>
      </c>
      <c r="EM7" s="37"/>
      <c r="EN7" s="33"/>
      <c r="EO7" s="34"/>
      <c r="EP7" s="35" t="str">
        <f t="shared" si="56"/>
        <v/>
      </c>
      <c r="EQ7" s="36" t="str">
        <f t="shared" si="57"/>
        <v/>
      </c>
      <c r="ER7" s="37"/>
      <c r="ES7" s="33"/>
      <c r="ET7" s="34"/>
      <c r="EU7" s="35" t="str">
        <f t="shared" si="58"/>
        <v/>
      </c>
      <c r="EV7" s="36" t="str">
        <f t="shared" si="59"/>
        <v/>
      </c>
      <c r="EW7" s="37"/>
    </row>
    <row r="8" spans="1:153" ht="19.5" customHeight="1">
      <c r="A8" s="32">
        <f>IF(DAY(DATE(対象年度,10,5))&lt;&gt;5,"",5)</f>
        <v>5</v>
      </c>
      <c r="B8" s="32" t="str">
        <f>IF(DAY(DATE(対象年度,10,5))&lt;&gt;5,"",CHOOSE(WEEKDAY(DATE(対象年度,10,5),2),"月","火","水","木","金","土","日"))</f>
        <v>月</v>
      </c>
      <c r="C8" s="32" t="str">
        <f>IF(DAY(DATE(対象年度,10,5))&lt;&gt;5,"",IF(ISNUMBER(MATCH(DATE(対象年度,10,5),祝日リスト,0)),"祝",""))</f>
        <v/>
      </c>
      <c r="D8" s="33"/>
      <c r="E8" s="34"/>
      <c r="F8" s="35" t="str">
        <f t="shared" si="0"/>
        <v/>
      </c>
      <c r="G8" s="36" t="str">
        <f t="shared" si="1"/>
        <v/>
      </c>
      <c r="H8" s="37"/>
      <c r="I8" s="33"/>
      <c r="J8" s="34"/>
      <c r="K8" s="35" t="str">
        <f t="shared" si="2"/>
        <v/>
      </c>
      <c r="L8" s="36" t="str">
        <f t="shared" si="3"/>
        <v/>
      </c>
      <c r="M8" s="37"/>
      <c r="N8" s="33"/>
      <c r="O8" s="34"/>
      <c r="P8" s="35" t="str">
        <f t="shared" si="4"/>
        <v/>
      </c>
      <c r="Q8" s="36" t="str">
        <f t="shared" si="5"/>
        <v/>
      </c>
      <c r="R8" s="37"/>
      <c r="S8" s="33"/>
      <c r="T8" s="34"/>
      <c r="U8" s="35" t="str">
        <f t="shared" si="6"/>
        <v/>
      </c>
      <c r="V8" s="36" t="str">
        <f t="shared" si="7"/>
        <v/>
      </c>
      <c r="W8" s="37"/>
      <c r="X8" s="33"/>
      <c r="Y8" s="34"/>
      <c r="Z8" s="35" t="str">
        <f t="shared" si="8"/>
        <v/>
      </c>
      <c r="AA8" s="36" t="str">
        <f t="shared" si="9"/>
        <v/>
      </c>
      <c r="AB8" s="37"/>
      <c r="AC8" s="33"/>
      <c r="AD8" s="34"/>
      <c r="AE8" s="35" t="str">
        <f t="shared" si="10"/>
        <v/>
      </c>
      <c r="AF8" s="36" t="str">
        <f t="shared" si="11"/>
        <v/>
      </c>
      <c r="AG8" s="37"/>
      <c r="AH8" s="33"/>
      <c r="AI8" s="34"/>
      <c r="AJ8" s="35" t="str">
        <f t="shared" si="12"/>
        <v/>
      </c>
      <c r="AK8" s="36" t="str">
        <f t="shared" si="13"/>
        <v/>
      </c>
      <c r="AL8" s="37"/>
      <c r="AM8" s="33"/>
      <c r="AN8" s="34"/>
      <c r="AO8" s="35" t="str">
        <f t="shared" si="14"/>
        <v/>
      </c>
      <c r="AP8" s="36" t="str">
        <f t="shared" si="15"/>
        <v/>
      </c>
      <c r="AQ8" s="37"/>
      <c r="AR8" s="33"/>
      <c r="AS8" s="34"/>
      <c r="AT8" s="35" t="str">
        <f t="shared" si="16"/>
        <v/>
      </c>
      <c r="AU8" s="36" t="str">
        <f t="shared" si="17"/>
        <v/>
      </c>
      <c r="AV8" s="37"/>
      <c r="AW8" s="33"/>
      <c r="AX8" s="34"/>
      <c r="AY8" s="35" t="str">
        <f t="shared" si="18"/>
        <v/>
      </c>
      <c r="AZ8" s="36" t="str">
        <f t="shared" si="19"/>
        <v/>
      </c>
      <c r="BA8" s="37"/>
      <c r="BB8" s="33"/>
      <c r="BC8" s="34"/>
      <c r="BD8" s="35" t="str">
        <f t="shared" si="20"/>
        <v/>
      </c>
      <c r="BE8" s="36" t="str">
        <f t="shared" si="21"/>
        <v/>
      </c>
      <c r="BF8" s="37"/>
      <c r="BG8" s="33"/>
      <c r="BH8" s="34"/>
      <c r="BI8" s="35" t="str">
        <f t="shared" si="22"/>
        <v/>
      </c>
      <c r="BJ8" s="36" t="str">
        <f t="shared" si="23"/>
        <v/>
      </c>
      <c r="BK8" s="37"/>
      <c r="BL8" s="33"/>
      <c r="BM8" s="34"/>
      <c r="BN8" s="35" t="str">
        <f t="shared" si="24"/>
        <v/>
      </c>
      <c r="BO8" s="36" t="str">
        <f t="shared" si="25"/>
        <v/>
      </c>
      <c r="BP8" s="37"/>
      <c r="BQ8" s="33"/>
      <c r="BR8" s="34"/>
      <c r="BS8" s="35" t="str">
        <f t="shared" si="26"/>
        <v/>
      </c>
      <c r="BT8" s="36" t="str">
        <f t="shared" si="27"/>
        <v/>
      </c>
      <c r="BU8" s="37"/>
      <c r="BV8" s="33"/>
      <c r="BW8" s="34"/>
      <c r="BX8" s="35" t="str">
        <f t="shared" si="28"/>
        <v/>
      </c>
      <c r="BY8" s="36" t="str">
        <f t="shared" si="29"/>
        <v/>
      </c>
      <c r="BZ8" s="37"/>
      <c r="CA8" s="33"/>
      <c r="CB8" s="34"/>
      <c r="CC8" s="35" t="str">
        <f t="shared" si="30"/>
        <v/>
      </c>
      <c r="CD8" s="36" t="str">
        <f t="shared" si="31"/>
        <v/>
      </c>
      <c r="CE8" s="37"/>
      <c r="CF8" s="33"/>
      <c r="CG8" s="34"/>
      <c r="CH8" s="35" t="str">
        <f t="shared" si="32"/>
        <v/>
      </c>
      <c r="CI8" s="36" t="str">
        <f t="shared" si="33"/>
        <v/>
      </c>
      <c r="CJ8" s="37"/>
      <c r="CK8" s="33"/>
      <c r="CL8" s="34"/>
      <c r="CM8" s="35" t="str">
        <f t="shared" si="34"/>
        <v/>
      </c>
      <c r="CN8" s="36" t="str">
        <f t="shared" si="35"/>
        <v/>
      </c>
      <c r="CO8" s="37"/>
      <c r="CP8" s="33"/>
      <c r="CQ8" s="34"/>
      <c r="CR8" s="35" t="str">
        <f t="shared" si="36"/>
        <v/>
      </c>
      <c r="CS8" s="36" t="str">
        <f t="shared" si="37"/>
        <v/>
      </c>
      <c r="CT8" s="37"/>
      <c r="CU8" s="33"/>
      <c r="CV8" s="34"/>
      <c r="CW8" s="35" t="str">
        <f t="shared" si="38"/>
        <v/>
      </c>
      <c r="CX8" s="36" t="str">
        <f t="shared" si="39"/>
        <v/>
      </c>
      <c r="CY8" s="37"/>
      <c r="CZ8" s="33"/>
      <c r="DA8" s="34"/>
      <c r="DB8" s="35" t="str">
        <f t="shared" si="40"/>
        <v/>
      </c>
      <c r="DC8" s="36" t="str">
        <f t="shared" si="41"/>
        <v/>
      </c>
      <c r="DD8" s="37"/>
      <c r="DE8" s="33"/>
      <c r="DF8" s="34"/>
      <c r="DG8" s="35" t="str">
        <f t="shared" si="42"/>
        <v/>
      </c>
      <c r="DH8" s="36" t="str">
        <f t="shared" si="43"/>
        <v/>
      </c>
      <c r="DI8" s="37"/>
      <c r="DJ8" s="33"/>
      <c r="DK8" s="34"/>
      <c r="DL8" s="35" t="str">
        <f t="shared" si="44"/>
        <v/>
      </c>
      <c r="DM8" s="36" t="str">
        <f t="shared" si="45"/>
        <v/>
      </c>
      <c r="DN8" s="37"/>
      <c r="DO8" s="33"/>
      <c r="DP8" s="34"/>
      <c r="DQ8" s="35" t="str">
        <f t="shared" si="46"/>
        <v/>
      </c>
      <c r="DR8" s="36" t="str">
        <f t="shared" si="47"/>
        <v/>
      </c>
      <c r="DS8" s="37"/>
      <c r="DT8" s="33"/>
      <c r="DU8" s="34"/>
      <c r="DV8" s="35" t="str">
        <f t="shared" si="48"/>
        <v/>
      </c>
      <c r="DW8" s="36" t="str">
        <f t="shared" si="49"/>
        <v/>
      </c>
      <c r="DX8" s="37"/>
      <c r="DY8" s="33"/>
      <c r="DZ8" s="34"/>
      <c r="EA8" s="35" t="str">
        <f t="shared" si="50"/>
        <v/>
      </c>
      <c r="EB8" s="36" t="str">
        <f t="shared" si="51"/>
        <v/>
      </c>
      <c r="EC8" s="37"/>
      <c r="ED8" s="33"/>
      <c r="EE8" s="34"/>
      <c r="EF8" s="35" t="str">
        <f t="shared" si="52"/>
        <v/>
      </c>
      <c r="EG8" s="36" t="str">
        <f t="shared" si="53"/>
        <v/>
      </c>
      <c r="EH8" s="37"/>
      <c r="EI8" s="33"/>
      <c r="EJ8" s="34"/>
      <c r="EK8" s="35" t="str">
        <f t="shared" si="54"/>
        <v/>
      </c>
      <c r="EL8" s="36" t="str">
        <f t="shared" si="55"/>
        <v/>
      </c>
      <c r="EM8" s="37"/>
      <c r="EN8" s="33"/>
      <c r="EO8" s="34"/>
      <c r="EP8" s="35" t="str">
        <f t="shared" si="56"/>
        <v/>
      </c>
      <c r="EQ8" s="36" t="str">
        <f t="shared" si="57"/>
        <v/>
      </c>
      <c r="ER8" s="37"/>
      <c r="ES8" s="33"/>
      <c r="ET8" s="34"/>
      <c r="EU8" s="35" t="str">
        <f t="shared" si="58"/>
        <v/>
      </c>
      <c r="EV8" s="36" t="str">
        <f t="shared" si="59"/>
        <v/>
      </c>
      <c r="EW8" s="37"/>
    </row>
    <row r="9" spans="1:153" ht="19.5" customHeight="1">
      <c r="A9" s="32">
        <f>IF(DAY(DATE(対象年度,10,6))&lt;&gt;6,"",6)</f>
        <v>6</v>
      </c>
      <c r="B9" s="32" t="str">
        <f>IF(DAY(DATE(対象年度,10,6))&lt;&gt;6,"",CHOOSE(WEEKDAY(DATE(対象年度,10,6),2),"月","火","水","木","金","土","日"))</f>
        <v>火</v>
      </c>
      <c r="C9" s="32" t="str">
        <f>IF(DAY(DATE(対象年度,10,6))&lt;&gt;6,"",IF(ISNUMBER(MATCH(DATE(対象年度,10,6),祝日リスト,0)),"祝",""))</f>
        <v/>
      </c>
      <c r="D9" s="33"/>
      <c r="E9" s="34"/>
      <c r="F9" s="35" t="str">
        <f t="shared" si="0"/>
        <v/>
      </c>
      <c r="G9" s="36" t="str">
        <f t="shared" si="1"/>
        <v/>
      </c>
      <c r="H9" s="37"/>
      <c r="I9" s="33"/>
      <c r="J9" s="34"/>
      <c r="K9" s="35" t="str">
        <f t="shared" si="2"/>
        <v/>
      </c>
      <c r="L9" s="36" t="str">
        <f t="shared" si="3"/>
        <v/>
      </c>
      <c r="M9" s="37"/>
      <c r="N9" s="33"/>
      <c r="O9" s="34"/>
      <c r="P9" s="35" t="str">
        <f t="shared" si="4"/>
        <v/>
      </c>
      <c r="Q9" s="36" t="str">
        <f t="shared" si="5"/>
        <v/>
      </c>
      <c r="R9" s="37"/>
      <c r="S9" s="33"/>
      <c r="T9" s="34"/>
      <c r="U9" s="35" t="str">
        <f t="shared" si="6"/>
        <v/>
      </c>
      <c r="V9" s="36" t="str">
        <f t="shared" si="7"/>
        <v/>
      </c>
      <c r="W9" s="37"/>
      <c r="X9" s="33"/>
      <c r="Y9" s="34"/>
      <c r="Z9" s="35" t="str">
        <f t="shared" si="8"/>
        <v/>
      </c>
      <c r="AA9" s="36" t="str">
        <f t="shared" si="9"/>
        <v/>
      </c>
      <c r="AB9" s="37"/>
      <c r="AC9" s="33"/>
      <c r="AD9" s="34"/>
      <c r="AE9" s="35" t="str">
        <f t="shared" si="10"/>
        <v/>
      </c>
      <c r="AF9" s="36" t="str">
        <f t="shared" si="11"/>
        <v/>
      </c>
      <c r="AG9" s="37"/>
      <c r="AH9" s="33"/>
      <c r="AI9" s="34"/>
      <c r="AJ9" s="35" t="str">
        <f t="shared" si="12"/>
        <v/>
      </c>
      <c r="AK9" s="36" t="str">
        <f t="shared" si="13"/>
        <v/>
      </c>
      <c r="AL9" s="37"/>
      <c r="AM9" s="33"/>
      <c r="AN9" s="34"/>
      <c r="AO9" s="35" t="str">
        <f t="shared" si="14"/>
        <v/>
      </c>
      <c r="AP9" s="36" t="str">
        <f t="shared" si="15"/>
        <v/>
      </c>
      <c r="AQ9" s="37"/>
      <c r="AR9" s="33"/>
      <c r="AS9" s="34"/>
      <c r="AT9" s="35" t="str">
        <f t="shared" si="16"/>
        <v/>
      </c>
      <c r="AU9" s="36" t="str">
        <f t="shared" si="17"/>
        <v/>
      </c>
      <c r="AV9" s="37"/>
      <c r="AW9" s="33"/>
      <c r="AX9" s="34"/>
      <c r="AY9" s="35" t="str">
        <f t="shared" si="18"/>
        <v/>
      </c>
      <c r="AZ9" s="36" t="str">
        <f t="shared" si="19"/>
        <v/>
      </c>
      <c r="BA9" s="37"/>
      <c r="BB9" s="33"/>
      <c r="BC9" s="34"/>
      <c r="BD9" s="35" t="str">
        <f t="shared" si="20"/>
        <v/>
      </c>
      <c r="BE9" s="36" t="str">
        <f t="shared" si="21"/>
        <v/>
      </c>
      <c r="BF9" s="37"/>
      <c r="BG9" s="33"/>
      <c r="BH9" s="34"/>
      <c r="BI9" s="35" t="str">
        <f t="shared" si="22"/>
        <v/>
      </c>
      <c r="BJ9" s="36" t="str">
        <f t="shared" si="23"/>
        <v/>
      </c>
      <c r="BK9" s="37"/>
      <c r="BL9" s="33"/>
      <c r="BM9" s="34"/>
      <c r="BN9" s="35" t="str">
        <f t="shared" si="24"/>
        <v/>
      </c>
      <c r="BO9" s="36" t="str">
        <f t="shared" si="25"/>
        <v/>
      </c>
      <c r="BP9" s="37"/>
      <c r="BQ9" s="33"/>
      <c r="BR9" s="34"/>
      <c r="BS9" s="35" t="str">
        <f t="shared" si="26"/>
        <v/>
      </c>
      <c r="BT9" s="36" t="str">
        <f t="shared" si="27"/>
        <v/>
      </c>
      <c r="BU9" s="37"/>
      <c r="BV9" s="33"/>
      <c r="BW9" s="34"/>
      <c r="BX9" s="35" t="str">
        <f t="shared" si="28"/>
        <v/>
      </c>
      <c r="BY9" s="36" t="str">
        <f t="shared" si="29"/>
        <v/>
      </c>
      <c r="BZ9" s="37"/>
      <c r="CA9" s="33"/>
      <c r="CB9" s="34"/>
      <c r="CC9" s="35" t="str">
        <f t="shared" si="30"/>
        <v/>
      </c>
      <c r="CD9" s="36" t="str">
        <f t="shared" si="31"/>
        <v/>
      </c>
      <c r="CE9" s="37"/>
      <c r="CF9" s="33"/>
      <c r="CG9" s="34"/>
      <c r="CH9" s="35" t="str">
        <f t="shared" si="32"/>
        <v/>
      </c>
      <c r="CI9" s="36" t="str">
        <f t="shared" si="33"/>
        <v/>
      </c>
      <c r="CJ9" s="37"/>
      <c r="CK9" s="33"/>
      <c r="CL9" s="34"/>
      <c r="CM9" s="35" t="str">
        <f t="shared" si="34"/>
        <v/>
      </c>
      <c r="CN9" s="36" t="str">
        <f t="shared" si="35"/>
        <v/>
      </c>
      <c r="CO9" s="37"/>
      <c r="CP9" s="33"/>
      <c r="CQ9" s="34"/>
      <c r="CR9" s="35" t="str">
        <f t="shared" si="36"/>
        <v/>
      </c>
      <c r="CS9" s="36" t="str">
        <f t="shared" si="37"/>
        <v/>
      </c>
      <c r="CT9" s="37"/>
      <c r="CU9" s="33"/>
      <c r="CV9" s="34"/>
      <c r="CW9" s="35" t="str">
        <f t="shared" si="38"/>
        <v/>
      </c>
      <c r="CX9" s="36" t="str">
        <f t="shared" si="39"/>
        <v/>
      </c>
      <c r="CY9" s="37"/>
      <c r="CZ9" s="33"/>
      <c r="DA9" s="34"/>
      <c r="DB9" s="35" t="str">
        <f t="shared" si="40"/>
        <v/>
      </c>
      <c r="DC9" s="36" t="str">
        <f t="shared" si="41"/>
        <v/>
      </c>
      <c r="DD9" s="37"/>
      <c r="DE9" s="33"/>
      <c r="DF9" s="34"/>
      <c r="DG9" s="35" t="str">
        <f t="shared" si="42"/>
        <v/>
      </c>
      <c r="DH9" s="36" t="str">
        <f t="shared" si="43"/>
        <v/>
      </c>
      <c r="DI9" s="37"/>
      <c r="DJ9" s="33"/>
      <c r="DK9" s="34"/>
      <c r="DL9" s="35" t="str">
        <f t="shared" si="44"/>
        <v/>
      </c>
      <c r="DM9" s="36" t="str">
        <f t="shared" si="45"/>
        <v/>
      </c>
      <c r="DN9" s="37"/>
      <c r="DO9" s="33"/>
      <c r="DP9" s="34"/>
      <c r="DQ9" s="35" t="str">
        <f t="shared" si="46"/>
        <v/>
      </c>
      <c r="DR9" s="36" t="str">
        <f t="shared" si="47"/>
        <v/>
      </c>
      <c r="DS9" s="37"/>
      <c r="DT9" s="33"/>
      <c r="DU9" s="34"/>
      <c r="DV9" s="35" t="str">
        <f t="shared" si="48"/>
        <v/>
      </c>
      <c r="DW9" s="36" t="str">
        <f t="shared" si="49"/>
        <v/>
      </c>
      <c r="DX9" s="37"/>
      <c r="DY9" s="33"/>
      <c r="DZ9" s="34"/>
      <c r="EA9" s="35" t="str">
        <f t="shared" si="50"/>
        <v/>
      </c>
      <c r="EB9" s="36" t="str">
        <f t="shared" si="51"/>
        <v/>
      </c>
      <c r="EC9" s="37"/>
      <c r="ED9" s="33"/>
      <c r="EE9" s="34"/>
      <c r="EF9" s="35" t="str">
        <f t="shared" si="52"/>
        <v/>
      </c>
      <c r="EG9" s="36" t="str">
        <f t="shared" si="53"/>
        <v/>
      </c>
      <c r="EH9" s="37"/>
      <c r="EI9" s="33"/>
      <c r="EJ9" s="34"/>
      <c r="EK9" s="35" t="str">
        <f t="shared" si="54"/>
        <v/>
      </c>
      <c r="EL9" s="36" t="str">
        <f t="shared" si="55"/>
        <v/>
      </c>
      <c r="EM9" s="37"/>
      <c r="EN9" s="33"/>
      <c r="EO9" s="34"/>
      <c r="EP9" s="35" t="str">
        <f t="shared" si="56"/>
        <v/>
      </c>
      <c r="EQ9" s="36" t="str">
        <f t="shared" si="57"/>
        <v/>
      </c>
      <c r="ER9" s="37"/>
      <c r="ES9" s="33"/>
      <c r="ET9" s="34"/>
      <c r="EU9" s="35" t="str">
        <f t="shared" si="58"/>
        <v/>
      </c>
      <c r="EV9" s="36" t="str">
        <f t="shared" si="59"/>
        <v/>
      </c>
      <c r="EW9" s="37"/>
    </row>
    <row r="10" spans="1:153" ht="19.5" customHeight="1">
      <c r="A10" s="32">
        <f>IF(DAY(DATE(対象年度,10,7))&lt;&gt;7,"",7)</f>
        <v>7</v>
      </c>
      <c r="B10" s="32" t="str">
        <f>IF(DAY(DATE(対象年度,10,7))&lt;&gt;7,"",CHOOSE(WEEKDAY(DATE(対象年度,10,7),2),"月","火","水","木","金","土","日"))</f>
        <v>水</v>
      </c>
      <c r="C10" s="32" t="str">
        <f>IF(DAY(DATE(対象年度,10,7))&lt;&gt;7,"",IF(ISNUMBER(MATCH(DATE(対象年度,10,7),祝日リスト,0)),"祝",""))</f>
        <v/>
      </c>
      <c r="D10" s="33"/>
      <c r="E10" s="34"/>
      <c r="F10" s="35" t="str">
        <f t="shared" si="0"/>
        <v/>
      </c>
      <c r="G10" s="36" t="str">
        <f t="shared" si="1"/>
        <v/>
      </c>
      <c r="H10" s="37"/>
      <c r="I10" s="33"/>
      <c r="J10" s="34"/>
      <c r="K10" s="35" t="str">
        <f t="shared" si="2"/>
        <v/>
      </c>
      <c r="L10" s="36" t="str">
        <f t="shared" si="3"/>
        <v/>
      </c>
      <c r="M10" s="37"/>
      <c r="N10" s="33"/>
      <c r="O10" s="34"/>
      <c r="P10" s="35" t="str">
        <f t="shared" si="4"/>
        <v/>
      </c>
      <c r="Q10" s="36" t="str">
        <f t="shared" si="5"/>
        <v/>
      </c>
      <c r="R10" s="37"/>
      <c r="S10" s="33"/>
      <c r="T10" s="34"/>
      <c r="U10" s="35" t="str">
        <f t="shared" si="6"/>
        <v/>
      </c>
      <c r="V10" s="36" t="str">
        <f t="shared" si="7"/>
        <v/>
      </c>
      <c r="W10" s="37"/>
      <c r="X10" s="33"/>
      <c r="Y10" s="34"/>
      <c r="Z10" s="35" t="str">
        <f t="shared" si="8"/>
        <v/>
      </c>
      <c r="AA10" s="36" t="str">
        <f t="shared" si="9"/>
        <v/>
      </c>
      <c r="AB10" s="37"/>
      <c r="AC10" s="33"/>
      <c r="AD10" s="34"/>
      <c r="AE10" s="35" t="str">
        <f t="shared" si="10"/>
        <v/>
      </c>
      <c r="AF10" s="36" t="str">
        <f t="shared" si="11"/>
        <v/>
      </c>
      <c r="AG10" s="37"/>
      <c r="AH10" s="33"/>
      <c r="AI10" s="34"/>
      <c r="AJ10" s="35" t="str">
        <f t="shared" si="12"/>
        <v/>
      </c>
      <c r="AK10" s="36" t="str">
        <f t="shared" si="13"/>
        <v/>
      </c>
      <c r="AL10" s="37"/>
      <c r="AM10" s="33"/>
      <c r="AN10" s="34"/>
      <c r="AO10" s="35" t="str">
        <f t="shared" si="14"/>
        <v/>
      </c>
      <c r="AP10" s="36" t="str">
        <f t="shared" si="15"/>
        <v/>
      </c>
      <c r="AQ10" s="37"/>
      <c r="AR10" s="33"/>
      <c r="AS10" s="34"/>
      <c r="AT10" s="35" t="str">
        <f t="shared" si="16"/>
        <v/>
      </c>
      <c r="AU10" s="36" t="str">
        <f t="shared" si="17"/>
        <v/>
      </c>
      <c r="AV10" s="37"/>
      <c r="AW10" s="33"/>
      <c r="AX10" s="34"/>
      <c r="AY10" s="35" t="str">
        <f t="shared" si="18"/>
        <v/>
      </c>
      <c r="AZ10" s="36" t="str">
        <f t="shared" si="19"/>
        <v/>
      </c>
      <c r="BA10" s="37"/>
      <c r="BB10" s="33"/>
      <c r="BC10" s="34"/>
      <c r="BD10" s="35" t="str">
        <f t="shared" si="20"/>
        <v/>
      </c>
      <c r="BE10" s="36" t="str">
        <f t="shared" si="21"/>
        <v/>
      </c>
      <c r="BF10" s="37"/>
      <c r="BG10" s="33"/>
      <c r="BH10" s="34"/>
      <c r="BI10" s="35" t="str">
        <f t="shared" si="22"/>
        <v/>
      </c>
      <c r="BJ10" s="36" t="str">
        <f t="shared" si="23"/>
        <v/>
      </c>
      <c r="BK10" s="37"/>
      <c r="BL10" s="33"/>
      <c r="BM10" s="34"/>
      <c r="BN10" s="35" t="str">
        <f t="shared" si="24"/>
        <v/>
      </c>
      <c r="BO10" s="36" t="str">
        <f t="shared" si="25"/>
        <v/>
      </c>
      <c r="BP10" s="37"/>
      <c r="BQ10" s="33"/>
      <c r="BR10" s="34"/>
      <c r="BS10" s="35" t="str">
        <f t="shared" si="26"/>
        <v/>
      </c>
      <c r="BT10" s="36" t="str">
        <f t="shared" si="27"/>
        <v/>
      </c>
      <c r="BU10" s="37"/>
      <c r="BV10" s="33"/>
      <c r="BW10" s="34"/>
      <c r="BX10" s="35" t="str">
        <f t="shared" si="28"/>
        <v/>
      </c>
      <c r="BY10" s="36" t="str">
        <f t="shared" si="29"/>
        <v/>
      </c>
      <c r="BZ10" s="37"/>
      <c r="CA10" s="33"/>
      <c r="CB10" s="34"/>
      <c r="CC10" s="35" t="str">
        <f t="shared" si="30"/>
        <v/>
      </c>
      <c r="CD10" s="36" t="str">
        <f t="shared" si="31"/>
        <v/>
      </c>
      <c r="CE10" s="37"/>
      <c r="CF10" s="33"/>
      <c r="CG10" s="34"/>
      <c r="CH10" s="35" t="str">
        <f t="shared" si="32"/>
        <v/>
      </c>
      <c r="CI10" s="36" t="str">
        <f t="shared" si="33"/>
        <v/>
      </c>
      <c r="CJ10" s="37"/>
      <c r="CK10" s="33"/>
      <c r="CL10" s="34"/>
      <c r="CM10" s="35" t="str">
        <f t="shared" si="34"/>
        <v/>
      </c>
      <c r="CN10" s="36" t="str">
        <f t="shared" si="35"/>
        <v/>
      </c>
      <c r="CO10" s="37"/>
      <c r="CP10" s="33"/>
      <c r="CQ10" s="34"/>
      <c r="CR10" s="35" t="str">
        <f t="shared" si="36"/>
        <v/>
      </c>
      <c r="CS10" s="36" t="str">
        <f t="shared" si="37"/>
        <v/>
      </c>
      <c r="CT10" s="37"/>
      <c r="CU10" s="33"/>
      <c r="CV10" s="34"/>
      <c r="CW10" s="35" t="str">
        <f t="shared" si="38"/>
        <v/>
      </c>
      <c r="CX10" s="36" t="str">
        <f t="shared" si="39"/>
        <v/>
      </c>
      <c r="CY10" s="37"/>
      <c r="CZ10" s="33"/>
      <c r="DA10" s="34"/>
      <c r="DB10" s="35" t="str">
        <f t="shared" si="40"/>
        <v/>
      </c>
      <c r="DC10" s="36" t="str">
        <f t="shared" si="41"/>
        <v/>
      </c>
      <c r="DD10" s="37"/>
      <c r="DE10" s="33"/>
      <c r="DF10" s="34"/>
      <c r="DG10" s="35" t="str">
        <f t="shared" si="42"/>
        <v/>
      </c>
      <c r="DH10" s="36" t="str">
        <f t="shared" si="43"/>
        <v/>
      </c>
      <c r="DI10" s="37"/>
      <c r="DJ10" s="33"/>
      <c r="DK10" s="34"/>
      <c r="DL10" s="35" t="str">
        <f t="shared" si="44"/>
        <v/>
      </c>
      <c r="DM10" s="36" t="str">
        <f t="shared" si="45"/>
        <v/>
      </c>
      <c r="DN10" s="37"/>
      <c r="DO10" s="33"/>
      <c r="DP10" s="34"/>
      <c r="DQ10" s="35" t="str">
        <f t="shared" si="46"/>
        <v/>
      </c>
      <c r="DR10" s="36" t="str">
        <f t="shared" si="47"/>
        <v/>
      </c>
      <c r="DS10" s="37"/>
      <c r="DT10" s="33"/>
      <c r="DU10" s="34"/>
      <c r="DV10" s="35" t="str">
        <f t="shared" si="48"/>
        <v/>
      </c>
      <c r="DW10" s="36" t="str">
        <f t="shared" si="49"/>
        <v/>
      </c>
      <c r="DX10" s="37"/>
      <c r="DY10" s="33"/>
      <c r="DZ10" s="34"/>
      <c r="EA10" s="35" t="str">
        <f t="shared" si="50"/>
        <v/>
      </c>
      <c r="EB10" s="36" t="str">
        <f t="shared" si="51"/>
        <v/>
      </c>
      <c r="EC10" s="37"/>
      <c r="ED10" s="33"/>
      <c r="EE10" s="34"/>
      <c r="EF10" s="35" t="str">
        <f t="shared" si="52"/>
        <v/>
      </c>
      <c r="EG10" s="36" t="str">
        <f t="shared" si="53"/>
        <v/>
      </c>
      <c r="EH10" s="37"/>
      <c r="EI10" s="33"/>
      <c r="EJ10" s="34"/>
      <c r="EK10" s="35" t="str">
        <f t="shared" si="54"/>
        <v/>
      </c>
      <c r="EL10" s="36" t="str">
        <f t="shared" si="55"/>
        <v/>
      </c>
      <c r="EM10" s="37"/>
      <c r="EN10" s="33"/>
      <c r="EO10" s="34"/>
      <c r="EP10" s="35" t="str">
        <f t="shared" si="56"/>
        <v/>
      </c>
      <c r="EQ10" s="36" t="str">
        <f t="shared" si="57"/>
        <v/>
      </c>
      <c r="ER10" s="37"/>
      <c r="ES10" s="33"/>
      <c r="ET10" s="34"/>
      <c r="EU10" s="35" t="str">
        <f t="shared" si="58"/>
        <v/>
      </c>
      <c r="EV10" s="36" t="str">
        <f t="shared" si="59"/>
        <v/>
      </c>
      <c r="EW10" s="37"/>
    </row>
    <row r="11" spans="1:153" ht="19.5" customHeight="1">
      <c r="A11" s="32">
        <f>IF(DAY(DATE(対象年度,10,8))&lt;&gt;8,"",8)</f>
        <v>8</v>
      </c>
      <c r="B11" s="32" t="str">
        <f>IF(DAY(DATE(対象年度,10,8))&lt;&gt;8,"",CHOOSE(WEEKDAY(DATE(対象年度,10,8),2),"月","火","水","木","金","土","日"))</f>
        <v>木</v>
      </c>
      <c r="C11" s="32" t="str">
        <f>IF(DAY(DATE(対象年度,10,8))&lt;&gt;8,"",IF(ISNUMBER(MATCH(DATE(対象年度,10,8),祝日リスト,0)),"祝",""))</f>
        <v/>
      </c>
      <c r="D11" s="33"/>
      <c r="E11" s="34"/>
      <c r="F11" s="35" t="str">
        <f t="shared" si="0"/>
        <v/>
      </c>
      <c r="G11" s="36" t="str">
        <f t="shared" si="1"/>
        <v/>
      </c>
      <c r="H11" s="37"/>
      <c r="I11" s="33"/>
      <c r="J11" s="34"/>
      <c r="K11" s="35" t="str">
        <f t="shared" si="2"/>
        <v/>
      </c>
      <c r="L11" s="36" t="str">
        <f t="shared" si="3"/>
        <v/>
      </c>
      <c r="M11" s="37"/>
      <c r="N11" s="33"/>
      <c r="O11" s="34"/>
      <c r="P11" s="35" t="str">
        <f t="shared" si="4"/>
        <v/>
      </c>
      <c r="Q11" s="36" t="str">
        <f t="shared" si="5"/>
        <v/>
      </c>
      <c r="R11" s="37"/>
      <c r="S11" s="33"/>
      <c r="T11" s="34"/>
      <c r="U11" s="35" t="str">
        <f t="shared" si="6"/>
        <v/>
      </c>
      <c r="V11" s="36" t="str">
        <f t="shared" si="7"/>
        <v/>
      </c>
      <c r="W11" s="37"/>
      <c r="X11" s="33"/>
      <c r="Y11" s="34"/>
      <c r="Z11" s="35" t="str">
        <f t="shared" si="8"/>
        <v/>
      </c>
      <c r="AA11" s="36" t="str">
        <f t="shared" si="9"/>
        <v/>
      </c>
      <c r="AB11" s="37"/>
      <c r="AC11" s="33"/>
      <c r="AD11" s="34"/>
      <c r="AE11" s="35" t="str">
        <f t="shared" si="10"/>
        <v/>
      </c>
      <c r="AF11" s="36" t="str">
        <f t="shared" si="11"/>
        <v/>
      </c>
      <c r="AG11" s="37"/>
      <c r="AH11" s="33"/>
      <c r="AI11" s="34"/>
      <c r="AJ11" s="35" t="str">
        <f t="shared" si="12"/>
        <v/>
      </c>
      <c r="AK11" s="36" t="str">
        <f t="shared" si="13"/>
        <v/>
      </c>
      <c r="AL11" s="37"/>
      <c r="AM11" s="33"/>
      <c r="AN11" s="34"/>
      <c r="AO11" s="35" t="str">
        <f t="shared" si="14"/>
        <v/>
      </c>
      <c r="AP11" s="36" t="str">
        <f t="shared" si="15"/>
        <v/>
      </c>
      <c r="AQ11" s="37"/>
      <c r="AR11" s="33"/>
      <c r="AS11" s="34"/>
      <c r="AT11" s="35" t="str">
        <f t="shared" si="16"/>
        <v/>
      </c>
      <c r="AU11" s="36" t="str">
        <f t="shared" si="17"/>
        <v/>
      </c>
      <c r="AV11" s="37"/>
      <c r="AW11" s="33"/>
      <c r="AX11" s="34"/>
      <c r="AY11" s="35" t="str">
        <f t="shared" si="18"/>
        <v/>
      </c>
      <c r="AZ11" s="36" t="str">
        <f t="shared" si="19"/>
        <v/>
      </c>
      <c r="BA11" s="37"/>
      <c r="BB11" s="33"/>
      <c r="BC11" s="34"/>
      <c r="BD11" s="35" t="str">
        <f t="shared" si="20"/>
        <v/>
      </c>
      <c r="BE11" s="36" t="str">
        <f t="shared" si="21"/>
        <v/>
      </c>
      <c r="BF11" s="37"/>
      <c r="BG11" s="33"/>
      <c r="BH11" s="34"/>
      <c r="BI11" s="35" t="str">
        <f t="shared" si="22"/>
        <v/>
      </c>
      <c r="BJ11" s="36" t="str">
        <f t="shared" si="23"/>
        <v/>
      </c>
      <c r="BK11" s="37"/>
      <c r="BL11" s="33"/>
      <c r="BM11" s="34"/>
      <c r="BN11" s="35" t="str">
        <f t="shared" si="24"/>
        <v/>
      </c>
      <c r="BO11" s="36" t="str">
        <f t="shared" si="25"/>
        <v/>
      </c>
      <c r="BP11" s="37"/>
      <c r="BQ11" s="33"/>
      <c r="BR11" s="34"/>
      <c r="BS11" s="35" t="str">
        <f t="shared" si="26"/>
        <v/>
      </c>
      <c r="BT11" s="36" t="str">
        <f t="shared" si="27"/>
        <v/>
      </c>
      <c r="BU11" s="37"/>
      <c r="BV11" s="33"/>
      <c r="BW11" s="34"/>
      <c r="BX11" s="35" t="str">
        <f t="shared" si="28"/>
        <v/>
      </c>
      <c r="BY11" s="36" t="str">
        <f t="shared" si="29"/>
        <v/>
      </c>
      <c r="BZ11" s="37"/>
      <c r="CA11" s="33"/>
      <c r="CB11" s="34"/>
      <c r="CC11" s="35" t="str">
        <f t="shared" si="30"/>
        <v/>
      </c>
      <c r="CD11" s="36" t="str">
        <f t="shared" si="31"/>
        <v/>
      </c>
      <c r="CE11" s="37"/>
      <c r="CF11" s="33"/>
      <c r="CG11" s="34"/>
      <c r="CH11" s="35" t="str">
        <f t="shared" si="32"/>
        <v/>
      </c>
      <c r="CI11" s="36" t="str">
        <f t="shared" si="33"/>
        <v/>
      </c>
      <c r="CJ11" s="37"/>
      <c r="CK11" s="33"/>
      <c r="CL11" s="34"/>
      <c r="CM11" s="35" t="str">
        <f t="shared" si="34"/>
        <v/>
      </c>
      <c r="CN11" s="36" t="str">
        <f t="shared" si="35"/>
        <v/>
      </c>
      <c r="CO11" s="37"/>
      <c r="CP11" s="33"/>
      <c r="CQ11" s="34"/>
      <c r="CR11" s="35" t="str">
        <f t="shared" si="36"/>
        <v/>
      </c>
      <c r="CS11" s="36" t="str">
        <f t="shared" si="37"/>
        <v/>
      </c>
      <c r="CT11" s="37"/>
      <c r="CU11" s="33"/>
      <c r="CV11" s="34"/>
      <c r="CW11" s="35" t="str">
        <f t="shared" si="38"/>
        <v/>
      </c>
      <c r="CX11" s="36" t="str">
        <f t="shared" si="39"/>
        <v/>
      </c>
      <c r="CY11" s="37"/>
      <c r="CZ11" s="33"/>
      <c r="DA11" s="34"/>
      <c r="DB11" s="35" t="str">
        <f t="shared" si="40"/>
        <v/>
      </c>
      <c r="DC11" s="36" t="str">
        <f t="shared" si="41"/>
        <v/>
      </c>
      <c r="DD11" s="37"/>
      <c r="DE11" s="33"/>
      <c r="DF11" s="34"/>
      <c r="DG11" s="35" t="str">
        <f t="shared" si="42"/>
        <v/>
      </c>
      <c r="DH11" s="36" t="str">
        <f t="shared" si="43"/>
        <v/>
      </c>
      <c r="DI11" s="37"/>
      <c r="DJ11" s="33"/>
      <c r="DK11" s="34"/>
      <c r="DL11" s="35" t="str">
        <f t="shared" si="44"/>
        <v/>
      </c>
      <c r="DM11" s="36" t="str">
        <f t="shared" si="45"/>
        <v/>
      </c>
      <c r="DN11" s="37"/>
      <c r="DO11" s="33"/>
      <c r="DP11" s="34"/>
      <c r="DQ11" s="35" t="str">
        <f t="shared" si="46"/>
        <v/>
      </c>
      <c r="DR11" s="36" t="str">
        <f t="shared" si="47"/>
        <v/>
      </c>
      <c r="DS11" s="37"/>
      <c r="DT11" s="33"/>
      <c r="DU11" s="34"/>
      <c r="DV11" s="35" t="str">
        <f t="shared" si="48"/>
        <v/>
      </c>
      <c r="DW11" s="36" t="str">
        <f t="shared" si="49"/>
        <v/>
      </c>
      <c r="DX11" s="37"/>
      <c r="DY11" s="33"/>
      <c r="DZ11" s="34"/>
      <c r="EA11" s="35" t="str">
        <f t="shared" si="50"/>
        <v/>
      </c>
      <c r="EB11" s="36" t="str">
        <f t="shared" si="51"/>
        <v/>
      </c>
      <c r="EC11" s="37"/>
      <c r="ED11" s="33"/>
      <c r="EE11" s="34"/>
      <c r="EF11" s="35" t="str">
        <f t="shared" si="52"/>
        <v/>
      </c>
      <c r="EG11" s="36" t="str">
        <f t="shared" si="53"/>
        <v/>
      </c>
      <c r="EH11" s="37"/>
      <c r="EI11" s="33"/>
      <c r="EJ11" s="34"/>
      <c r="EK11" s="35" t="str">
        <f t="shared" si="54"/>
        <v/>
      </c>
      <c r="EL11" s="36" t="str">
        <f t="shared" si="55"/>
        <v/>
      </c>
      <c r="EM11" s="37"/>
      <c r="EN11" s="33"/>
      <c r="EO11" s="34"/>
      <c r="EP11" s="35" t="str">
        <f t="shared" si="56"/>
        <v/>
      </c>
      <c r="EQ11" s="36" t="str">
        <f t="shared" si="57"/>
        <v/>
      </c>
      <c r="ER11" s="37"/>
      <c r="ES11" s="33"/>
      <c r="ET11" s="34"/>
      <c r="EU11" s="35" t="str">
        <f t="shared" si="58"/>
        <v/>
      </c>
      <c r="EV11" s="36" t="str">
        <f t="shared" si="59"/>
        <v/>
      </c>
      <c r="EW11" s="37"/>
    </row>
    <row r="12" spans="1:153" ht="19.5" customHeight="1">
      <c r="A12" s="32">
        <f>IF(DAY(DATE(対象年度,10,9))&lt;&gt;9,"",9)</f>
        <v>9</v>
      </c>
      <c r="B12" s="32" t="str">
        <f>IF(DAY(DATE(対象年度,10,9))&lt;&gt;9,"",CHOOSE(WEEKDAY(DATE(対象年度,10,9),2),"月","火","水","木","金","土","日"))</f>
        <v>金</v>
      </c>
      <c r="C12" s="32" t="str">
        <f>IF(DAY(DATE(対象年度,10,9))&lt;&gt;9,"",IF(ISNUMBER(MATCH(DATE(対象年度,10,9),祝日リスト,0)),"祝",""))</f>
        <v/>
      </c>
      <c r="D12" s="33"/>
      <c r="E12" s="34"/>
      <c r="F12" s="35" t="str">
        <f t="shared" si="0"/>
        <v/>
      </c>
      <c r="G12" s="36" t="str">
        <f t="shared" si="1"/>
        <v/>
      </c>
      <c r="H12" s="37"/>
      <c r="I12" s="33"/>
      <c r="J12" s="34"/>
      <c r="K12" s="35" t="str">
        <f t="shared" si="2"/>
        <v/>
      </c>
      <c r="L12" s="36" t="str">
        <f t="shared" si="3"/>
        <v/>
      </c>
      <c r="M12" s="37"/>
      <c r="N12" s="33"/>
      <c r="O12" s="34"/>
      <c r="P12" s="35" t="str">
        <f t="shared" si="4"/>
        <v/>
      </c>
      <c r="Q12" s="36" t="str">
        <f t="shared" si="5"/>
        <v/>
      </c>
      <c r="R12" s="37"/>
      <c r="S12" s="33"/>
      <c r="T12" s="34"/>
      <c r="U12" s="35" t="str">
        <f t="shared" si="6"/>
        <v/>
      </c>
      <c r="V12" s="36" t="str">
        <f t="shared" si="7"/>
        <v/>
      </c>
      <c r="W12" s="37"/>
      <c r="X12" s="33"/>
      <c r="Y12" s="34"/>
      <c r="Z12" s="35" t="str">
        <f t="shared" si="8"/>
        <v/>
      </c>
      <c r="AA12" s="36" t="str">
        <f t="shared" si="9"/>
        <v/>
      </c>
      <c r="AB12" s="37"/>
      <c r="AC12" s="33"/>
      <c r="AD12" s="34"/>
      <c r="AE12" s="35" t="str">
        <f t="shared" si="10"/>
        <v/>
      </c>
      <c r="AF12" s="36" t="str">
        <f t="shared" si="11"/>
        <v/>
      </c>
      <c r="AG12" s="37"/>
      <c r="AH12" s="33"/>
      <c r="AI12" s="34"/>
      <c r="AJ12" s="35" t="str">
        <f t="shared" si="12"/>
        <v/>
      </c>
      <c r="AK12" s="36" t="str">
        <f t="shared" si="13"/>
        <v/>
      </c>
      <c r="AL12" s="37"/>
      <c r="AM12" s="33"/>
      <c r="AN12" s="34"/>
      <c r="AO12" s="35" t="str">
        <f t="shared" si="14"/>
        <v/>
      </c>
      <c r="AP12" s="36" t="str">
        <f t="shared" si="15"/>
        <v/>
      </c>
      <c r="AQ12" s="37"/>
      <c r="AR12" s="33"/>
      <c r="AS12" s="34"/>
      <c r="AT12" s="35" t="str">
        <f t="shared" si="16"/>
        <v/>
      </c>
      <c r="AU12" s="36" t="str">
        <f t="shared" si="17"/>
        <v/>
      </c>
      <c r="AV12" s="37"/>
      <c r="AW12" s="33"/>
      <c r="AX12" s="34"/>
      <c r="AY12" s="35" t="str">
        <f t="shared" si="18"/>
        <v/>
      </c>
      <c r="AZ12" s="36" t="str">
        <f t="shared" si="19"/>
        <v/>
      </c>
      <c r="BA12" s="37"/>
      <c r="BB12" s="33"/>
      <c r="BC12" s="34"/>
      <c r="BD12" s="35" t="str">
        <f t="shared" si="20"/>
        <v/>
      </c>
      <c r="BE12" s="36" t="str">
        <f t="shared" si="21"/>
        <v/>
      </c>
      <c r="BF12" s="37"/>
      <c r="BG12" s="33"/>
      <c r="BH12" s="34"/>
      <c r="BI12" s="35" t="str">
        <f t="shared" si="22"/>
        <v/>
      </c>
      <c r="BJ12" s="36" t="str">
        <f t="shared" si="23"/>
        <v/>
      </c>
      <c r="BK12" s="37"/>
      <c r="BL12" s="33"/>
      <c r="BM12" s="34"/>
      <c r="BN12" s="35" t="str">
        <f t="shared" si="24"/>
        <v/>
      </c>
      <c r="BO12" s="36" t="str">
        <f t="shared" si="25"/>
        <v/>
      </c>
      <c r="BP12" s="37"/>
      <c r="BQ12" s="33"/>
      <c r="BR12" s="34"/>
      <c r="BS12" s="35" t="str">
        <f t="shared" si="26"/>
        <v/>
      </c>
      <c r="BT12" s="36" t="str">
        <f t="shared" si="27"/>
        <v/>
      </c>
      <c r="BU12" s="37"/>
      <c r="BV12" s="33"/>
      <c r="BW12" s="34"/>
      <c r="BX12" s="35" t="str">
        <f t="shared" si="28"/>
        <v/>
      </c>
      <c r="BY12" s="36" t="str">
        <f t="shared" si="29"/>
        <v/>
      </c>
      <c r="BZ12" s="37"/>
      <c r="CA12" s="33"/>
      <c r="CB12" s="34"/>
      <c r="CC12" s="35" t="str">
        <f t="shared" si="30"/>
        <v/>
      </c>
      <c r="CD12" s="36" t="str">
        <f t="shared" si="31"/>
        <v/>
      </c>
      <c r="CE12" s="37"/>
      <c r="CF12" s="33"/>
      <c r="CG12" s="34"/>
      <c r="CH12" s="35" t="str">
        <f t="shared" si="32"/>
        <v/>
      </c>
      <c r="CI12" s="36" t="str">
        <f t="shared" si="33"/>
        <v/>
      </c>
      <c r="CJ12" s="37"/>
      <c r="CK12" s="33"/>
      <c r="CL12" s="34"/>
      <c r="CM12" s="35" t="str">
        <f t="shared" si="34"/>
        <v/>
      </c>
      <c r="CN12" s="36" t="str">
        <f t="shared" si="35"/>
        <v/>
      </c>
      <c r="CO12" s="37"/>
      <c r="CP12" s="33"/>
      <c r="CQ12" s="34"/>
      <c r="CR12" s="35" t="str">
        <f t="shared" si="36"/>
        <v/>
      </c>
      <c r="CS12" s="36" t="str">
        <f t="shared" si="37"/>
        <v/>
      </c>
      <c r="CT12" s="37"/>
      <c r="CU12" s="33"/>
      <c r="CV12" s="34"/>
      <c r="CW12" s="35" t="str">
        <f t="shared" si="38"/>
        <v/>
      </c>
      <c r="CX12" s="36" t="str">
        <f t="shared" si="39"/>
        <v/>
      </c>
      <c r="CY12" s="37"/>
      <c r="CZ12" s="33"/>
      <c r="DA12" s="34"/>
      <c r="DB12" s="35" t="str">
        <f t="shared" si="40"/>
        <v/>
      </c>
      <c r="DC12" s="36" t="str">
        <f t="shared" si="41"/>
        <v/>
      </c>
      <c r="DD12" s="37"/>
      <c r="DE12" s="33"/>
      <c r="DF12" s="34"/>
      <c r="DG12" s="35" t="str">
        <f t="shared" si="42"/>
        <v/>
      </c>
      <c r="DH12" s="36" t="str">
        <f t="shared" si="43"/>
        <v/>
      </c>
      <c r="DI12" s="37"/>
      <c r="DJ12" s="33"/>
      <c r="DK12" s="34"/>
      <c r="DL12" s="35" t="str">
        <f t="shared" si="44"/>
        <v/>
      </c>
      <c r="DM12" s="36" t="str">
        <f t="shared" si="45"/>
        <v/>
      </c>
      <c r="DN12" s="37"/>
      <c r="DO12" s="33"/>
      <c r="DP12" s="34"/>
      <c r="DQ12" s="35" t="str">
        <f t="shared" si="46"/>
        <v/>
      </c>
      <c r="DR12" s="36" t="str">
        <f t="shared" si="47"/>
        <v/>
      </c>
      <c r="DS12" s="37"/>
      <c r="DT12" s="33"/>
      <c r="DU12" s="34"/>
      <c r="DV12" s="35" t="str">
        <f t="shared" si="48"/>
        <v/>
      </c>
      <c r="DW12" s="36" t="str">
        <f t="shared" si="49"/>
        <v/>
      </c>
      <c r="DX12" s="37"/>
      <c r="DY12" s="33"/>
      <c r="DZ12" s="34"/>
      <c r="EA12" s="35" t="str">
        <f t="shared" si="50"/>
        <v/>
      </c>
      <c r="EB12" s="36" t="str">
        <f t="shared" si="51"/>
        <v/>
      </c>
      <c r="EC12" s="37"/>
      <c r="ED12" s="33"/>
      <c r="EE12" s="34"/>
      <c r="EF12" s="35" t="str">
        <f t="shared" si="52"/>
        <v/>
      </c>
      <c r="EG12" s="36" t="str">
        <f t="shared" si="53"/>
        <v/>
      </c>
      <c r="EH12" s="37"/>
      <c r="EI12" s="33"/>
      <c r="EJ12" s="34"/>
      <c r="EK12" s="35" t="str">
        <f t="shared" si="54"/>
        <v/>
      </c>
      <c r="EL12" s="36" t="str">
        <f t="shared" si="55"/>
        <v/>
      </c>
      <c r="EM12" s="37"/>
      <c r="EN12" s="33"/>
      <c r="EO12" s="34"/>
      <c r="EP12" s="35" t="str">
        <f t="shared" si="56"/>
        <v/>
      </c>
      <c r="EQ12" s="36" t="str">
        <f t="shared" si="57"/>
        <v/>
      </c>
      <c r="ER12" s="37"/>
      <c r="ES12" s="33"/>
      <c r="ET12" s="34"/>
      <c r="EU12" s="35" t="str">
        <f t="shared" si="58"/>
        <v/>
      </c>
      <c r="EV12" s="36" t="str">
        <f t="shared" si="59"/>
        <v/>
      </c>
      <c r="EW12" s="37"/>
    </row>
    <row r="13" spans="1:153" ht="19.5" customHeight="1">
      <c r="A13" s="32">
        <f>IF(DAY(DATE(対象年度,10,10))&lt;&gt;10,"",10)</f>
        <v>10</v>
      </c>
      <c r="B13" s="32" t="str">
        <f>IF(DAY(DATE(対象年度,10,10))&lt;&gt;10,"",CHOOSE(WEEKDAY(DATE(対象年度,10,10),2),"月","火","水","木","金","土","日"))</f>
        <v>土</v>
      </c>
      <c r="C13" s="32" t="str">
        <f>IF(DAY(DATE(対象年度,10,10))&lt;&gt;10,"",IF(ISNUMBER(MATCH(DATE(対象年度,10,10),祝日リスト,0)),"祝",""))</f>
        <v/>
      </c>
      <c r="D13" s="33"/>
      <c r="E13" s="34"/>
      <c r="F13" s="35" t="str">
        <f t="shared" si="0"/>
        <v/>
      </c>
      <c r="G13" s="36" t="str">
        <f t="shared" si="1"/>
        <v/>
      </c>
      <c r="H13" s="37"/>
      <c r="I13" s="33"/>
      <c r="J13" s="34"/>
      <c r="K13" s="35" t="str">
        <f t="shared" si="2"/>
        <v/>
      </c>
      <c r="L13" s="36" t="str">
        <f t="shared" si="3"/>
        <v/>
      </c>
      <c r="M13" s="37"/>
      <c r="N13" s="33"/>
      <c r="O13" s="34"/>
      <c r="P13" s="35" t="str">
        <f t="shared" si="4"/>
        <v/>
      </c>
      <c r="Q13" s="36" t="str">
        <f t="shared" si="5"/>
        <v/>
      </c>
      <c r="R13" s="37"/>
      <c r="S13" s="33"/>
      <c r="T13" s="34"/>
      <c r="U13" s="35" t="str">
        <f t="shared" si="6"/>
        <v/>
      </c>
      <c r="V13" s="36" t="str">
        <f t="shared" si="7"/>
        <v/>
      </c>
      <c r="W13" s="37"/>
      <c r="X13" s="33"/>
      <c r="Y13" s="34"/>
      <c r="Z13" s="35" t="str">
        <f t="shared" si="8"/>
        <v/>
      </c>
      <c r="AA13" s="36" t="str">
        <f t="shared" si="9"/>
        <v/>
      </c>
      <c r="AB13" s="37"/>
      <c r="AC13" s="33"/>
      <c r="AD13" s="34"/>
      <c r="AE13" s="35" t="str">
        <f t="shared" si="10"/>
        <v/>
      </c>
      <c r="AF13" s="36" t="str">
        <f t="shared" si="11"/>
        <v/>
      </c>
      <c r="AG13" s="37"/>
      <c r="AH13" s="33"/>
      <c r="AI13" s="34"/>
      <c r="AJ13" s="35" t="str">
        <f t="shared" si="12"/>
        <v/>
      </c>
      <c r="AK13" s="36" t="str">
        <f t="shared" si="13"/>
        <v/>
      </c>
      <c r="AL13" s="37"/>
      <c r="AM13" s="33"/>
      <c r="AN13" s="34"/>
      <c r="AO13" s="35" t="str">
        <f t="shared" si="14"/>
        <v/>
      </c>
      <c r="AP13" s="36" t="str">
        <f t="shared" si="15"/>
        <v/>
      </c>
      <c r="AQ13" s="37"/>
      <c r="AR13" s="33"/>
      <c r="AS13" s="34"/>
      <c r="AT13" s="35" t="str">
        <f t="shared" si="16"/>
        <v/>
      </c>
      <c r="AU13" s="36" t="str">
        <f t="shared" si="17"/>
        <v/>
      </c>
      <c r="AV13" s="37"/>
      <c r="AW13" s="33"/>
      <c r="AX13" s="34"/>
      <c r="AY13" s="35" t="str">
        <f t="shared" si="18"/>
        <v/>
      </c>
      <c r="AZ13" s="36" t="str">
        <f t="shared" si="19"/>
        <v/>
      </c>
      <c r="BA13" s="37"/>
      <c r="BB13" s="33"/>
      <c r="BC13" s="34"/>
      <c r="BD13" s="35" t="str">
        <f t="shared" si="20"/>
        <v/>
      </c>
      <c r="BE13" s="36" t="str">
        <f t="shared" si="21"/>
        <v/>
      </c>
      <c r="BF13" s="37"/>
      <c r="BG13" s="33"/>
      <c r="BH13" s="34"/>
      <c r="BI13" s="35" t="str">
        <f t="shared" si="22"/>
        <v/>
      </c>
      <c r="BJ13" s="36" t="str">
        <f t="shared" si="23"/>
        <v/>
      </c>
      <c r="BK13" s="37"/>
      <c r="BL13" s="33"/>
      <c r="BM13" s="34"/>
      <c r="BN13" s="35" t="str">
        <f t="shared" si="24"/>
        <v/>
      </c>
      <c r="BO13" s="36" t="str">
        <f t="shared" si="25"/>
        <v/>
      </c>
      <c r="BP13" s="37"/>
      <c r="BQ13" s="33"/>
      <c r="BR13" s="34"/>
      <c r="BS13" s="35" t="str">
        <f t="shared" si="26"/>
        <v/>
      </c>
      <c r="BT13" s="36" t="str">
        <f t="shared" si="27"/>
        <v/>
      </c>
      <c r="BU13" s="37"/>
      <c r="BV13" s="33"/>
      <c r="BW13" s="34"/>
      <c r="BX13" s="35" t="str">
        <f t="shared" si="28"/>
        <v/>
      </c>
      <c r="BY13" s="36" t="str">
        <f t="shared" si="29"/>
        <v/>
      </c>
      <c r="BZ13" s="37"/>
      <c r="CA13" s="33"/>
      <c r="CB13" s="34"/>
      <c r="CC13" s="35" t="str">
        <f t="shared" si="30"/>
        <v/>
      </c>
      <c r="CD13" s="36" t="str">
        <f t="shared" si="31"/>
        <v/>
      </c>
      <c r="CE13" s="37"/>
      <c r="CF13" s="33"/>
      <c r="CG13" s="34"/>
      <c r="CH13" s="35" t="str">
        <f t="shared" si="32"/>
        <v/>
      </c>
      <c r="CI13" s="36" t="str">
        <f t="shared" si="33"/>
        <v/>
      </c>
      <c r="CJ13" s="37"/>
      <c r="CK13" s="33"/>
      <c r="CL13" s="34"/>
      <c r="CM13" s="35" t="str">
        <f t="shared" si="34"/>
        <v/>
      </c>
      <c r="CN13" s="36" t="str">
        <f t="shared" si="35"/>
        <v/>
      </c>
      <c r="CO13" s="37"/>
      <c r="CP13" s="33"/>
      <c r="CQ13" s="34"/>
      <c r="CR13" s="35" t="str">
        <f t="shared" si="36"/>
        <v/>
      </c>
      <c r="CS13" s="36" t="str">
        <f t="shared" si="37"/>
        <v/>
      </c>
      <c r="CT13" s="37"/>
      <c r="CU13" s="33"/>
      <c r="CV13" s="34"/>
      <c r="CW13" s="35" t="str">
        <f t="shared" si="38"/>
        <v/>
      </c>
      <c r="CX13" s="36" t="str">
        <f t="shared" si="39"/>
        <v/>
      </c>
      <c r="CY13" s="37"/>
      <c r="CZ13" s="33"/>
      <c r="DA13" s="34"/>
      <c r="DB13" s="35" t="str">
        <f t="shared" si="40"/>
        <v/>
      </c>
      <c r="DC13" s="36" t="str">
        <f t="shared" si="41"/>
        <v/>
      </c>
      <c r="DD13" s="37"/>
      <c r="DE13" s="33"/>
      <c r="DF13" s="34"/>
      <c r="DG13" s="35" t="str">
        <f t="shared" si="42"/>
        <v/>
      </c>
      <c r="DH13" s="36" t="str">
        <f t="shared" si="43"/>
        <v/>
      </c>
      <c r="DI13" s="37"/>
      <c r="DJ13" s="33"/>
      <c r="DK13" s="34"/>
      <c r="DL13" s="35" t="str">
        <f t="shared" si="44"/>
        <v/>
      </c>
      <c r="DM13" s="36" t="str">
        <f t="shared" si="45"/>
        <v/>
      </c>
      <c r="DN13" s="37"/>
      <c r="DO13" s="33"/>
      <c r="DP13" s="34"/>
      <c r="DQ13" s="35" t="str">
        <f t="shared" si="46"/>
        <v/>
      </c>
      <c r="DR13" s="36" t="str">
        <f t="shared" si="47"/>
        <v/>
      </c>
      <c r="DS13" s="37"/>
      <c r="DT13" s="33"/>
      <c r="DU13" s="34"/>
      <c r="DV13" s="35" t="str">
        <f t="shared" si="48"/>
        <v/>
      </c>
      <c r="DW13" s="36" t="str">
        <f t="shared" si="49"/>
        <v/>
      </c>
      <c r="DX13" s="37"/>
      <c r="DY13" s="33"/>
      <c r="DZ13" s="34"/>
      <c r="EA13" s="35" t="str">
        <f t="shared" si="50"/>
        <v/>
      </c>
      <c r="EB13" s="36" t="str">
        <f t="shared" si="51"/>
        <v/>
      </c>
      <c r="EC13" s="37"/>
      <c r="ED13" s="33"/>
      <c r="EE13" s="34"/>
      <c r="EF13" s="35" t="str">
        <f t="shared" si="52"/>
        <v/>
      </c>
      <c r="EG13" s="36" t="str">
        <f t="shared" si="53"/>
        <v/>
      </c>
      <c r="EH13" s="37"/>
      <c r="EI13" s="33"/>
      <c r="EJ13" s="34"/>
      <c r="EK13" s="35" t="str">
        <f t="shared" si="54"/>
        <v/>
      </c>
      <c r="EL13" s="36" t="str">
        <f t="shared" si="55"/>
        <v/>
      </c>
      <c r="EM13" s="37"/>
      <c r="EN13" s="33"/>
      <c r="EO13" s="34"/>
      <c r="EP13" s="35" t="str">
        <f t="shared" si="56"/>
        <v/>
      </c>
      <c r="EQ13" s="36" t="str">
        <f t="shared" si="57"/>
        <v/>
      </c>
      <c r="ER13" s="37"/>
      <c r="ES13" s="33"/>
      <c r="ET13" s="34"/>
      <c r="EU13" s="35" t="str">
        <f t="shared" si="58"/>
        <v/>
      </c>
      <c r="EV13" s="36" t="str">
        <f t="shared" si="59"/>
        <v/>
      </c>
      <c r="EW13" s="37"/>
    </row>
    <row r="14" spans="1:153" ht="19.5" customHeight="1">
      <c r="A14" s="32">
        <f>IF(DAY(DATE(対象年度,10,11))&lt;&gt;11,"",11)</f>
        <v>11</v>
      </c>
      <c r="B14" s="32" t="str">
        <f>IF(DAY(DATE(対象年度,10,11))&lt;&gt;11,"",CHOOSE(WEEKDAY(DATE(対象年度,10,11),2),"月","火","水","木","金","土","日"))</f>
        <v>日</v>
      </c>
      <c r="C14" s="32" t="str">
        <f>IF(DAY(DATE(対象年度,10,11))&lt;&gt;11,"",IF(ISNUMBER(MATCH(DATE(対象年度,10,11),祝日リスト,0)),"祝",""))</f>
        <v/>
      </c>
      <c r="D14" s="33"/>
      <c r="E14" s="34"/>
      <c r="F14" s="35" t="str">
        <f t="shared" si="0"/>
        <v/>
      </c>
      <c r="G14" s="36" t="str">
        <f t="shared" si="1"/>
        <v/>
      </c>
      <c r="H14" s="37"/>
      <c r="I14" s="33"/>
      <c r="J14" s="34"/>
      <c r="K14" s="35" t="str">
        <f t="shared" si="2"/>
        <v/>
      </c>
      <c r="L14" s="36" t="str">
        <f t="shared" si="3"/>
        <v/>
      </c>
      <c r="M14" s="37"/>
      <c r="N14" s="33"/>
      <c r="O14" s="34"/>
      <c r="P14" s="35" t="str">
        <f t="shared" si="4"/>
        <v/>
      </c>
      <c r="Q14" s="36" t="str">
        <f t="shared" si="5"/>
        <v/>
      </c>
      <c r="R14" s="37"/>
      <c r="S14" s="33"/>
      <c r="T14" s="34"/>
      <c r="U14" s="35" t="str">
        <f t="shared" si="6"/>
        <v/>
      </c>
      <c r="V14" s="36" t="str">
        <f t="shared" si="7"/>
        <v/>
      </c>
      <c r="W14" s="37"/>
      <c r="X14" s="33"/>
      <c r="Y14" s="34"/>
      <c r="Z14" s="35" t="str">
        <f t="shared" si="8"/>
        <v/>
      </c>
      <c r="AA14" s="36" t="str">
        <f t="shared" si="9"/>
        <v/>
      </c>
      <c r="AB14" s="37"/>
      <c r="AC14" s="33"/>
      <c r="AD14" s="34"/>
      <c r="AE14" s="35" t="str">
        <f t="shared" si="10"/>
        <v/>
      </c>
      <c r="AF14" s="36" t="str">
        <f t="shared" si="11"/>
        <v/>
      </c>
      <c r="AG14" s="37"/>
      <c r="AH14" s="33"/>
      <c r="AI14" s="34"/>
      <c r="AJ14" s="35" t="str">
        <f t="shared" si="12"/>
        <v/>
      </c>
      <c r="AK14" s="36" t="str">
        <f t="shared" si="13"/>
        <v/>
      </c>
      <c r="AL14" s="37"/>
      <c r="AM14" s="33"/>
      <c r="AN14" s="34"/>
      <c r="AO14" s="35" t="str">
        <f t="shared" si="14"/>
        <v/>
      </c>
      <c r="AP14" s="36" t="str">
        <f t="shared" si="15"/>
        <v/>
      </c>
      <c r="AQ14" s="37"/>
      <c r="AR14" s="33"/>
      <c r="AS14" s="34"/>
      <c r="AT14" s="35" t="str">
        <f t="shared" si="16"/>
        <v/>
      </c>
      <c r="AU14" s="36" t="str">
        <f t="shared" si="17"/>
        <v/>
      </c>
      <c r="AV14" s="37"/>
      <c r="AW14" s="33"/>
      <c r="AX14" s="34"/>
      <c r="AY14" s="35" t="str">
        <f t="shared" si="18"/>
        <v/>
      </c>
      <c r="AZ14" s="36" t="str">
        <f t="shared" si="19"/>
        <v/>
      </c>
      <c r="BA14" s="37"/>
      <c r="BB14" s="33"/>
      <c r="BC14" s="34"/>
      <c r="BD14" s="35" t="str">
        <f t="shared" si="20"/>
        <v/>
      </c>
      <c r="BE14" s="36" t="str">
        <f t="shared" si="21"/>
        <v/>
      </c>
      <c r="BF14" s="37"/>
      <c r="BG14" s="33"/>
      <c r="BH14" s="34"/>
      <c r="BI14" s="35" t="str">
        <f t="shared" si="22"/>
        <v/>
      </c>
      <c r="BJ14" s="36" t="str">
        <f t="shared" si="23"/>
        <v/>
      </c>
      <c r="BK14" s="37"/>
      <c r="BL14" s="33"/>
      <c r="BM14" s="34"/>
      <c r="BN14" s="35" t="str">
        <f t="shared" si="24"/>
        <v/>
      </c>
      <c r="BO14" s="36" t="str">
        <f t="shared" si="25"/>
        <v/>
      </c>
      <c r="BP14" s="37"/>
      <c r="BQ14" s="33"/>
      <c r="BR14" s="34"/>
      <c r="BS14" s="35" t="str">
        <f t="shared" si="26"/>
        <v/>
      </c>
      <c r="BT14" s="36" t="str">
        <f t="shared" si="27"/>
        <v/>
      </c>
      <c r="BU14" s="37"/>
      <c r="BV14" s="33"/>
      <c r="BW14" s="34"/>
      <c r="BX14" s="35" t="str">
        <f t="shared" si="28"/>
        <v/>
      </c>
      <c r="BY14" s="36" t="str">
        <f t="shared" si="29"/>
        <v/>
      </c>
      <c r="BZ14" s="37"/>
      <c r="CA14" s="33"/>
      <c r="CB14" s="34"/>
      <c r="CC14" s="35" t="str">
        <f t="shared" si="30"/>
        <v/>
      </c>
      <c r="CD14" s="36" t="str">
        <f t="shared" si="31"/>
        <v/>
      </c>
      <c r="CE14" s="37"/>
      <c r="CF14" s="33"/>
      <c r="CG14" s="34"/>
      <c r="CH14" s="35" t="str">
        <f t="shared" si="32"/>
        <v/>
      </c>
      <c r="CI14" s="36" t="str">
        <f t="shared" si="33"/>
        <v/>
      </c>
      <c r="CJ14" s="37"/>
      <c r="CK14" s="33"/>
      <c r="CL14" s="34"/>
      <c r="CM14" s="35" t="str">
        <f t="shared" si="34"/>
        <v/>
      </c>
      <c r="CN14" s="36" t="str">
        <f t="shared" si="35"/>
        <v/>
      </c>
      <c r="CO14" s="37"/>
      <c r="CP14" s="33"/>
      <c r="CQ14" s="34"/>
      <c r="CR14" s="35" t="str">
        <f t="shared" si="36"/>
        <v/>
      </c>
      <c r="CS14" s="36" t="str">
        <f t="shared" si="37"/>
        <v/>
      </c>
      <c r="CT14" s="37"/>
      <c r="CU14" s="33"/>
      <c r="CV14" s="34"/>
      <c r="CW14" s="35" t="str">
        <f t="shared" si="38"/>
        <v/>
      </c>
      <c r="CX14" s="36" t="str">
        <f t="shared" si="39"/>
        <v/>
      </c>
      <c r="CY14" s="37"/>
      <c r="CZ14" s="33"/>
      <c r="DA14" s="34"/>
      <c r="DB14" s="35" t="str">
        <f t="shared" si="40"/>
        <v/>
      </c>
      <c r="DC14" s="36" t="str">
        <f t="shared" si="41"/>
        <v/>
      </c>
      <c r="DD14" s="37"/>
      <c r="DE14" s="33"/>
      <c r="DF14" s="34"/>
      <c r="DG14" s="35" t="str">
        <f t="shared" si="42"/>
        <v/>
      </c>
      <c r="DH14" s="36" t="str">
        <f t="shared" si="43"/>
        <v/>
      </c>
      <c r="DI14" s="37"/>
      <c r="DJ14" s="33"/>
      <c r="DK14" s="34"/>
      <c r="DL14" s="35" t="str">
        <f t="shared" si="44"/>
        <v/>
      </c>
      <c r="DM14" s="36" t="str">
        <f t="shared" si="45"/>
        <v/>
      </c>
      <c r="DN14" s="37"/>
      <c r="DO14" s="33"/>
      <c r="DP14" s="34"/>
      <c r="DQ14" s="35" t="str">
        <f t="shared" si="46"/>
        <v/>
      </c>
      <c r="DR14" s="36" t="str">
        <f t="shared" si="47"/>
        <v/>
      </c>
      <c r="DS14" s="37"/>
      <c r="DT14" s="33"/>
      <c r="DU14" s="34"/>
      <c r="DV14" s="35" t="str">
        <f t="shared" si="48"/>
        <v/>
      </c>
      <c r="DW14" s="36" t="str">
        <f t="shared" si="49"/>
        <v/>
      </c>
      <c r="DX14" s="37"/>
      <c r="DY14" s="33"/>
      <c r="DZ14" s="34"/>
      <c r="EA14" s="35" t="str">
        <f t="shared" si="50"/>
        <v/>
      </c>
      <c r="EB14" s="36" t="str">
        <f t="shared" si="51"/>
        <v/>
      </c>
      <c r="EC14" s="37"/>
      <c r="ED14" s="33"/>
      <c r="EE14" s="34"/>
      <c r="EF14" s="35" t="str">
        <f t="shared" si="52"/>
        <v/>
      </c>
      <c r="EG14" s="36" t="str">
        <f t="shared" si="53"/>
        <v/>
      </c>
      <c r="EH14" s="37"/>
      <c r="EI14" s="33"/>
      <c r="EJ14" s="34"/>
      <c r="EK14" s="35" t="str">
        <f t="shared" si="54"/>
        <v/>
      </c>
      <c r="EL14" s="36" t="str">
        <f t="shared" si="55"/>
        <v/>
      </c>
      <c r="EM14" s="37"/>
      <c r="EN14" s="33"/>
      <c r="EO14" s="34"/>
      <c r="EP14" s="35" t="str">
        <f t="shared" si="56"/>
        <v/>
      </c>
      <c r="EQ14" s="36" t="str">
        <f t="shared" si="57"/>
        <v/>
      </c>
      <c r="ER14" s="37"/>
      <c r="ES14" s="33"/>
      <c r="ET14" s="34"/>
      <c r="EU14" s="35" t="str">
        <f t="shared" si="58"/>
        <v/>
      </c>
      <c r="EV14" s="36" t="str">
        <f t="shared" si="59"/>
        <v/>
      </c>
      <c r="EW14" s="37"/>
    </row>
    <row r="15" spans="1:153" ht="19.5" customHeight="1">
      <c r="A15" s="32">
        <f>IF(DAY(DATE(対象年度,10,12))&lt;&gt;12,"",12)</f>
        <v>12</v>
      </c>
      <c r="B15" s="32" t="str">
        <f>IF(DAY(DATE(対象年度,10,12))&lt;&gt;12,"",CHOOSE(WEEKDAY(DATE(対象年度,10,12),2),"月","火","水","木","金","土","日"))</f>
        <v>月</v>
      </c>
      <c r="C15" s="32" t="str">
        <f>IF(DAY(DATE(対象年度,10,12))&lt;&gt;12,"",IF(ISNUMBER(MATCH(DATE(対象年度,10,12),祝日リスト,0)),"祝",""))</f>
        <v>祝</v>
      </c>
      <c r="D15" s="33"/>
      <c r="E15" s="34"/>
      <c r="F15" s="35" t="str">
        <f t="shared" si="0"/>
        <v/>
      </c>
      <c r="G15" s="36" t="str">
        <f t="shared" si="1"/>
        <v/>
      </c>
      <c r="H15" s="37"/>
      <c r="I15" s="33"/>
      <c r="J15" s="34"/>
      <c r="K15" s="35" t="str">
        <f t="shared" si="2"/>
        <v/>
      </c>
      <c r="L15" s="36" t="str">
        <f t="shared" si="3"/>
        <v/>
      </c>
      <c r="M15" s="37"/>
      <c r="N15" s="33"/>
      <c r="O15" s="34"/>
      <c r="P15" s="35" t="str">
        <f t="shared" si="4"/>
        <v/>
      </c>
      <c r="Q15" s="36" t="str">
        <f t="shared" si="5"/>
        <v/>
      </c>
      <c r="R15" s="37"/>
      <c r="S15" s="33"/>
      <c r="T15" s="34"/>
      <c r="U15" s="35" t="str">
        <f t="shared" si="6"/>
        <v/>
      </c>
      <c r="V15" s="36" t="str">
        <f t="shared" si="7"/>
        <v/>
      </c>
      <c r="W15" s="37"/>
      <c r="X15" s="33"/>
      <c r="Y15" s="34"/>
      <c r="Z15" s="35" t="str">
        <f t="shared" si="8"/>
        <v/>
      </c>
      <c r="AA15" s="36" t="str">
        <f t="shared" si="9"/>
        <v/>
      </c>
      <c r="AB15" s="37"/>
      <c r="AC15" s="33"/>
      <c r="AD15" s="34"/>
      <c r="AE15" s="35" t="str">
        <f t="shared" si="10"/>
        <v/>
      </c>
      <c r="AF15" s="36" t="str">
        <f t="shared" si="11"/>
        <v/>
      </c>
      <c r="AG15" s="37"/>
      <c r="AH15" s="33"/>
      <c r="AI15" s="34"/>
      <c r="AJ15" s="35" t="str">
        <f t="shared" si="12"/>
        <v/>
      </c>
      <c r="AK15" s="36" t="str">
        <f t="shared" si="13"/>
        <v/>
      </c>
      <c r="AL15" s="37"/>
      <c r="AM15" s="33"/>
      <c r="AN15" s="34"/>
      <c r="AO15" s="35" t="str">
        <f t="shared" si="14"/>
        <v/>
      </c>
      <c r="AP15" s="36" t="str">
        <f t="shared" si="15"/>
        <v/>
      </c>
      <c r="AQ15" s="37"/>
      <c r="AR15" s="33"/>
      <c r="AS15" s="34"/>
      <c r="AT15" s="35" t="str">
        <f t="shared" si="16"/>
        <v/>
      </c>
      <c r="AU15" s="36" t="str">
        <f t="shared" si="17"/>
        <v/>
      </c>
      <c r="AV15" s="37"/>
      <c r="AW15" s="33"/>
      <c r="AX15" s="34"/>
      <c r="AY15" s="35" t="str">
        <f t="shared" si="18"/>
        <v/>
      </c>
      <c r="AZ15" s="36" t="str">
        <f t="shared" si="19"/>
        <v/>
      </c>
      <c r="BA15" s="37"/>
      <c r="BB15" s="33"/>
      <c r="BC15" s="34"/>
      <c r="BD15" s="35" t="str">
        <f t="shared" si="20"/>
        <v/>
      </c>
      <c r="BE15" s="36" t="str">
        <f t="shared" si="21"/>
        <v/>
      </c>
      <c r="BF15" s="37"/>
      <c r="BG15" s="33"/>
      <c r="BH15" s="34"/>
      <c r="BI15" s="35" t="str">
        <f t="shared" si="22"/>
        <v/>
      </c>
      <c r="BJ15" s="36" t="str">
        <f t="shared" si="23"/>
        <v/>
      </c>
      <c r="BK15" s="37"/>
      <c r="BL15" s="33"/>
      <c r="BM15" s="34"/>
      <c r="BN15" s="35" t="str">
        <f t="shared" si="24"/>
        <v/>
      </c>
      <c r="BO15" s="36" t="str">
        <f t="shared" si="25"/>
        <v/>
      </c>
      <c r="BP15" s="37"/>
      <c r="BQ15" s="33"/>
      <c r="BR15" s="34"/>
      <c r="BS15" s="35" t="str">
        <f t="shared" si="26"/>
        <v/>
      </c>
      <c r="BT15" s="36" t="str">
        <f t="shared" si="27"/>
        <v/>
      </c>
      <c r="BU15" s="37"/>
      <c r="BV15" s="33"/>
      <c r="BW15" s="34"/>
      <c r="BX15" s="35" t="str">
        <f t="shared" si="28"/>
        <v/>
      </c>
      <c r="BY15" s="36" t="str">
        <f t="shared" si="29"/>
        <v/>
      </c>
      <c r="BZ15" s="37"/>
      <c r="CA15" s="33"/>
      <c r="CB15" s="34"/>
      <c r="CC15" s="35" t="str">
        <f t="shared" si="30"/>
        <v/>
      </c>
      <c r="CD15" s="36" t="str">
        <f t="shared" si="31"/>
        <v/>
      </c>
      <c r="CE15" s="37"/>
      <c r="CF15" s="33"/>
      <c r="CG15" s="34"/>
      <c r="CH15" s="35" t="str">
        <f t="shared" si="32"/>
        <v/>
      </c>
      <c r="CI15" s="36" t="str">
        <f t="shared" si="33"/>
        <v/>
      </c>
      <c r="CJ15" s="37"/>
      <c r="CK15" s="33"/>
      <c r="CL15" s="34"/>
      <c r="CM15" s="35" t="str">
        <f t="shared" si="34"/>
        <v/>
      </c>
      <c r="CN15" s="36" t="str">
        <f t="shared" si="35"/>
        <v/>
      </c>
      <c r="CO15" s="37"/>
      <c r="CP15" s="33"/>
      <c r="CQ15" s="34"/>
      <c r="CR15" s="35" t="str">
        <f t="shared" si="36"/>
        <v/>
      </c>
      <c r="CS15" s="36" t="str">
        <f t="shared" si="37"/>
        <v/>
      </c>
      <c r="CT15" s="37"/>
      <c r="CU15" s="33"/>
      <c r="CV15" s="34"/>
      <c r="CW15" s="35" t="str">
        <f t="shared" si="38"/>
        <v/>
      </c>
      <c r="CX15" s="36" t="str">
        <f t="shared" si="39"/>
        <v/>
      </c>
      <c r="CY15" s="37"/>
      <c r="CZ15" s="33"/>
      <c r="DA15" s="34"/>
      <c r="DB15" s="35" t="str">
        <f t="shared" si="40"/>
        <v/>
      </c>
      <c r="DC15" s="36" t="str">
        <f t="shared" si="41"/>
        <v/>
      </c>
      <c r="DD15" s="37"/>
      <c r="DE15" s="33"/>
      <c r="DF15" s="34"/>
      <c r="DG15" s="35" t="str">
        <f t="shared" si="42"/>
        <v/>
      </c>
      <c r="DH15" s="36" t="str">
        <f t="shared" si="43"/>
        <v/>
      </c>
      <c r="DI15" s="37"/>
      <c r="DJ15" s="33"/>
      <c r="DK15" s="34"/>
      <c r="DL15" s="35" t="str">
        <f t="shared" si="44"/>
        <v/>
      </c>
      <c r="DM15" s="36" t="str">
        <f t="shared" si="45"/>
        <v/>
      </c>
      <c r="DN15" s="37"/>
      <c r="DO15" s="33"/>
      <c r="DP15" s="34"/>
      <c r="DQ15" s="35" t="str">
        <f t="shared" si="46"/>
        <v/>
      </c>
      <c r="DR15" s="36" t="str">
        <f t="shared" si="47"/>
        <v/>
      </c>
      <c r="DS15" s="37"/>
      <c r="DT15" s="33"/>
      <c r="DU15" s="34"/>
      <c r="DV15" s="35" t="str">
        <f t="shared" si="48"/>
        <v/>
      </c>
      <c r="DW15" s="36" t="str">
        <f t="shared" si="49"/>
        <v/>
      </c>
      <c r="DX15" s="37"/>
      <c r="DY15" s="33"/>
      <c r="DZ15" s="34"/>
      <c r="EA15" s="35" t="str">
        <f t="shared" si="50"/>
        <v/>
      </c>
      <c r="EB15" s="36" t="str">
        <f t="shared" si="51"/>
        <v/>
      </c>
      <c r="EC15" s="37"/>
      <c r="ED15" s="33"/>
      <c r="EE15" s="34"/>
      <c r="EF15" s="35" t="str">
        <f t="shared" si="52"/>
        <v/>
      </c>
      <c r="EG15" s="36" t="str">
        <f t="shared" si="53"/>
        <v/>
      </c>
      <c r="EH15" s="37"/>
      <c r="EI15" s="33"/>
      <c r="EJ15" s="34"/>
      <c r="EK15" s="35" t="str">
        <f t="shared" si="54"/>
        <v/>
      </c>
      <c r="EL15" s="36" t="str">
        <f t="shared" si="55"/>
        <v/>
      </c>
      <c r="EM15" s="37"/>
      <c r="EN15" s="33"/>
      <c r="EO15" s="34"/>
      <c r="EP15" s="35" t="str">
        <f t="shared" si="56"/>
        <v/>
      </c>
      <c r="EQ15" s="36" t="str">
        <f t="shared" si="57"/>
        <v/>
      </c>
      <c r="ER15" s="37"/>
      <c r="ES15" s="33"/>
      <c r="ET15" s="34"/>
      <c r="EU15" s="35" t="str">
        <f t="shared" si="58"/>
        <v/>
      </c>
      <c r="EV15" s="36" t="str">
        <f t="shared" si="59"/>
        <v/>
      </c>
      <c r="EW15" s="37"/>
    </row>
    <row r="16" spans="1:153" ht="19.5" customHeight="1">
      <c r="A16" s="32">
        <f>IF(DAY(DATE(対象年度,10,13))&lt;&gt;13,"",13)</f>
        <v>13</v>
      </c>
      <c r="B16" s="32" t="str">
        <f>IF(DAY(DATE(対象年度,10,13))&lt;&gt;13,"",CHOOSE(WEEKDAY(DATE(対象年度,10,13),2),"月","火","水","木","金","土","日"))</f>
        <v>火</v>
      </c>
      <c r="C16" s="32" t="str">
        <f>IF(DAY(DATE(対象年度,10,13))&lt;&gt;13,"",IF(ISNUMBER(MATCH(DATE(対象年度,10,13),祝日リスト,0)),"祝",""))</f>
        <v/>
      </c>
      <c r="D16" s="33"/>
      <c r="E16" s="34"/>
      <c r="F16" s="35" t="str">
        <f t="shared" si="0"/>
        <v/>
      </c>
      <c r="G16" s="36" t="str">
        <f t="shared" si="1"/>
        <v/>
      </c>
      <c r="H16" s="37"/>
      <c r="I16" s="33"/>
      <c r="J16" s="34"/>
      <c r="K16" s="35" t="str">
        <f t="shared" si="2"/>
        <v/>
      </c>
      <c r="L16" s="36" t="str">
        <f t="shared" si="3"/>
        <v/>
      </c>
      <c r="M16" s="37"/>
      <c r="N16" s="33"/>
      <c r="O16" s="34"/>
      <c r="P16" s="35" t="str">
        <f t="shared" si="4"/>
        <v/>
      </c>
      <c r="Q16" s="36" t="str">
        <f t="shared" si="5"/>
        <v/>
      </c>
      <c r="R16" s="37"/>
      <c r="S16" s="33"/>
      <c r="T16" s="34"/>
      <c r="U16" s="35" t="str">
        <f t="shared" si="6"/>
        <v/>
      </c>
      <c r="V16" s="36" t="str">
        <f t="shared" si="7"/>
        <v/>
      </c>
      <c r="W16" s="37"/>
      <c r="X16" s="33"/>
      <c r="Y16" s="34"/>
      <c r="Z16" s="35" t="str">
        <f t="shared" si="8"/>
        <v/>
      </c>
      <c r="AA16" s="36" t="str">
        <f t="shared" si="9"/>
        <v/>
      </c>
      <c r="AB16" s="37"/>
      <c r="AC16" s="33"/>
      <c r="AD16" s="34"/>
      <c r="AE16" s="35" t="str">
        <f t="shared" si="10"/>
        <v/>
      </c>
      <c r="AF16" s="36" t="str">
        <f t="shared" si="11"/>
        <v/>
      </c>
      <c r="AG16" s="37"/>
      <c r="AH16" s="33"/>
      <c r="AI16" s="34"/>
      <c r="AJ16" s="35" t="str">
        <f t="shared" si="12"/>
        <v/>
      </c>
      <c r="AK16" s="36" t="str">
        <f t="shared" si="13"/>
        <v/>
      </c>
      <c r="AL16" s="37"/>
      <c r="AM16" s="33"/>
      <c r="AN16" s="34"/>
      <c r="AO16" s="35" t="str">
        <f t="shared" si="14"/>
        <v/>
      </c>
      <c r="AP16" s="36" t="str">
        <f t="shared" si="15"/>
        <v/>
      </c>
      <c r="AQ16" s="37"/>
      <c r="AR16" s="33"/>
      <c r="AS16" s="34"/>
      <c r="AT16" s="35" t="str">
        <f t="shared" si="16"/>
        <v/>
      </c>
      <c r="AU16" s="36" t="str">
        <f t="shared" si="17"/>
        <v/>
      </c>
      <c r="AV16" s="37"/>
      <c r="AW16" s="33"/>
      <c r="AX16" s="34"/>
      <c r="AY16" s="35" t="str">
        <f t="shared" si="18"/>
        <v/>
      </c>
      <c r="AZ16" s="36" t="str">
        <f t="shared" si="19"/>
        <v/>
      </c>
      <c r="BA16" s="37"/>
      <c r="BB16" s="33"/>
      <c r="BC16" s="34"/>
      <c r="BD16" s="35" t="str">
        <f t="shared" si="20"/>
        <v/>
      </c>
      <c r="BE16" s="36" t="str">
        <f t="shared" si="21"/>
        <v/>
      </c>
      <c r="BF16" s="37"/>
      <c r="BG16" s="33"/>
      <c r="BH16" s="34"/>
      <c r="BI16" s="35" t="str">
        <f t="shared" si="22"/>
        <v/>
      </c>
      <c r="BJ16" s="36" t="str">
        <f t="shared" si="23"/>
        <v/>
      </c>
      <c r="BK16" s="37"/>
      <c r="BL16" s="33"/>
      <c r="BM16" s="34"/>
      <c r="BN16" s="35" t="str">
        <f t="shared" si="24"/>
        <v/>
      </c>
      <c r="BO16" s="36" t="str">
        <f t="shared" si="25"/>
        <v/>
      </c>
      <c r="BP16" s="37"/>
      <c r="BQ16" s="33"/>
      <c r="BR16" s="34"/>
      <c r="BS16" s="35" t="str">
        <f t="shared" si="26"/>
        <v/>
      </c>
      <c r="BT16" s="36" t="str">
        <f t="shared" si="27"/>
        <v/>
      </c>
      <c r="BU16" s="37"/>
      <c r="BV16" s="33"/>
      <c r="BW16" s="34"/>
      <c r="BX16" s="35" t="str">
        <f t="shared" si="28"/>
        <v/>
      </c>
      <c r="BY16" s="36" t="str">
        <f t="shared" si="29"/>
        <v/>
      </c>
      <c r="BZ16" s="37"/>
      <c r="CA16" s="33"/>
      <c r="CB16" s="34"/>
      <c r="CC16" s="35" t="str">
        <f t="shared" si="30"/>
        <v/>
      </c>
      <c r="CD16" s="36" t="str">
        <f t="shared" si="31"/>
        <v/>
      </c>
      <c r="CE16" s="37"/>
      <c r="CF16" s="33"/>
      <c r="CG16" s="34"/>
      <c r="CH16" s="35" t="str">
        <f t="shared" si="32"/>
        <v/>
      </c>
      <c r="CI16" s="36" t="str">
        <f t="shared" si="33"/>
        <v/>
      </c>
      <c r="CJ16" s="37"/>
      <c r="CK16" s="33"/>
      <c r="CL16" s="34"/>
      <c r="CM16" s="35" t="str">
        <f t="shared" si="34"/>
        <v/>
      </c>
      <c r="CN16" s="36" t="str">
        <f t="shared" si="35"/>
        <v/>
      </c>
      <c r="CO16" s="37"/>
      <c r="CP16" s="33"/>
      <c r="CQ16" s="34"/>
      <c r="CR16" s="35" t="str">
        <f t="shared" si="36"/>
        <v/>
      </c>
      <c r="CS16" s="36" t="str">
        <f t="shared" si="37"/>
        <v/>
      </c>
      <c r="CT16" s="37"/>
      <c r="CU16" s="33"/>
      <c r="CV16" s="34"/>
      <c r="CW16" s="35" t="str">
        <f t="shared" si="38"/>
        <v/>
      </c>
      <c r="CX16" s="36" t="str">
        <f t="shared" si="39"/>
        <v/>
      </c>
      <c r="CY16" s="37"/>
      <c r="CZ16" s="33"/>
      <c r="DA16" s="34"/>
      <c r="DB16" s="35" t="str">
        <f t="shared" si="40"/>
        <v/>
      </c>
      <c r="DC16" s="36" t="str">
        <f t="shared" si="41"/>
        <v/>
      </c>
      <c r="DD16" s="37"/>
      <c r="DE16" s="33"/>
      <c r="DF16" s="34"/>
      <c r="DG16" s="35" t="str">
        <f t="shared" si="42"/>
        <v/>
      </c>
      <c r="DH16" s="36" t="str">
        <f t="shared" si="43"/>
        <v/>
      </c>
      <c r="DI16" s="37"/>
      <c r="DJ16" s="33"/>
      <c r="DK16" s="34"/>
      <c r="DL16" s="35" t="str">
        <f t="shared" si="44"/>
        <v/>
      </c>
      <c r="DM16" s="36" t="str">
        <f t="shared" si="45"/>
        <v/>
      </c>
      <c r="DN16" s="37"/>
      <c r="DO16" s="33"/>
      <c r="DP16" s="34"/>
      <c r="DQ16" s="35" t="str">
        <f t="shared" si="46"/>
        <v/>
      </c>
      <c r="DR16" s="36" t="str">
        <f t="shared" si="47"/>
        <v/>
      </c>
      <c r="DS16" s="37"/>
      <c r="DT16" s="33"/>
      <c r="DU16" s="34"/>
      <c r="DV16" s="35" t="str">
        <f t="shared" si="48"/>
        <v/>
      </c>
      <c r="DW16" s="36" t="str">
        <f t="shared" si="49"/>
        <v/>
      </c>
      <c r="DX16" s="37"/>
      <c r="DY16" s="33"/>
      <c r="DZ16" s="34"/>
      <c r="EA16" s="35" t="str">
        <f t="shared" si="50"/>
        <v/>
      </c>
      <c r="EB16" s="36" t="str">
        <f t="shared" si="51"/>
        <v/>
      </c>
      <c r="EC16" s="37"/>
      <c r="ED16" s="33"/>
      <c r="EE16" s="34"/>
      <c r="EF16" s="35" t="str">
        <f t="shared" si="52"/>
        <v/>
      </c>
      <c r="EG16" s="36" t="str">
        <f t="shared" si="53"/>
        <v/>
      </c>
      <c r="EH16" s="37"/>
      <c r="EI16" s="33"/>
      <c r="EJ16" s="34"/>
      <c r="EK16" s="35" t="str">
        <f t="shared" si="54"/>
        <v/>
      </c>
      <c r="EL16" s="36" t="str">
        <f t="shared" si="55"/>
        <v/>
      </c>
      <c r="EM16" s="37"/>
      <c r="EN16" s="33"/>
      <c r="EO16" s="34"/>
      <c r="EP16" s="35" t="str">
        <f t="shared" si="56"/>
        <v/>
      </c>
      <c r="EQ16" s="36" t="str">
        <f t="shared" si="57"/>
        <v/>
      </c>
      <c r="ER16" s="37"/>
      <c r="ES16" s="33"/>
      <c r="ET16" s="34"/>
      <c r="EU16" s="35" t="str">
        <f t="shared" si="58"/>
        <v/>
      </c>
      <c r="EV16" s="36" t="str">
        <f t="shared" si="59"/>
        <v/>
      </c>
      <c r="EW16" s="37"/>
    </row>
    <row r="17" spans="1:153" ht="19.5" customHeight="1">
      <c r="A17" s="32">
        <f>IF(DAY(DATE(対象年度,10,14))&lt;&gt;14,"",14)</f>
        <v>14</v>
      </c>
      <c r="B17" s="32" t="str">
        <f>IF(DAY(DATE(対象年度,10,14))&lt;&gt;14,"",CHOOSE(WEEKDAY(DATE(対象年度,10,14),2),"月","火","水","木","金","土","日"))</f>
        <v>水</v>
      </c>
      <c r="C17" s="32" t="str">
        <f>IF(DAY(DATE(対象年度,10,14))&lt;&gt;14,"",IF(ISNUMBER(MATCH(DATE(対象年度,10,14),祝日リスト,0)),"祝",""))</f>
        <v/>
      </c>
      <c r="D17" s="33"/>
      <c r="E17" s="34"/>
      <c r="F17" s="35" t="str">
        <f t="shared" si="0"/>
        <v/>
      </c>
      <c r="G17" s="36" t="str">
        <f t="shared" si="1"/>
        <v/>
      </c>
      <c r="H17" s="37"/>
      <c r="I17" s="33"/>
      <c r="J17" s="34"/>
      <c r="K17" s="35" t="str">
        <f t="shared" si="2"/>
        <v/>
      </c>
      <c r="L17" s="36" t="str">
        <f t="shared" si="3"/>
        <v/>
      </c>
      <c r="M17" s="37"/>
      <c r="N17" s="33"/>
      <c r="O17" s="34"/>
      <c r="P17" s="35" t="str">
        <f t="shared" si="4"/>
        <v/>
      </c>
      <c r="Q17" s="36" t="str">
        <f t="shared" si="5"/>
        <v/>
      </c>
      <c r="R17" s="37"/>
      <c r="S17" s="33"/>
      <c r="T17" s="34"/>
      <c r="U17" s="35" t="str">
        <f t="shared" si="6"/>
        <v/>
      </c>
      <c r="V17" s="36" t="str">
        <f t="shared" si="7"/>
        <v/>
      </c>
      <c r="W17" s="37"/>
      <c r="X17" s="33"/>
      <c r="Y17" s="34"/>
      <c r="Z17" s="35" t="str">
        <f t="shared" si="8"/>
        <v/>
      </c>
      <c r="AA17" s="36" t="str">
        <f t="shared" si="9"/>
        <v/>
      </c>
      <c r="AB17" s="37"/>
      <c r="AC17" s="33"/>
      <c r="AD17" s="34"/>
      <c r="AE17" s="35" t="str">
        <f t="shared" si="10"/>
        <v/>
      </c>
      <c r="AF17" s="36" t="str">
        <f t="shared" si="11"/>
        <v/>
      </c>
      <c r="AG17" s="37"/>
      <c r="AH17" s="33"/>
      <c r="AI17" s="34"/>
      <c r="AJ17" s="35" t="str">
        <f t="shared" si="12"/>
        <v/>
      </c>
      <c r="AK17" s="36" t="str">
        <f t="shared" si="13"/>
        <v/>
      </c>
      <c r="AL17" s="37"/>
      <c r="AM17" s="33"/>
      <c r="AN17" s="34"/>
      <c r="AO17" s="35" t="str">
        <f t="shared" si="14"/>
        <v/>
      </c>
      <c r="AP17" s="36" t="str">
        <f t="shared" si="15"/>
        <v/>
      </c>
      <c r="AQ17" s="37"/>
      <c r="AR17" s="33"/>
      <c r="AS17" s="34"/>
      <c r="AT17" s="35" t="str">
        <f t="shared" si="16"/>
        <v/>
      </c>
      <c r="AU17" s="36" t="str">
        <f t="shared" si="17"/>
        <v/>
      </c>
      <c r="AV17" s="37"/>
      <c r="AW17" s="33"/>
      <c r="AX17" s="34"/>
      <c r="AY17" s="35" t="str">
        <f t="shared" si="18"/>
        <v/>
      </c>
      <c r="AZ17" s="36" t="str">
        <f t="shared" si="19"/>
        <v/>
      </c>
      <c r="BA17" s="37"/>
      <c r="BB17" s="33"/>
      <c r="BC17" s="34"/>
      <c r="BD17" s="35" t="str">
        <f t="shared" si="20"/>
        <v/>
      </c>
      <c r="BE17" s="36" t="str">
        <f t="shared" si="21"/>
        <v/>
      </c>
      <c r="BF17" s="37"/>
      <c r="BG17" s="33"/>
      <c r="BH17" s="34"/>
      <c r="BI17" s="35" t="str">
        <f t="shared" si="22"/>
        <v/>
      </c>
      <c r="BJ17" s="36" t="str">
        <f t="shared" si="23"/>
        <v/>
      </c>
      <c r="BK17" s="37"/>
      <c r="BL17" s="33"/>
      <c r="BM17" s="34"/>
      <c r="BN17" s="35" t="str">
        <f t="shared" si="24"/>
        <v/>
      </c>
      <c r="BO17" s="36" t="str">
        <f t="shared" si="25"/>
        <v/>
      </c>
      <c r="BP17" s="37"/>
      <c r="BQ17" s="33"/>
      <c r="BR17" s="34"/>
      <c r="BS17" s="35" t="str">
        <f t="shared" si="26"/>
        <v/>
      </c>
      <c r="BT17" s="36" t="str">
        <f t="shared" si="27"/>
        <v/>
      </c>
      <c r="BU17" s="37"/>
      <c r="BV17" s="33"/>
      <c r="BW17" s="34"/>
      <c r="BX17" s="35" t="str">
        <f t="shared" si="28"/>
        <v/>
      </c>
      <c r="BY17" s="36" t="str">
        <f t="shared" si="29"/>
        <v/>
      </c>
      <c r="BZ17" s="37"/>
      <c r="CA17" s="33"/>
      <c r="CB17" s="34"/>
      <c r="CC17" s="35" t="str">
        <f t="shared" si="30"/>
        <v/>
      </c>
      <c r="CD17" s="36" t="str">
        <f t="shared" si="31"/>
        <v/>
      </c>
      <c r="CE17" s="37"/>
      <c r="CF17" s="33"/>
      <c r="CG17" s="34"/>
      <c r="CH17" s="35" t="str">
        <f t="shared" si="32"/>
        <v/>
      </c>
      <c r="CI17" s="36" t="str">
        <f t="shared" si="33"/>
        <v/>
      </c>
      <c r="CJ17" s="37"/>
      <c r="CK17" s="33"/>
      <c r="CL17" s="34"/>
      <c r="CM17" s="35" t="str">
        <f t="shared" si="34"/>
        <v/>
      </c>
      <c r="CN17" s="36" t="str">
        <f t="shared" si="35"/>
        <v/>
      </c>
      <c r="CO17" s="37"/>
      <c r="CP17" s="33"/>
      <c r="CQ17" s="34"/>
      <c r="CR17" s="35" t="str">
        <f t="shared" si="36"/>
        <v/>
      </c>
      <c r="CS17" s="36" t="str">
        <f t="shared" si="37"/>
        <v/>
      </c>
      <c r="CT17" s="37"/>
      <c r="CU17" s="33"/>
      <c r="CV17" s="34"/>
      <c r="CW17" s="35" t="str">
        <f t="shared" si="38"/>
        <v/>
      </c>
      <c r="CX17" s="36" t="str">
        <f t="shared" si="39"/>
        <v/>
      </c>
      <c r="CY17" s="37"/>
      <c r="CZ17" s="33"/>
      <c r="DA17" s="34"/>
      <c r="DB17" s="35" t="str">
        <f t="shared" si="40"/>
        <v/>
      </c>
      <c r="DC17" s="36" t="str">
        <f t="shared" si="41"/>
        <v/>
      </c>
      <c r="DD17" s="37"/>
      <c r="DE17" s="33"/>
      <c r="DF17" s="34"/>
      <c r="DG17" s="35" t="str">
        <f t="shared" si="42"/>
        <v/>
      </c>
      <c r="DH17" s="36" t="str">
        <f t="shared" si="43"/>
        <v/>
      </c>
      <c r="DI17" s="37"/>
      <c r="DJ17" s="33"/>
      <c r="DK17" s="34"/>
      <c r="DL17" s="35" t="str">
        <f t="shared" si="44"/>
        <v/>
      </c>
      <c r="DM17" s="36" t="str">
        <f t="shared" si="45"/>
        <v/>
      </c>
      <c r="DN17" s="37"/>
      <c r="DO17" s="33"/>
      <c r="DP17" s="34"/>
      <c r="DQ17" s="35" t="str">
        <f t="shared" si="46"/>
        <v/>
      </c>
      <c r="DR17" s="36" t="str">
        <f t="shared" si="47"/>
        <v/>
      </c>
      <c r="DS17" s="37"/>
      <c r="DT17" s="33"/>
      <c r="DU17" s="34"/>
      <c r="DV17" s="35" t="str">
        <f t="shared" si="48"/>
        <v/>
      </c>
      <c r="DW17" s="36" t="str">
        <f t="shared" si="49"/>
        <v/>
      </c>
      <c r="DX17" s="37"/>
      <c r="DY17" s="33"/>
      <c r="DZ17" s="34"/>
      <c r="EA17" s="35" t="str">
        <f t="shared" si="50"/>
        <v/>
      </c>
      <c r="EB17" s="36" t="str">
        <f t="shared" si="51"/>
        <v/>
      </c>
      <c r="EC17" s="37"/>
      <c r="ED17" s="33"/>
      <c r="EE17" s="34"/>
      <c r="EF17" s="35" t="str">
        <f t="shared" si="52"/>
        <v/>
      </c>
      <c r="EG17" s="36" t="str">
        <f t="shared" si="53"/>
        <v/>
      </c>
      <c r="EH17" s="37"/>
      <c r="EI17" s="33"/>
      <c r="EJ17" s="34"/>
      <c r="EK17" s="35" t="str">
        <f t="shared" si="54"/>
        <v/>
      </c>
      <c r="EL17" s="36" t="str">
        <f t="shared" si="55"/>
        <v/>
      </c>
      <c r="EM17" s="37"/>
      <c r="EN17" s="33"/>
      <c r="EO17" s="34"/>
      <c r="EP17" s="35" t="str">
        <f t="shared" si="56"/>
        <v/>
      </c>
      <c r="EQ17" s="36" t="str">
        <f t="shared" si="57"/>
        <v/>
      </c>
      <c r="ER17" s="37"/>
      <c r="ES17" s="33"/>
      <c r="ET17" s="34"/>
      <c r="EU17" s="35" t="str">
        <f t="shared" si="58"/>
        <v/>
      </c>
      <c r="EV17" s="36" t="str">
        <f t="shared" si="59"/>
        <v/>
      </c>
      <c r="EW17" s="37"/>
    </row>
    <row r="18" spans="1:153" ht="19.5" customHeight="1">
      <c r="A18" s="32">
        <f>IF(DAY(DATE(対象年度,10,15))&lt;&gt;15,"",15)</f>
        <v>15</v>
      </c>
      <c r="B18" s="32" t="str">
        <f>IF(DAY(DATE(対象年度,10,15))&lt;&gt;15,"",CHOOSE(WEEKDAY(DATE(対象年度,10,15),2),"月","火","水","木","金","土","日"))</f>
        <v>木</v>
      </c>
      <c r="C18" s="32" t="str">
        <f>IF(DAY(DATE(対象年度,10,15))&lt;&gt;15,"",IF(ISNUMBER(MATCH(DATE(対象年度,10,15),祝日リスト,0)),"祝",""))</f>
        <v/>
      </c>
      <c r="D18" s="33"/>
      <c r="E18" s="34"/>
      <c r="F18" s="35" t="str">
        <f t="shared" si="0"/>
        <v/>
      </c>
      <c r="G18" s="36" t="str">
        <f t="shared" si="1"/>
        <v/>
      </c>
      <c r="H18" s="37"/>
      <c r="I18" s="33"/>
      <c r="J18" s="34"/>
      <c r="K18" s="35" t="str">
        <f t="shared" si="2"/>
        <v/>
      </c>
      <c r="L18" s="36" t="str">
        <f t="shared" si="3"/>
        <v/>
      </c>
      <c r="M18" s="37"/>
      <c r="N18" s="33"/>
      <c r="O18" s="34"/>
      <c r="P18" s="35" t="str">
        <f t="shared" si="4"/>
        <v/>
      </c>
      <c r="Q18" s="36" t="str">
        <f t="shared" si="5"/>
        <v/>
      </c>
      <c r="R18" s="37"/>
      <c r="S18" s="33"/>
      <c r="T18" s="34"/>
      <c r="U18" s="35" t="str">
        <f t="shared" si="6"/>
        <v/>
      </c>
      <c r="V18" s="36" t="str">
        <f t="shared" si="7"/>
        <v/>
      </c>
      <c r="W18" s="37"/>
      <c r="X18" s="33"/>
      <c r="Y18" s="34"/>
      <c r="Z18" s="35" t="str">
        <f t="shared" si="8"/>
        <v/>
      </c>
      <c r="AA18" s="36" t="str">
        <f t="shared" si="9"/>
        <v/>
      </c>
      <c r="AB18" s="37"/>
      <c r="AC18" s="33"/>
      <c r="AD18" s="34"/>
      <c r="AE18" s="35" t="str">
        <f t="shared" si="10"/>
        <v/>
      </c>
      <c r="AF18" s="36" t="str">
        <f t="shared" si="11"/>
        <v/>
      </c>
      <c r="AG18" s="37"/>
      <c r="AH18" s="33"/>
      <c r="AI18" s="34"/>
      <c r="AJ18" s="35" t="str">
        <f t="shared" si="12"/>
        <v/>
      </c>
      <c r="AK18" s="36" t="str">
        <f t="shared" si="13"/>
        <v/>
      </c>
      <c r="AL18" s="37"/>
      <c r="AM18" s="33"/>
      <c r="AN18" s="34"/>
      <c r="AO18" s="35" t="str">
        <f t="shared" si="14"/>
        <v/>
      </c>
      <c r="AP18" s="36" t="str">
        <f t="shared" si="15"/>
        <v/>
      </c>
      <c r="AQ18" s="37"/>
      <c r="AR18" s="33"/>
      <c r="AS18" s="34"/>
      <c r="AT18" s="35" t="str">
        <f t="shared" si="16"/>
        <v/>
      </c>
      <c r="AU18" s="36" t="str">
        <f t="shared" si="17"/>
        <v/>
      </c>
      <c r="AV18" s="37"/>
      <c r="AW18" s="33"/>
      <c r="AX18" s="34"/>
      <c r="AY18" s="35" t="str">
        <f t="shared" si="18"/>
        <v/>
      </c>
      <c r="AZ18" s="36" t="str">
        <f t="shared" si="19"/>
        <v/>
      </c>
      <c r="BA18" s="37"/>
      <c r="BB18" s="33"/>
      <c r="BC18" s="34"/>
      <c r="BD18" s="35" t="str">
        <f t="shared" si="20"/>
        <v/>
      </c>
      <c r="BE18" s="36" t="str">
        <f t="shared" si="21"/>
        <v/>
      </c>
      <c r="BF18" s="37"/>
      <c r="BG18" s="33"/>
      <c r="BH18" s="34"/>
      <c r="BI18" s="35" t="str">
        <f t="shared" si="22"/>
        <v/>
      </c>
      <c r="BJ18" s="36" t="str">
        <f t="shared" si="23"/>
        <v/>
      </c>
      <c r="BK18" s="37"/>
      <c r="BL18" s="33"/>
      <c r="BM18" s="34"/>
      <c r="BN18" s="35" t="str">
        <f t="shared" si="24"/>
        <v/>
      </c>
      <c r="BO18" s="36" t="str">
        <f t="shared" si="25"/>
        <v/>
      </c>
      <c r="BP18" s="37"/>
      <c r="BQ18" s="33"/>
      <c r="BR18" s="34"/>
      <c r="BS18" s="35" t="str">
        <f t="shared" si="26"/>
        <v/>
      </c>
      <c r="BT18" s="36" t="str">
        <f t="shared" si="27"/>
        <v/>
      </c>
      <c r="BU18" s="37"/>
      <c r="BV18" s="33"/>
      <c r="BW18" s="34"/>
      <c r="BX18" s="35" t="str">
        <f t="shared" si="28"/>
        <v/>
      </c>
      <c r="BY18" s="36" t="str">
        <f t="shared" si="29"/>
        <v/>
      </c>
      <c r="BZ18" s="37"/>
      <c r="CA18" s="33"/>
      <c r="CB18" s="34"/>
      <c r="CC18" s="35" t="str">
        <f t="shared" si="30"/>
        <v/>
      </c>
      <c r="CD18" s="36" t="str">
        <f t="shared" si="31"/>
        <v/>
      </c>
      <c r="CE18" s="37"/>
      <c r="CF18" s="33"/>
      <c r="CG18" s="34"/>
      <c r="CH18" s="35" t="str">
        <f t="shared" si="32"/>
        <v/>
      </c>
      <c r="CI18" s="36" t="str">
        <f t="shared" si="33"/>
        <v/>
      </c>
      <c r="CJ18" s="37"/>
      <c r="CK18" s="33"/>
      <c r="CL18" s="34"/>
      <c r="CM18" s="35" t="str">
        <f t="shared" si="34"/>
        <v/>
      </c>
      <c r="CN18" s="36" t="str">
        <f t="shared" si="35"/>
        <v/>
      </c>
      <c r="CO18" s="37"/>
      <c r="CP18" s="33"/>
      <c r="CQ18" s="34"/>
      <c r="CR18" s="35" t="str">
        <f t="shared" si="36"/>
        <v/>
      </c>
      <c r="CS18" s="36" t="str">
        <f t="shared" si="37"/>
        <v/>
      </c>
      <c r="CT18" s="37"/>
      <c r="CU18" s="33"/>
      <c r="CV18" s="34"/>
      <c r="CW18" s="35" t="str">
        <f t="shared" si="38"/>
        <v/>
      </c>
      <c r="CX18" s="36" t="str">
        <f t="shared" si="39"/>
        <v/>
      </c>
      <c r="CY18" s="37"/>
      <c r="CZ18" s="33"/>
      <c r="DA18" s="34"/>
      <c r="DB18" s="35" t="str">
        <f t="shared" si="40"/>
        <v/>
      </c>
      <c r="DC18" s="36" t="str">
        <f t="shared" si="41"/>
        <v/>
      </c>
      <c r="DD18" s="37"/>
      <c r="DE18" s="33"/>
      <c r="DF18" s="34"/>
      <c r="DG18" s="35" t="str">
        <f t="shared" si="42"/>
        <v/>
      </c>
      <c r="DH18" s="36" t="str">
        <f t="shared" si="43"/>
        <v/>
      </c>
      <c r="DI18" s="37"/>
      <c r="DJ18" s="33"/>
      <c r="DK18" s="34"/>
      <c r="DL18" s="35" t="str">
        <f t="shared" si="44"/>
        <v/>
      </c>
      <c r="DM18" s="36" t="str">
        <f t="shared" si="45"/>
        <v/>
      </c>
      <c r="DN18" s="37"/>
      <c r="DO18" s="33"/>
      <c r="DP18" s="34"/>
      <c r="DQ18" s="35" t="str">
        <f t="shared" si="46"/>
        <v/>
      </c>
      <c r="DR18" s="36" t="str">
        <f t="shared" si="47"/>
        <v/>
      </c>
      <c r="DS18" s="37"/>
      <c r="DT18" s="33"/>
      <c r="DU18" s="34"/>
      <c r="DV18" s="35" t="str">
        <f t="shared" si="48"/>
        <v/>
      </c>
      <c r="DW18" s="36" t="str">
        <f t="shared" si="49"/>
        <v/>
      </c>
      <c r="DX18" s="37"/>
      <c r="DY18" s="33"/>
      <c r="DZ18" s="34"/>
      <c r="EA18" s="35" t="str">
        <f t="shared" si="50"/>
        <v/>
      </c>
      <c r="EB18" s="36" t="str">
        <f t="shared" si="51"/>
        <v/>
      </c>
      <c r="EC18" s="37"/>
      <c r="ED18" s="33"/>
      <c r="EE18" s="34"/>
      <c r="EF18" s="35" t="str">
        <f t="shared" si="52"/>
        <v/>
      </c>
      <c r="EG18" s="36" t="str">
        <f t="shared" si="53"/>
        <v/>
      </c>
      <c r="EH18" s="37"/>
      <c r="EI18" s="33"/>
      <c r="EJ18" s="34"/>
      <c r="EK18" s="35" t="str">
        <f t="shared" si="54"/>
        <v/>
      </c>
      <c r="EL18" s="36" t="str">
        <f t="shared" si="55"/>
        <v/>
      </c>
      <c r="EM18" s="37"/>
      <c r="EN18" s="33"/>
      <c r="EO18" s="34"/>
      <c r="EP18" s="35" t="str">
        <f t="shared" si="56"/>
        <v/>
      </c>
      <c r="EQ18" s="36" t="str">
        <f t="shared" si="57"/>
        <v/>
      </c>
      <c r="ER18" s="37"/>
      <c r="ES18" s="33"/>
      <c r="ET18" s="34"/>
      <c r="EU18" s="35" t="str">
        <f t="shared" si="58"/>
        <v/>
      </c>
      <c r="EV18" s="36" t="str">
        <f t="shared" si="59"/>
        <v/>
      </c>
      <c r="EW18" s="37"/>
    </row>
    <row r="19" spans="1:153" ht="19.5" customHeight="1">
      <c r="A19" s="32">
        <f>IF(DAY(DATE(対象年度,10,16))&lt;&gt;16,"",16)</f>
        <v>16</v>
      </c>
      <c r="B19" s="32" t="str">
        <f>IF(DAY(DATE(対象年度,10,16))&lt;&gt;16,"",CHOOSE(WEEKDAY(DATE(対象年度,10,16),2),"月","火","水","木","金","土","日"))</f>
        <v>金</v>
      </c>
      <c r="C19" s="32" t="str">
        <f>IF(DAY(DATE(対象年度,10,16))&lt;&gt;16,"",IF(ISNUMBER(MATCH(DATE(対象年度,10,16),祝日リスト,0)),"祝",""))</f>
        <v/>
      </c>
      <c r="D19" s="33"/>
      <c r="E19" s="34"/>
      <c r="F19" s="35" t="str">
        <f t="shared" si="0"/>
        <v/>
      </c>
      <c r="G19" s="36" t="str">
        <f t="shared" si="1"/>
        <v/>
      </c>
      <c r="H19" s="37"/>
      <c r="I19" s="33"/>
      <c r="J19" s="34"/>
      <c r="K19" s="35" t="str">
        <f t="shared" si="2"/>
        <v/>
      </c>
      <c r="L19" s="36" t="str">
        <f t="shared" si="3"/>
        <v/>
      </c>
      <c r="M19" s="37"/>
      <c r="N19" s="33"/>
      <c r="O19" s="34"/>
      <c r="P19" s="35" t="str">
        <f t="shared" si="4"/>
        <v/>
      </c>
      <c r="Q19" s="36" t="str">
        <f t="shared" si="5"/>
        <v/>
      </c>
      <c r="R19" s="37"/>
      <c r="S19" s="33"/>
      <c r="T19" s="34"/>
      <c r="U19" s="35" t="str">
        <f t="shared" si="6"/>
        <v/>
      </c>
      <c r="V19" s="36" t="str">
        <f t="shared" si="7"/>
        <v/>
      </c>
      <c r="W19" s="37"/>
      <c r="X19" s="33"/>
      <c r="Y19" s="34"/>
      <c r="Z19" s="35" t="str">
        <f t="shared" si="8"/>
        <v/>
      </c>
      <c r="AA19" s="36" t="str">
        <f t="shared" si="9"/>
        <v/>
      </c>
      <c r="AB19" s="37"/>
      <c r="AC19" s="33"/>
      <c r="AD19" s="34"/>
      <c r="AE19" s="35" t="str">
        <f t="shared" si="10"/>
        <v/>
      </c>
      <c r="AF19" s="36" t="str">
        <f t="shared" si="11"/>
        <v/>
      </c>
      <c r="AG19" s="37"/>
      <c r="AH19" s="33"/>
      <c r="AI19" s="34"/>
      <c r="AJ19" s="35" t="str">
        <f t="shared" si="12"/>
        <v/>
      </c>
      <c r="AK19" s="36" t="str">
        <f t="shared" si="13"/>
        <v/>
      </c>
      <c r="AL19" s="37"/>
      <c r="AM19" s="33"/>
      <c r="AN19" s="34"/>
      <c r="AO19" s="35" t="str">
        <f t="shared" si="14"/>
        <v/>
      </c>
      <c r="AP19" s="36" t="str">
        <f t="shared" si="15"/>
        <v/>
      </c>
      <c r="AQ19" s="37"/>
      <c r="AR19" s="33"/>
      <c r="AS19" s="34"/>
      <c r="AT19" s="35" t="str">
        <f t="shared" si="16"/>
        <v/>
      </c>
      <c r="AU19" s="36" t="str">
        <f t="shared" si="17"/>
        <v/>
      </c>
      <c r="AV19" s="37"/>
      <c r="AW19" s="33"/>
      <c r="AX19" s="34"/>
      <c r="AY19" s="35" t="str">
        <f t="shared" si="18"/>
        <v/>
      </c>
      <c r="AZ19" s="36" t="str">
        <f t="shared" si="19"/>
        <v/>
      </c>
      <c r="BA19" s="37"/>
      <c r="BB19" s="33"/>
      <c r="BC19" s="34"/>
      <c r="BD19" s="35" t="str">
        <f t="shared" si="20"/>
        <v/>
      </c>
      <c r="BE19" s="36" t="str">
        <f t="shared" si="21"/>
        <v/>
      </c>
      <c r="BF19" s="37"/>
      <c r="BG19" s="33"/>
      <c r="BH19" s="34"/>
      <c r="BI19" s="35" t="str">
        <f t="shared" si="22"/>
        <v/>
      </c>
      <c r="BJ19" s="36" t="str">
        <f t="shared" si="23"/>
        <v/>
      </c>
      <c r="BK19" s="37"/>
      <c r="BL19" s="33"/>
      <c r="BM19" s="34"/>
      <c r="BN19" s="35" t="str">
        <f t="shared" si="24"/>
        <v/>
      </c>
      <c r="BO19" s="36" t="str">
        <f t="shared" si="25"/>
        <v/>
      </c>
      <c r="BP19" s="37"/>
      <c r="BQ19" s="33"/>
      <c r="BR19" s="34"/>
      <c r="BS19" s="35" t="str">
        <f t="shared" si="26"/>
        <v/>
      </c>
      <c r="BT19" s="36" t="str">
        <f t="shared" si="27"/>
        <v/>
      </c>
      <c r="BU19" s="37"/>
      <c r="BV19" s="33"/>
      <c r="BW19" s="34"/>
      <c r="BX19" s="35" t="str">
        <f t="shared" si="28"/>
        <v/>
      </c>
      <c r="BY19" s="36" t="str">
        <f t="shared" si="29"/>
        <v/>
      </c>
      <c r="BZ19" s="37"/>
      <c r="CA19" s="33"/>
      <c r="CB19" s="34"/>
      <c r="CC19" s="35" t="str">
        <f t="shared" si="30"/>
        <v/>
      </c>
      <c r="CD19" s="36" t="str">
        <f t="shared" si="31"/>
        <v/>
      </c>
      <c r="CE19" s="37"/>
      <c r="CF19" s="33"/>
      <c r="CG19" s="34"/>
      <c r="CH19" s="35" t="str">
        <f t="shared" si="32"/>
        <v/>
      </c>
      <c r="CI19" s="36" t="str">
        <f t="shared" si="33"/>
        <v/>
      </c>
      <c r="CJ19" s="37"/>
      <c r="CK19" s="33"/>
      <c r="CL19" s="34"/>
      <c r="CM19" s="35" t="str">
        <f t="shared" si="34"/>
        <v/>
      </c>
      <c r="CN19" s="36" t="str">
        <f t="shared" si="35"/>
        <v/>
      </c>
      <c r="CO19" s="37"/>
      <c r="CP19" s="33"/>
      <c r="CQ19" s="34"/>
      <c r="CR19" s="35" t="str">
        <f t="shared" si="36"/>
        <v/>
      </c>
      <c r="CS19" s="36" t="str">
        <f t="shared" si="37"/>
        <v/>
      </c>
      <c r="CT19" s="37"/>
      <c r="CU19" s="33"/>
      <c r="CV19" s="34"/>
      <c r="CW19" s="35" t="str">
        <f t="shared" si="38"/>
        <v/>
      </c>
      <c r="CX19" s="36" t="str">
        <f t="shared" si="39"/>
        <v/>
      </c>
      <c r="CY19" s="37"/>
      <c r="CZ19" s="33"/>
      <c r="DA19" s="34"/>
      <c r="DB19" s="35" t="str">
        <f t="shared" si="40"/>
        <v/>
      </c>
      <c r="DC19" s="36" t="str">
        <f t="shared" si="41"/>
        <v/>
      </c>
      <c r="DD19" s="37"/>
      <c r="DE19" s="33"/>
      <c r="DF19" s="34"/>
      <c r="DG19" s="35" t="str">
        <f t="shared" si="42"/>
        <v/>
      </c>
      <c r="DH19" s="36" t="str">
        <f t="shared" si="43"/>
        <v/>
      </c>
      <c r="DI19" s="37"/>
      <c r="DJ19" s="33"/>
      <c r="DK19" s="34"/>
      <c r="DL19" s="35" t="str">
        <f t="shared" si="44"/>
        <v/>
      </c>
      <c r="DM19" s="36" t="str">
        <f t="shared" si="45"/>
        <v/>
      </c>
      <c r="DN19" s="37"/>
      <c r="DO19" s="33"/>
      <c r="DP19" s="34"/>
      <c r="DQ19" s="35" t="str">
        <f t="shared" si="46"/>
        <v/>
      </c>
      <c r="DR19" s="36" t="str">
        <f t="shared" si="47"/>
        <v/>
      </c>
      <c r="DS19" s="37"/>
      <c r="DT19" s="33"/>
      <c r="DU19" s="34"/>
      <c r="DV19" s="35" t="str">
        <f t="shared" si="48"/>
        <v/>
      </c>
      <c r="DW19" s="36" t="str">
        <f t="shared" si="49"/>
        <v/>
      </c>
      <c r="DX19" s="37"/>
      <c r="DY19" s="33"/>
      <c r="DZ19" s="34"/>
      <c r="EA19" s="35" t="str">
        <f t="shared" si="50"/>
        <v/>
      </c>
      <c r="EB19" s="36" t="str">
        <f t="shared" si="51"/>
        <v/>
      </c>
      <c r="EC19" s="37"/>
      <c r="ED19" s="33"/>
      <c r="EE19" s="34"/>
      <c r="EF19" s="35" t="str">
        <f t="shared" si="52"/>
        <v/>
      </c>
      <c r="EG19" s="36" t="str">
        <f t="shared" si="53"/>
        <v/>
      </c>
      <c r="EH19" s="37"/>
      <c r="EI19" s="33"/>
      <c r="EJ19" s="34"/>
      <c r="EK19" s="35" t="str">
        <f t="shared" si="54"/>
        <v/>
      </c>
      <c r="EL19" s="36" t="str">
        <f t="shared" si="55"/>
        <v/>
      </c>
      <c r="EM19" s="37"/>
      <c r="EN19" s="33"/>
      <c r="EO19" s="34"/>
      <c r="EP19" s="35" t="str">
        <f t="shared" si="56"/>
        <v/>
      </c>
      <c r="EQ19" s="36" t="str">
        <f t="shared" si="57"/>
        <v/>
      </c>
      <c r="ER19" s="37"/>
      <c r="ES19" s="33"/>
      <c r="ET19" s="34"/>
      <c r="EU19" s="35" t="str">
        <f t="shared" si="58"/>
        <v/>
      </c>
      <c r="EV19" s="36" t="str">
        <f t="shared" si="59"/>
        <v/>
      </c>
      <c r="EW19" s="37"/>
    </row>
    <row r="20" spans="1:153" ht="19.5" customHeight="1">
      <c r="A20" s="32">
        <f>IF(DAY(DATE(対象年度,10,17))&lt;&gt;17,"",17)</f>
        <v>17</v>
      </c>
      <c r="B20" s="32" t="str">
        <f>IF(DAY(DATE(対象年度,10,17))&lt;&gt;17,"",CHOOSE(WEEKDAY(DATE(対象年度,10,17),2),"月","火","水","木","金","土","日"))</f>
        <v>土</v>
      </c>
      <c r="C20" s="32" t="str">
        <f>IF(DAY(DATE(対象年度,10,17))&lt;&gt;17,"",IF(ISNUMBER(MATCH(DATE(対象年度,10,17),祝日リスト,0)),"祝",""))</f>
        <v/>
      </c>
      <c r="D20" s="33"/>
      <c r="E20" s="34"/>
      <c r="F20" s="35" t="str">
        <f t="shared" si="0"/>
        <v/>
      </c>
      <c r="G20" s="36" t="str">
        <f t="shared" si="1"/>
        <v/>
      </c>
      <c r="H20" s="37"/>
      <c r="I20" s="33"/>
      <c r="J20" s="34"/>
      <c r="K20" s="35" t="str">
        <f t="shared" si="2"/>
        <v/>
      </c>
      <c r="L20" s="36" t="str">
        <f t="shared" si="3"/>
        <v/>
      </c>
      <c r="M20" s="37"/>
      <c r="N20" s="33"/>
      <c r="O20" s="34"/>
      <c r="P20" s="35" t="str">
        <f t="shared" si="4"/>
        <v/>
      </c>
      <c r="Q20" s="36" t="str">
        <f t="shared" si="5"/>
        <v/>
      </c>
      <c r="R20" s="37"/>
      <c r="S20" s="33"/>
      <c r="T20" s="34"/>
      <c r="U20" s="35" t="str">
        <f t="shared" si="6"/>
        <v/>
      </c>
      <c r="V20" s="36" t="str">
        <f t="shared" si="7"/>
        <v/>
      </c>
      <c r="W20" s="37"/>
      <c r="X20" s="33"/>
      <c r="Y20" s="34"/>
      <c r="Z20" s="35" t="str">
        <f t="shared" si="8"/>
        <v/>
      </c>
      <c r="AA20" s="36" t="str">
        <f t="shared" si="9"/>
        <v/>
      </c>
      <c r="AB20" s="37"/>
      <c r="AC20" s="33"/>
      <c r="AD20" s="34"/>
      <c r="AE20" s="35" t="str">
        <f t="shared" si="10"/>
        <v/>
      </c>
      <c r="AF20" s="36" t="str">
        <f t="shared" si="11"/>
        <v/>
      </c>
      <c r="AG20" s="37"/>
      <c r="AH20" s="33"/>
      <c r="AI20" s="34"/>
      <c r="AJ20" s="35" t="str">
        <f t="shared" si="12"/>
        <v/>
      </c>
      <c r="AK20" s="36" t="str">
        <f t="shared" si="13"/>
        <v/>
      </c>
      <c r="AL20" s="37"/>
      <c r="AM20" s="33"/>
      <c r="AN20" s="34"/>
      <c r="AO20" s="35" t="str">
        <f t="shared" si="14"/>
        <v/>
      </c>
      <c r="AP20" s="36" t="str">
        <f t="shared" si="15"/>
        <v/>
      </c>
      <c r="AQ20" s="37"/>
      <c r="AR20" s="33"/>
      <c r="AS20" s="34"/>
      <c r="AT20" s="35" t="str">
        <f t="shared" si="16"/>
        <v/>
      </c>
      <c r="AU20" s="36" t="str">
        <f t="shared" si="17"/>
        <v/>
      </c>
      <c r="AV20" s="37"/>
      <c r="AW20" s="33"/>
      <c r="AX20" s="34"/>
      <c r="AY20" s="35" t="str">
        <f t="shared" si="18"/>
        <v/>
      </c>
      <c r="AZ20" s="36" t="str">
        <f t="shared" si="19"/>
        <v/>
      </c>
      <c r="BA20" s="37"/>
      <c r="BB20" s="33"/>
      <c r="BC20" s="34"/>
      <c r="BD20" s="35" t="str">
        <f t="shared" si="20"/>
        <v/>
      </c>
      <c r="BE20" s="36" t="str">
        <f t="shared" si="21"/>
        <v/>
      </c>
      <c r="BF20" s="37"/>
      <c r="BG20" s="33"/>
      <c r="BH20" s="34"/>
      <c r="BI20" s="35" t="str">
        <f t="shared" si="22"/>
        <v/>
      </c>
      <c r="BJ20" s="36" t="str">
        <f t="shared" si="23"/>
        <v/>
      </c>
      <c r="BK20" s="37"/>
      <c r="BL20" s="33"/>
      <c r="BM20" s="34"/>
      <c r="BN20" s="35" t="str">
        <f t="shared" si="24"/>
        <v/>
      </c>
      <c r="BO20" s="36" t="str">
        <f t="shared" si="25"/>
        <v/>
      </c>
      <c r="BP20" s="37"/>
      <c r="BQ20" s="33"/>
      <c r="BR20" s="34"/>
      <c r="BS20" s="35" t="str">
        <f t="shared" si="26"/>
        <v/>
      </c>
      <c r="BT20" s="36" t="str">
        <f t="shared" si="27"/>
        <v/>
      </c>
      <c r="BU20" s="37"/>
      <c r="BV20" s="33"/>
      <c r="BW20" s="34"/>
      <c r="BX20" s="35" t="str">
        <f t="shared" si="28"/>
        <v/>
      </c>
      <c r="BY20" s="36" t="str">
        <f t="shared" si="29"/>
        <v/>
      </c>
      <c r="BZ20" s="37"/>
      <c r="CA20" s="33"/>
      <c r="CB20" s="34"/>
      <c r="CC20" s="35" t="str">
        <f t="shared" si="30"/>
        <v/>
      </c>
      <c r="CD20" s="36" t="str">
        <f t="shared" si="31"/>
        <v/>
      </c>
      <c r="CE20" s="37"/>
      <c r="CF20" s="33"/>
      <c r="CG20" s="34"/>
      <c r="CH20" s="35" t="str">
        <f t="shared" si="32"/>
        <v/>
      </c>
      <c r="CI20" s="36" t="str">
        <f t="shared" si="33"/>
        <v/>
      </c>
      <c r="CJ20" s="37"/>
      <c r="CK20" s="33"/>
      <c r="CL20" s="34"/>
      <c r="CM20" s="35" t="str">
        <f t="shared" si="34"/>
        <v/>
      </c>
      <c r="CN20" s="36" t="str">
        <f t="shared" si="35"/>
        <v/>
      </c>
      <c r="CO20" s="37"/>
      <c r="CP20" s="33"/>
      <c r="CQ20" s="34"/>
      <c r="CR20" s="35" t="str">
        <f t="shared" si="36"/>
        <v/>
      </c>
      <c r="CS20" s="36" t="str">
        <f t="shared" si="37"/>
        <v/>
      </c>
      <c r="CT20" s="37"/>
      <c r="CU20" s="33"/>
      <c r="CV20" s="34"/>
      <c r="CW20" s="35" t="str">
        <f t="shared" si="38"/>
        <v/>
      </c>
      <c r="CX20" s="36" t="str">
        <f t="shared" si="39"/>
        <v/>
      </c>
      <c r="CY20" s="37"/>
      <c r="CZ20" s="33"/>
      <c r="DA20" s="34"/>
      <c r="DB20" s="35" t="str">
        <f t="shared" si="40"/>
        <v/>
      </c>
      <c r="DC20" s="36" t="str">
        <f t="shared" si="41"/>
        <v/>
      </c>
      <c r="DD20" s="37"/>
      <c r="DE20" s="33"/>
      <c r="DF20" s="34"/>
      <c r="DG20" s="35" t="str">
        <f t="shared" si="42"/>
        <v/>
      </c>
      <c r="DH20" s="36" t="str">
        <f t="shared" si="43"/>
        <v/>
      </c>
      <c r="DI20" s="37"/>
      <c r="DJ20" s="33"/>
      <c r="DK20" s="34"/>
      <c r="DL20" s="35" t="str">
        <f t="shared" si="44"/>
        <v/>
      </c>
      <c r="DM20" s="36" t="str">
        <f t="shared" si="45"/>
        <v/>
      </c>
      <c r="DN20" s="37"/>
      <c r="DO20" s="33"/>
      <c r="DP20" s="34"/>
      <c r="DQ20" s="35" t="str">
        <f t="shared" si="46"/>
        <v/>
      </c>
      <c r="DR20" s="36" t="str">
        <f t="shared" si="47"/>
        <v/>
      </c>
      <c r="DS20" s="37"/>
      <c r="DT20" s="33"/>
      <c r="DU20" s="34"/>
      <c r="DV20" s="35" t="str">
        <f t="shared" si="48"/>
        <v/>
      </c>
      <c r="DW20" s="36" t="str">
        <f t="shared" si="49"/>
        <v/>
      </c>
      <c r="DX20" s="37"/>
      <c r="DY20" s="33"/>
      <c r="DZ20" s="34"/>
      <c r="EA20" s="35" t="str">
        <f t="shared" si="50"/>
        <v/>
      </c>
      <c r="EB20" s="36" t="str">
        <f t="shared" si="51"/>
        <v/>
      </c>
      <c r="EC20" s="37"/>
      <c r="ED20" s="33"/>
      <c r="EE20" s="34"/>
      <c r="EF20" s="35" t="str">
        <f t="shared" si="52"/>
        <v/>
      </c>
      <c r="EG20" s="36" t="str">
        <f t="shared" si="53"/>
        <v/>
      </c>
      <c r="EH20" s="37"/>
      <c r="EI20" s="33"/>
      <c r="EJ20" s="34"/>
      <c r="EK20" s="35" t="str">
        <f t="shared" si="54"/>
        <v/>
      </c>
      <c r="EL20" s="36" t="str">
        <f t="shared" si="55"/>
        <v/>
      </c>
      <c r="EM20" s="37"/>
      <c r="EN20" s="33"/>
      <c r="EO20" s="34"/>
      <c r="EP20" s="35" t="str">
        <f t="shared" si="56"/>
        <v/>
      </c>
      <c r="EQ20" s="36" t="str">
        <f t="shared" si="57"/>
        <v/>
      </c>
      <c r="ER20" s="37"/>
      <c r="ES20" s="33"/>
      <c r="ET20" s="34"/>
      <c r="EU20" s="35" t="str">
        <f t="shared" si="58"/>
        <v/>
      </c>
      <c r="EV20" s="36" t="str">
        <f t="shared" si="59"/>
        <v/>
      </c>
      <c r="EW20" s="37"/>
    </row>
    <row r="21" spans="1:153" ht="19.5" customHeight="1">
      <c r="A21" s="32">
        <f>IF(DAY(DATE(対象年度,10,18))&lt;&gt;18,"",18)</f>
        <v>18</v>
      </c>
      <c r="B21" s="32" t="str">
        <f>IF(DAY(DATE(対象年度,10,18))&lt;&gt;18,"",CHOOSE(WEEKDAY(DATE(対象年度,10,18),2),"月","火","水","木","金","土","日"))</f>
        <v>日</v>
      </c>
      <c r="C21" s="32" t="str">
        <f>IF(DAY(DATE(対象年度,10,18))&lt;&gt;18,"",IF(ISNUMBER(MATCH(DATE(対象年度,10,18),祝日リスト,0)),"祝",""))</f>
        <v/>
      </c>
      <c r="D21" s="33"/>
      <c r="E21" s="34"/>
      <c r="F21" s="35" t="str">
        <f t="shared" si="0"/>
        <v/>
      </c>
      <c r="G21" s="36" t="str">
        <f t="shared" si="1"/>
        <v/>
      </c>
      <c r="H21" s="37"/>
      <c r="I21" s="33"/>
      <c r="J21" s="34"/>
      <c r="K21" s="35" t="str">
        <f t="shared" si="2"/>
        <v/>
      </c>
      <c r="L21" s="36" t="str">
        <f t="shared" si="3"/>
        <v/>
      </c>
      <c r="M21" s="37"/>
      <c r="N21" s="33"/>
      <c r="O21" s="34"/>
      <c r="P21" s="35" t="str">
        <f t="shared" si="4"/>
        <v/>
      </c>
      <c r="Q21" s="36" t="str">
        <f t="shared" si="5"/>
        <v/>
      </c>
      <c r="R21" s="37"/>
      <c r="S21" s="33"/>
      <c r="T21" s="34"/>
      <c r="U21" s="35" t="str">
        <f t="shared" si="6"/>
        <v/>
      </c>
      <c r="V21" s="36" t="str">
        <f t="shared" si="7"/>
        <v/>
      </c>
      <c r="W21" s="37"/>
      <c r="X21" s="33"/>
      <c r="Y21" s="34"/>
      <c r="Z21" s="35" t="str">
        <f t="shared" si="8"/>
        <v/>
      </c>
      <c r="AA21" s="36" t="str">
        <f t="shared" si="9"/>
        <v/>
      </c>
      <c r="AB21" s="37"/>
      <c r="AC21" s="33"/>
      <c r="AD21" s="34"/>
      <c r="AE21" s="35" t="str">
        <f t="shared" si="10"/>
        <v/>
      </c>
      <c r="AF21" s="36" t="str">
        <f t="shared" si="11"/>
        <v/>
      </c>
      <c r="AG21" s="37"/>
      <c r="AH21" s="33"/>
      <c r="AI21" s="34"/>
      <c r="AJ21" s="35" t="str">
        <f t="shared" si="12"/>
        <v/>
      </c>
      <c r="AK21" s="36" t="str">
        <f t="shared" si="13"/>
        <v/>
      </c>
      <c r="AL21" s="37"/>
      <c r="AM21" s="33"/>
      <c r="AN21" s="34"/>
      <c r="AO21" s="35" t="str">
        <f t="shared" si="14"/>
        <v/>
      </c>
      <c r="AP21" s="36" t="str">
        <f t="shared" si="15"/>
        <v/>
      </c>
      <c r="AQ21" s="37"/>
      <c r="AR21" s="33"/>
      <c r="AS21" s="34"/>
      <c r="AT21" s="35" t="str">
        <f t="shared" si="16"/>
        <v/>
      </c>
      <c r="AU21" s="36" t="str">
        <f t="shared" si="17"/>
        <v/>
      </c>
      <c r="AV21" s="37"/>
      <c r="AW21" s="33"/>
      <c r="AX21" s="34"/>
      <c r="AY21" s="35" t="str">
        <f t="shared" si="18"/>
        <v/>
      </c>
      <c r="AZ21" s="36" t="str">
        <f t="shared" si="19"/>
        <v/>
      </c>
      <c r="BA21" s="37"/>
      <c r="BB21" s="33"/>
      <c r="BC21" s="34"/>
      <c r="BD21" s="35" t="str">
        <f t="shared" si="20"/>
        <v/>
      </c>
      <c r="BE21" s="36" t="str">
        <f t="shared" si="21"/>
        <v/>
      </c>
      <c r="BF21" s="37"/>
      <c r="BG21" s="33"/>
      <c r="BH21" s="34"/>
      <c r="BI21" s="35" t="str">
        <f t="shared" si="22"/>
        <v/>
      </c>
      <c r="BJ21" s="36" t="str">
        <f t="shared" si="23"/>
        <v/>
      </c>
      <c r="BK21" s="37"/>
      <c r="BL21" s="33"/>
      <c r="BM21" s="34"/>
      <c r="BN21" s="35" t="str">
        <f t="shared" si="24"/>
        <v/>
      </c>
      <c r="BO21" s="36" t="str">
        <f t="shared" si="25"/>
        <v/>
      </c>
      <c r="BP21" s="37"/>
      <c r="BQ21" s="33"/>
      <c r="BR21" s="34"/>
      <c r="BS21" s="35" t="str">
        <f t="shared" si="26"/>
        <v/>
      </c>
      <c r="BT21" s="36" t="str">
        <f t="shared" si="27"/>
        <v/>
      </c>
      <c r="BU21" s="37"/>
      <c r="BV21" s="33"/>
      <c r="BW21" s="34"/>
      <c r="BX21" s="35" t="str">
        <f t="shared" si="28"/>
        <v/>
      </c>
      <c r="BY21" s="36" t="str">
        <f t="shared" si="29"/>
        <v/>
      </c>
      <c r="BZ21" s="37"/>
      <c r="CA21" s="33"/>
      <c r="CB21" s="34"/>
      <c r="CC21" s="35" t="str">
        <f t="shared" si="30"/>
        <v/>
      </c>
      <c r="CD21" s="36" t="str">
        <f t="shared" si="31"/>
        <v/>
      </c>
      <c r="CE21" s="37"/>
      <c r="CF21" s="33"/>
      <c r="CG21" s="34"/>
      <c r="CH21" s="35" t="str">
        <f t="shared" si="32"/>
        <v/>
      </c>
      <c r="CI21" s="36" t="str">
        <f t="shared" si="33"/>
        <v/>
      </c>
      <c r="CJ21" s="37"/>
      <c r="CK21" s="33"/>
      <c r="CL21" s="34"/>
      <c r="CM21" s="35" t="str">
        <f t="shared" si="34"/>
        <v/>
      </c>
      <c r="CN21" s="36" t="str">
        <f t="shared" si="35"/>
        <v/>
      </c>
      <c r="CO21" s="37"/>
      <c r="CP21" s="33"/>
      <c r="CQ21" s="34"/>
      <c r="CR21" s="35" t="str">
        <f t="shared" si="36"/>
        <v/>
      </c>
      <c r="CS21" s="36" t="str">
        <f t="shared" si="37"/>
        <v/>
      </c>
      <c r="CT21" s="37"/>
      <c r="CU21" s="33"/>
      <c r="CV21" s="34"/>
      <c r="CW21" s="35" t="str">
        <f t="shared" si="38"/>
        <v/>
      </c>
      <c r="CX21" s="36" t="str">
        <f t="shared" si="39"/>
        <v/>
      </c>
      <c r="CY21" s="37"/>
      <c r="CZ21" s="33"/>
      <c r="DA21" s="34"/>
      <c r="DB21" s="35" t="str">
        <f t="shared" si="40"/>
        <v/>
      </c>
      <c r="DC21" s="36" t="str">
        <f t="shared" si="41"/>
        <v/>
      </c>
      <c r="DD21" s="37"/>
      <c r="DE21" s="33"/>
      <c r="DF21" s="34"/>
      <c r="DG21" s="35" t="str">
        <f t="shared" si="42"/>
        <v/>
      </c>
      <c r="DH21" s="36" t="str">
        <f t="shared" si="43"/>
        <v/>
      </c>
      <c r="DI21" s="37"/>
      <c r="DJ21" s="33"/>
      <c r="DK21" s="34"/>
      <c r="DL21" s="35" t="str">
        <f t="shared" si="44"/>
        <v/>
      </c>
      <c r="DM21" s="36" t="str">
        <f t="shared" si="45"/>
        <v/>
      </c>
      <c r="DN21" s="37"/>
      <c r="DO21" s="33"/>
      <c r="DP21" s="34"/>
      <c r="DQ21" s="35" t="str">
        <f t="shared" si="46"/>
        <v/>
      </c>
      <c r="DR21" s="36" t="str">
        <f t="shared" si="47"/>
        <v/>
      </c>
      <c r="DS21" s="37"/>
      <c r="DT21" s="33"/>
      <c r="DU21" s="34"/>
      <c r="DV21" s="35" t="str">
        <f t="shared" si="48"/>
        <v/>
      </c>
      <c r="DW21" s="36" t="str">
        <f t="shared" si="49"/>
        <v/>
      </c>
      <c r="DX21" s="37"/>
      <c r="DY21" s="33"/>
      <c r="DZ21" s="34"/>
      <c r="EA21" s="35" t="str">
        <f t="shared" si="50"/>
        <v/>
      </c>
      <c r="EB21" s="36" t="str">
        <f t="shared" si="51"/>
        <v/>
      </c>
      <c r="EC21" s="37"/>
      <c r="ED21" s="33"/>
      <c r="EE21" s="34"/>
      <c r="EF21" s="35" t="str">
        <f t="shared" si="52"/>
        <v/>
      </c>
      <c r="EG21" s="36" t="str">
        <f t="shared" si="53"/>
        <v/>
      </c>
      <c r="EH21" s="37"/>
      <c r="EI21" s="33"/>
      <c r="EJ21" s="34"/>
      <c r="EK21" s="35" t="str">
        <f t="shared" si="54"/>
        <v/>
      </c>
      <c r="EL21" s="36" t="str">
        <f t="shared" si="55"/>
        <v/>
      </c>
      <c r="EM21" s="37"/>
      <c r="EN21" s="33"/>
      <c r="EO21" s="34"/>
      <c r="EP21" s="35" t="str">
        <f t="shared" si="56"/>
        <v/>
      </c>
      <c r="EQ21" s="36" t="str">
        <f t="shared" si="57"/>
        <v/>
      </c>
      <c r="ER21" s="37"/>
      <c r="ES21" s="33"/>
      <c r="ET21" s="34"/>
      <c r="EU21" s="35" t="str">
        <f t="shared" si="58"/>
        <v/>
      </c>
      <c r="EV21" s="36" t="str">
        <f t="shared" si="59"/>
        <v/>
      </c>
      <c r="EW21" s="37"/>
    </row>
    <row r="22" spans="1:153" ht="19.5" customHeight="1">
      <c r="A22" s="32">
        <f>IF(DAY(DATE(対象年度,10,19))&lt;&gt;19,"",19)</f>
        <v>19</v>
      </c>
      <c r="B22" s="32" t="str">
        <f>IF(DAY(DATE(対象年度,10,19))&lt;&gt;19,"",CHOOSE(WEEKDAY(DATE(対象年度,10,19),2),"月","火","水","木","金","土","日"))</f>
        <v>月</v>
      </c>
      <c r="C22" s="32" t="str">
        <f>IF(DAY(DATE(対象年度,10,19))&lt;&gt;19,"",IF(ISNUMBER(MATCH(DATE(対象年度,10,19),祝日リスト,0)),"祝",""))</f>
        <v/>
      </c>
      <c r="D22" s="33"/>
      <c r="E22" s="34"/>
      <c r="F22" s="35" t="str">
        <f t="shared" si="0"/>
        <v/>
      </c>
      <c r="G22" s="36" t="str">
        <f t="shared" si="1"/>
        <v/>
      </c>
      <c r="H22" s="37"/>
      <c r="I22" s="33"/>
      <c r="J22" s="34"/>
      <c r="K22" s="35" t="str">
        <f t="shared" si="2"/>
        <v/>
      </c>
      <c r="L22" s="36" t="str">
        <f t="shared" si="3"/>
        <v/>
      </c>
      <c r="M22" s="37"/>
      <c r="N22" s="33"/>
      <c r="O22" s="34"/>
      <c r="P22" s="35" t="str">
        <f t="shared" si="4"/>
        <v/>
      </c>
      <c r="Q22" s="36" t="str">
        <f t="shared" si="5"/>
        <v/>
      </c>
      <c r="R22" s="37"/>
      <c r="S22" s="33"/>
      <c r="T22" s="34"/>
      <c r="U22" s="35" t="str">
        <f t="shared" si="6"/>
        <v/>
      </c>
      <c r="V22" s="36" t="str">
        <f t="shared" si="7"/>
        <v/>
      </c>
      <c r="W22" s="37"/>
      <c r="X22" s="33"/>
      <c r="Y22" s="34"/>
      <c r="Z22" s="35" t="str">
        <f t="shared" si="8"/>
        <v/>
      </c>
      <c r="AA22" s="36" t="str">
        <f t="shared" si="9"/>
        <v/>
      </c>
      <c r="AB22" s="37"/>
      <c r="AC22" s="33"/>
      <c r="AD22" s="34"/>
      <c r="AE22" s="35" t="str">
        <f t="shared" si="10"/>
        <v/>
      </c>
      <c r="AF22" s="36" t="str">
        <f t="shared" si="11"/>
        <v/>
      </c>
      <c r="AG22" s="37"/>
      <c r="AH22" s="33"/>
      <c r="AI22" s="34"/>
      <c r="AJ22" s="35" t="str">
        <f t="shared" si="12"/>
        <v/>
      </c>
      <c r="AK22" s="36" t="str">
        <f t="shared" si="13"/>
        <v/>
      </c>
      <c r="AL22" s="37"/>
      <c r="AM22" s="33"/>
      <c r="AN22" s="34"/>
      <c r="AO22" s="35" t="str">
        <f t="shared" si="14"/>
        <v/>
      </c>
      <c r="AP22" s="36" t="str">
        <f t="shared" si="15"/>
        <v/>
      </c>
      <c r="AQ22" s="37"/>
      <c r="AR22" s="33"/>
      <c r="AS22" s="34"/>
      <c r="AT22" s="35" t="str">
        <f t="shared" si="16"/>
        <v/>
      </c>
      <c r="AU22" s="36" t="str">
        <f t="shared" si="17"/>
        <v/>
      </c>
      <c r="AV22" s="37"/>
      <c r="AW22" s="33"/>
      <c r="AX22" s="34"/>
      <c r="AY22" s="35" t="str">
        <f t="shared" si="18"/>
        <v/>
      </c>
      <c r="AZ22" s="36" t="str">
        <f t="shared" si="19"/>
        <v/>
      </c>
      <c r="BA22" s="37"/>
      <c r="BB22" s="33"/>
      <c r="BC22" s="34"/>
      <c r="BD22" s="35" t="str">
        <f t="shared" si="20"/>
        <v/>
      </c>
      <c r="BE22" s="36" t="str">
        <f t="shared" si="21"/>
        <v/>
      </c>
      <c r="BF22" s="37"/>
      <c r="BG22" s="33"/>
      <c r="BH22" s="34"/>
      <c r="BI22" s="35" t="str">
        <f t="shared" si="22"/>
        <v/>
      </c>
      <c r="BJ22" s="36" t="str">
        <f t="shared" si="23"/>
        <v/>
      </c>
      <c r="BK22" s="37"/>
      <c r="BL22" s="33"/>
      <c r="BM22" s="34"/>
      <c r="BN22" s="35" t="str">
        <f t="shared" si="24"/>
        <v/>
      </c>
      <c r="BO22" s="36" t="str">
        <f t="shared" si="25"/>
        <v/>
      </c>
      <c r="BP22" s="37"/>
      <c r="BQ22" s="33"/>
      <c r="BR22" s="34"/>
      <c r="BS22" s="35" t="str">
        <f t="shared" si="26"/>
        <v/>
      </c>
      <c r="BT22" s="36" t="str">
        <f t="shared" si="27"/>
        <v/>
      </c>
      <c r="BU22" s="37"/>
      <c r="BV22" s="33"/>
      <c r="BW22" s="34"/>
      <c r="BX22" s="35" t="str">
        <f t="shared" si="28"/>
        <v/>
      </c>
      <c r="BY22" s="36" t="str">
        <f t="shared" si="29"/>
        <v/>
      </c>
      <c r="BZ22" s="37"/>
      <c r="CA22" s="33"/>
      <c r="CB22" s="34"/>
      <c r="CC22" s="35" t="str">
        <f t="shared" si="30"/>
        <v/>
      </c>
      <c r="CD22" s="36" t="str">
        <f t="shared" si="31"/>
        <v/>
      </c>
      <c r="CE22" s="37"/>
      <c r="CF22" s="33"/>
      <c r="CG22" s="34"/>
      <c r="CH22" s="35" t="str">
        <f t="shared" si="32"/>
        <v/>
      </c>
      <c r="CI22" s="36" t="str">
        <f t="shared" si="33"/>
        <v/>
      </c>
      <c r="CJ22" s="37"/>
      <c r="CK22" s="33"/>
      <c r="CL22" s="34"/>
      <c r="CM22" s="35" t="str">
        <f t="shared" si="34"/>
        <v/>
      </c>
      <c r="CN22" s="36" t="str">
        <f t="shared" si="35"/>
        <v/>
      </c>
      <c r="CO22" s="37"/>
      <c r="CP22" s="33"/>
      <c r="CQ22" s="34"/>
      <c r="CR22" s="35" t="str">
        <f t="shared" si="36"/>
        <v/>
      </c>
      <c r="CS22" s="36" t="str">
        <f t="shared" si="37"/>
        <v/>
      </c>
      <c r="CT22" s="37"/>
      <c r="CU22" s="33"/>
      <c r="CV22" s="34"/>
      <c r="CW22" s="35" t="str">
        <f t="shared" si="38"/>
        <v/>
      </c>
      <c r="CX22" s="36" t="str">
        <f t="shared" si="39"/>
        <v/>
      </c>
      <c r="CY22" s="37"/>
      <c r="CZ22" s="33"/>
      <c r="DA22" s="34"/>
      <c r="DB22" s="35" t="str">
        <f t="shared" si="40"/>
        <v/>
      </c>
      <c r="DC22" s="36" t="str">
        <f t="shared" si="41"/>
        <v/>
      </c>
      <c r="DD22" s="37"/>
      <c r="DE22" s="33"/>
      <c r="DF22" s="34"/>
      <c r="DG22" s="35" t="str">
        <f t="shared" si="42"/>
        <v/>
      </c>
      <c r="DH22" s="36" t="str">
        <f t="shared" si="43"/>
        <v/>
      </c>
      <c r="DI22" s="37"/>
      <c r="DJ22" s="33"/>
      <c r="DK22" s="34"/>
      <c r="DL22" s="35" t="str">
        <f t="shared" si="44"/>
        <v/>
      </c>
      <c r="DM22" s="36" t="str">
        <f t="shared" si="45"/>
        <v/>
      </c>
      <c r="DN22" s="37"/>
      <c r="DO22" s="33"/>
      <c r="DP22" s="34"/>
      <c r="DQ22" s="35" t="str">
        <f t="shared" si="46"/>
        <v/>
      </c>
      <c r="DR22" s="36" t="str">
        <f t="shared" si="47"/>
        <v/>
      </c>
      <c r="DS22" s="37"/>
      <c r="DT22" s="33"/>
      <c r="DU22" s="34"/>
      <c r="DV22" s="35" t="str">
        <f t="shared" si="48"/>
        <v/>
      </c>
      <c r="DW22" s="36" t="str">
        <f t="shared" si="49"/>
        <v/>
      </c>
      <c r="DX22" s="37"/>
      <c r="DY22" s="33"/>
      <c r="DZ22" s="34"/>
      <c r="EA22" s="35" t="str">
        <f t="shared" si="50"/>
        <v/>
      </c>
      <c r="EB22" s="36" t="str">
        <f t="shared" si="51"/>
        <v/>
      </c>
      <c r="EC22" s="37"/>
      <c r="ED22" s="33"/>
      <c r="EE22" s="34"/>
      <c r="EF22" s="35" t="str">
        <f t="shared" si="52"/>
        <v/>
      </c>
      <c r="EG22" s="36" t="str">
        <f t="shared" si="53"/>
        <v/>
      </c>
      <c r="EH22" s="37"/>
      <c r="EI22" s="33"/>
      <c r="EJ22" s="34"/>
      <c r="EK22" s="35" t="str">
        <f t="shared" si="54"/>
        <v/>
      </c>
      <c r="EL22" s="36" t="str">
        <f t="shared" si="55"/>
        <v/>
      </c>
      <c r="EM22" s="37"/>
      <c r="EN22" s="33"/>
      <c r="EO22" s="34"/>
      <c r="EP22" s="35" t="str">
        <f t="shared" si="56"/>
        <v/>
      </c>
      <c r="EQ22" s="36" t="str">
        <f t="shared" si="57"/>
        <v/>
      </c>
      <c r="ER22" s="37"/>
      <c r="ES22" s="33"/>
      <c r="ET22" s="34"/>
      <c r="EU22" s="35" t="str">
        <f t="shared" si="58"/>
        <v/>
      </c>
      <c r="EV22" s="36" t="str">
        <f t="shared" si="59"/>
        <v/>
      </c>
      <c r="EW22" s="37"/>
    </row>
    <row r="23" spans="1:153" ht="19.5" customHeight="1">
      <c r="A23" s="32">
        <f>IF(DAY(DATE(対象年度,10,20))&lt;&gt;20,"",20)</f>
        <v>20</v>
      </c>
      <c r="B23" s="32" t="str">
        <f>IF(DAY(DATE(対象年度,10,20))&lt;&gt;20,"",CHOOSE(WEEKDAY(DATE(対象年度,10,20),2),"月","火","水","木","金","土","日"))</f>
        <v>火</v>
      </c>
      <c r="C23" s="32" t="str">
        <f>IF(DAY(DATE(対象年度,10,20))&lt;&gt;20,"",IF(ISNUMBER(MATCH(DATE(対象年度,10,20),祝日リスト,0)),"祝",""))</f>
        <v/>
      </c>
      <c r="D23" s="33"/>
      <c r="E23" s="34"/>
      <c r="F23" s="35" t="str">
        <f t="shared" si="0"/>
        <v/>
      </c>
      <c r="G23" s="36" t="str">
        <f t="shared" si="1"/>
        <v/>
      </c>
      <c r="H23" s="37"/>
      <c r="I23" s="33"/>
      <c r="J23" s="34"/>
      <c r="K23" s="35" t="str">
        <f t="shared" si="2"/>
        <v/>
      </c>
      <c r="L23" s="36" t="str">
        <f t="shared" si="3"/>
        <v/>
      </c>
      <c r="M23" s="37"/>
      <c r="N23" s="33"/>
      <c r="O23" s="34"/>
      <c r="P23" s="35" t="str">
        <f t="shared" si="4"/>
        <v/>
      </c>
      <c r="Q23" s="36" t="str">
        <f t="shared" si="5"/>
        <v/>
      </c>
      <c r="R23" s="37"/>
      <c r="S23" s="33"/>
      <c r="T23" s="34"/>
      <c r="U23" s="35" t="str">
        <f t="shared" si="6"/>
        <v/>
      </c>
      <c r="V23" s="36" t="str">
        <f t="shared" si="7"/>
        <v/>
      </c>
      <c r="W23" s="37"/>
      <c r="X23" s="33"/>
      <c r="Y23" s="34"/>
      <c r="Z23" s="35" t="str">
        <f t="shared" si="8"/>
        <v/>
      </c>
      <c r="AA23" s="36" t="str">
        <f t="shared" si="9"/>
        <v/>
      </c>
      <c r="AB23" s="37"/>
      <c r="AC23" s="33"/>
      <c r="AD23" s="34"/>
      <c r="AE23" s="35" t="str">
        <f t="shared" si="10"/>
        <v/>
      </c>
      <c r="AF23" s="36" t="str">
        <f t="shared" si="11"/>
        <v/>
      </c>
      <c r="AG23" s="37"/>
      <c r="AH23" s="33"/>
      <c r="AI23" s="34"/>
      <c r="AJ23" s="35" t="str">
        <f t="shared" si="12"/>
        <v/>
      </c>
      <c r="AK23" s="36" t="str">
        <f t="shared" si="13"/>
        <v/>
      </c>
      <c r="AL23" s="37"/>
      <c r="AM23" s="33"/>
      <c r="AN23" s="34"/>
      <c r="AO23" s="35" t="str">
        <f t="shared" si="14"/>
        <v/>
      </c>
      <c r="AP23" s="36" t="str">
        <f t="shared" si="15"/>
        <v/>
      </c>
      <c r="AQ23" s="37"/>
      <c r="AR23" s="33"/>
      <c r="AS23" s="34"/>
      <c r="AT23" s="35" t="str">
        <f t="shared" si="16"/>
        <v/>
      </c>
      <c r="AU23" s="36" t="str">
        <f t="shared" si="17"/>
        <v/>
      </c>
      <c r="AV23" s="37"/>
      <c r="AW23" s="33"/>
      <c r="AX23" s="34"/>
      <c r="AY23" s="35" t="str">
        <f t="shared" si="18"/>
        <v/>
      </c>
      <c r="AZ23" s="36" t="str">
        <f t="shared" si="19"/>
        <v/>
      </c>
      <c r="BA23" s="37"/>
      <c r="BB23" s="33"/>
      <c r="BC23" s="34"/>
      <c r="BD23" s="35" t="str">
        <f t="shared" si="20"/>
        <v/>
      </c>
      <c r="BE23" s="36" t="str">
        <f t="shared" si="21"/>
        <v/>
      </c>
      <c r="BF23" s="37"/>
      <c r="BG23" s="33"/>
      <c r="BH23" s="34"/>
      <c r="BI23" s="35" t="str">
        <f t="shared" si="22"/>
        <v/>
      </c>
      <c r="BJ23" s="36" t="str">
        <f t="shared" si="23"/>
        <v/>
      </c>
      <c r="BK23" s="37"/>
      <c r="BL23" s="33"/>
      <c r="BM23" s="34"/>
      <c r="BN23" s="35" t="str">
        <f t="shared" si="24"/>
        <v/>
      </c>
      <c r="BO23" s="36" t="str">
        <f t="shared" si="25"/>
        <v/>
      </c>
      <c r="BP23" s="37"/>
      <c r="BQ23" s="33"/>
      <c r="BR23" s="34"/>
      <c r="BS23" s="35" t="str">
        <f t="shared" si="26"/>
        <v/>
      </c>
      <c r="BT23" s="36" t="str">
        <f t="shared" si="27"/>
        <v/>
      </c>
      <c r="BU23" s="37"/>
      <c r="BV23" s="33"/>
      <c r="BW23" s="34"/>
      <c r="BX23" s="35" t="str">
        <f t="shared" si="28"/>
        <v/>
      </c>
      <c r="BY23" s="36" t="str">
        <f t="shared" si="29"/>
        <v/>
      </c>
      <c r="BZ23" s="37"/>
      <c r="CA23" s="33"/>
      <c r="CB23" s="34"/>
      <c r="CC23" s="35" t="str">
        <f t="shared" si="30"/>
        <v/>
      </c>
      <c r="CD23" s="36" t="str">
        <f t="shared" si="31"/>
        <v/>
      </c>
      <c r="CE23" s="37"/>
      <c r="CF23" s="33"/>
      <c r="CG23" s="34"/>
      <c r="CH23" s="35" t="str">
        <f t="shared" si="32"/>
        <v/>
      </c>
      <c r="CI23" s="36" t="str">
        <f t="shared" si="33"/>
        <v/>
      </c>
      <c r="CJ23" s="37"/>
      <c r="CK23" s="33"/>
      <c r="CL23" s="34"/>
      <c r="CM23" s="35" t="str">
        <f t="shared" si="34"/>
        <v/>
      </c>
      <c r="CN23" s="36" t="str">
        <f t="shared" si="35"/>
        <v/>
      </c>
      <c r="CO23" s="37"/>
      <c r="CP23" s="33"/>
      <c r="CQ23" s="34"/>
      <c r="CR23" s="35" t="str">
        <f t="shared" si="36"/>
        <v/>
      </c>
      <c r="CS23" s="36" t="str">
        <f t="shared" si="37"/>
        <v/>
      </c>
      <c r="CT23" s="37"/>
      <c r="CU23" s="33"/>
      <c r="CV23" s="34"/>
      <c r="CW23" s="35" t="str">
        <f t="shared" si="38"/>
        <v/>
      </c>
      <c r="CX23" s="36" t="str">
        <f t="shared" si="39"/>
        <v/>
      </c>
      <c r="CY23" s="37"/>
      <c r="CZ23" s="33"/>
      <c r="DA23" s="34"/>
      <c r="DB23" s="35" t="str">
        <f t="shared" si="40"/>
        <v/>
      </c>
      <c r="DC23" s="36" t="str">
        <f t="shared" si="41"/>
        <v/>
      </c>
      <c r="DD23" s="37"/>
      <c r="DE23" s="33"/>
      <c r="DF23" s="34"/>
      <c r="DG23" s="35" t="str">
        <f t="shared" si="42"/>
        <v/>
      </c>
      <c r="DH23" s="36" t="str">
        <f t="shared" si="43"/>
        <v/>
      </c>
      <c r="DI23" s="37"/>
      <c r="DJ23" s="33"/>
      <c r="DK23" s="34"/>
      <c r="DL23" s="35" t="str">
        <f t="shared" si="44"/>
        <v/>
      </c>
      <c r="DM23" s="36" t="str">
        <f t="shared" si="45"/>
        <v/>
      </c>
      <c r="DN23" s="37"/>
      <c r="DO23" s="33"/>
      <c r="DP23" s="34"/>
      <c r="DQ23" s="35" t="str">
        <f t="shared" si="46"/>
        <v/>
      </c>
      <c r="DR23" s="36" t="str">
        <f t="shared" si="47"/>
        <v/>
      </c>
      <c r="DS23" s="37"/>
      <c r="DT23" s="33"/>
      <c r="DU23" s="34"/>
      <c r="DV23" s="35" t="str">
        <f t="shared" si="48"/>
        <v/>
      </c>
      <c r="DW23" s="36" t="str">
        <f t="shared" si="49"/>
        <v/>
      </c>
      <c r="DX23" s="37"/>
      <c r="DY23" s="33"/>
      <c r="DZ23" s="34"/>
      <c r="EA23" s="35" t="str">
        <f t="shared" si="50"/>
        <v/>
      </c>
      <c r="EB23" s="36" t="str">
        <f t="shared" si="51"/>
        <v/>
      </c>
      <c r="EC23" s="37"/>
      <c r="ED23" s="33"/>
      <c r="EE23" s="34"/>
      <c r="EF23" s="35" t="str">
        <f t="shared" si="52"/>
        <v/>
      </c>
      <c r="EG23" s="36" t="str">
        <f t="shared" si="53"/>
        <v/>
      </c>
      <c r="EH23" s="37"/>
      <c r="EI23" s="33"/>
      <c r="EJ23" s="34"/>
      <c r="EK23" s="35" t="str">
        <f t="shared" si="54"/>
        <v/>
      </c>
      <c r="EL23" s="36" t="str">
        <f t="shared" si="55"/>
        <v/>
      </c>
      <c r="EM23" s="37"/>
      <c r="EN23" s="33"/>
      <c r="EO23" s="34"/>
      <c r="EP23" s="35" t="str">
        <f t="shared" si="56"/>
        <v/>
      </c>
      <c r="EQ23" s="36" t="str">
        <f t="shared" si="57"/>
        <v/>
      </c>
      <c r="ER23" s="37"/>
      <c r="ES23" s="33"/>
      <c r="ET23" s="34"/>
      <c r="EU23" s="35" t="str">
        <f t="shared" si="58"/>
        <v/>
      </c>
      <c r="EV23" s="36" t="str">
        <f t="shared" si="59"/>
        <v/>
      </c>
      <c r="EW23" s="37"/>
    </row>
    <row r="24" spans="1:153" ht="19.5" customHeight="1">
      <c r="A24" s="32">
        <f>IF(DAY(DATE(対象年度,10,21))&lt;&gt;21,"",21)</f>
        <v>21</v>
      </c>
      <c r="B24" s="32" t="str">
        <f>IF(DAY(DATE(対象年度,10,21))&lt;&gt;21,"",CHOOSE(WEEKDAY(DATE(対象年度,10,21),2),"月","火","水","木","金","土","日"))</f>
        <v>水</v>
      </c>
      <c r="C24" s="32" t="str">
        <f>IF(DAY(DATE(対象年度,10,21))&lt;&gt;21,"",IF(ISNUMBER(MATCH(DATE(対象年度,10,21),祝日リスト,0)),"祝",""))</f>
        <v/>
      </c>
      <c r="D24" s="33"/>
      <c r="E24" s="34"/>
      <c r="F24" s="35" t="str">
        <f t="shared" si="0"/>
        <v/>
      </c>
      <c r="G24" s="36" t="str">
        <f t="shared" si="1"/>
        <v/>
      </c>
      <c r="H24" s="37"/>
      <c r="I24" s="33"/>
      <c r="J24" s="34"/>
      <c r="K24" s="35" t="str">
        <f t="shared" si="2"/>
        <v/>
      </c>
      <c r="L24" s="36" t="str">
        <f t="shared" si="3"/>
        <v/>
      </c>
      <c r="M24" s="37"/>
      <c r="N24" s="33"/>
      <c r="O24" s="34"/>
      <c r="P24" s="35" t="str">
        <f t="shared" si="4"/>
        <v/>
      </c>
      <c r="Q24" s="36" t="str">
        <f t="shared" si="5"/>
        <v/>
      </c>
      <c r="R24" s="37"/>
      <c r="S24" s="33"/>
      <c r="T24" s="34"/>
      <c r="U24" s="35" t="str">
        <f t="shared" si="6"/>
        <v/>
      </c>
      <c r="V24" s="36" t="str">
        <f t="shared" si="7"/>
        <v/>
      </c>
      <c r="W24" s="37"/>
      <c r="X24" s="33"/>
      <c r="Y24" s="34"/>
      <c r="Z24" s="35" t="str">
        <f t="shared" si="8"/>
        <v/>
      </c>
      <c r="AA24" s="36" t="str">
        <f t="shared" si="9"/>
        <v/>
      </c>
      <c r="AB24" s="37"/>
      <c r="AC24" s="33"/>
      <c r="AD24" s="34"/>
      <c r="AE24" s="35" t="str">
        <f t="shared" si="10"/>
        <v/>
      </c>
      <c r="AF24" s="36" t="str">
        <f t="shared" si="11"/>
        <v/>
      </c>
      <c r="AG24" s="37"/>
      <c r="AH24" s="33"/>
      <c r="AI24" s="34"/>
      <c r="AJ24" s="35" t="str">
        <f t="shared" si="12"/>
        <v/>
      </c>
      <c r="AK24" s="36" t="str">
        <f t="shared" si="13"/>
        <v/>
      </c>
      <c r="AL24" s="37"/>
      <c r="AM24" s="33"/>
      <c r="AN24" s="34"/>
      <c r="AO24" s="35" t="str">
        <f t="shared" si="14"/>
        <v/>
      </c>
      <c r="AP24" s="36" t="str">
        <f t="shared" si="15"/>
        <v/>
      </c>
      <c r="AQ24" s="37"/>
      <c r="AR24" s="33"/>
      <c r="AS24" s="34"/>
      <c r="AT24" s="35" t="str">
        <f t="shared" si="16"/>
        <v/>
      </c>
      <c r="AU24" s="36" t="str">
        <f t="shared" si="17"/>
        <v/>
      </c>
      <c r="AV24" s="37"/>
      <c r="AW24" s="33"/>
      <c r="AX24" s="34"/>
      <c r="AY24" s="35" t="str">
        <f t="shared" si="18"/>
        <v/>
      </c>
      <c r="AZ24" s="36" t="str">
        <f t="shared" si="19"/>
        <v/>
      </c>
      <c r="BA24" s="37"/>
      <c r="BB24" s="33"/>
      <c r="BC24" s="34"/>
      <c r="BD24" s="35" t="str">
        <f t="shared" si="20"/>
        <v/>
      </c>
      <c r="BE24" s="36" t="str">
        <f t="shared" si="21"/>
        <v/>
      </c>
      <c r="BF24" s="37"/>
      <c r="BG24" s="33"/>
      <c r="BH24" s="34"/>
      <c r="BI24" s="35" t="str">
        <f t="shared" si="22"/>
        <v/>
      </c>
      <c r="BJ24" s="36" t="str">
        <f t="shared" si="23"/>
        <v/>
      </c>
      <c r="BK24" s="37"/>
      <c r="BL24" s="33"/>
      <c r="BM24" s="34"/>
      <c r="BN24" s="35" t="str">
        <f t="shared" si="24"/>
        <v/>
      </c>
      <c r="BO24" s="36" t="str">
        <f t="shared" si="25"/>
        <v/>
      </c>
      <c r="BP24" s="37"/>
      <c r="BQ24" s="33"/>
      <c r="BR24" s="34"/>
      <c r="BS24" s="35" t="str">
        <f t="shared" si="26"/>
        <v/>
      </c>
      <c r="BT24" s="36" t="str">
        <f t="shared" si="27"/>
        <v/>
      </c>
      <c r="BU24" s="37"/>
      <c r="BV24" s="33"/>
      <c r="BW24" s="34"/>
      <c r="BX24" s="35" t="str">
        <f t="shared" si="28"/>
        <v/>
      </c>
      <c r="BY24" s="36" t="str">
        <f t="shared" si="29"/>
        <v/>
      </c>
      <c r="BZ24" s="37"/>
      <c r="CA24" s="33"/>
      <c r="CB24" s="34"/>
      <c r="CC24" s="35" t="str">
        <f t="shared" si="30"/>
        <v/>
      </c>
      <c r="CD24" s="36" t="str">
        <f t="shared" si="31"/>
        <v/>
      </c>
      <c r="CE24" s="37"/>
      <c r="CF24" s="33"/>
      <c r="CG24" s="34"/>
      <c r="CH24" s="35" t="str">
        <f t="shared" si="32"/>
        <v/>
      </c>
      <c r="CI24" s="36" t="str">
        <f t="shared" si="33"/>
        <v/>
      </c>
      <c r="CJ24" s="37"/>
      <c r="CK24" s="33"/>
      <c r="CL24" s="34"/>
      <c r="CM24" s="35" t="str">
        <f t="shared" si="34"/>
        <v/>
      </c>
      <c r="CN24" s="36" t="str">
        <f t="shared" si="35"/>
        <v/>
      </c>
      <c r="CO24" s="37"/>
      <c r="CP24" s="33"/>
      <c r="CQ24" s="34"/>
      <c r="CR24" s="35" t="str">
        <f t="shared" si="36"/>
        <v/>
      </c>
      <c r="CS24" s="36" t="str">
        <f t="shared" si="37"/>
        <v/>
      </c>
      <c r="CT24" s="37"/>
      <c r="CU24" s="33"/>
      <c r="CV24" s="34"/>
      <c r="CW24" s="35" t="str">
        <f t="shared" si="38"/>
        <v/>
      </c>
      <c r="CX24" s="36" t="str">
        <f t="shared" si="39"/>
        <v/>
      </c>
      <c r="CY24" s="37"/>
      <c r="CZ24" s="33"/>
      <c r="DA24" s="34"/>
      <c r="DB24" s="35" t="str">
        <f t="shared" si="40"/>
        <v/>
      </c>
      <c r="DC24" s="36" t="str">
        <f t="shared" si="41"/>
        <v/>
      </c>
      <c r="DD24" s="37"/>
      <c r="DE24" s="33"/>
      <c r="DF24" s="34"/>
      <c r="DG24" s="35" t="str">
        <f t="shared" si="42"/>
        <v/>
      </c>
      <c r="DH24" s="36" t="str">
        <f t="shared" si="43"/>
        <v/>
      </c>
      <c r="DI24" s="37"/>
      <c r="DJ24" s="33"/>
      <c r="DK24" s="34"/>
      <c r="DL24" s="35" t="str">
        <f t="shared" si="44"/>
        <v/>
      </c>
      <c r="DM24" s="36" t="str">
        <f t="shared" si="45"/>
        <v/>
      </c>
      <c r="DN24" s="37"/>
      <c r="DO24" s="33"/>
      <c r="DP24" s="34"/>
      <c r="DQ24" s="35" t="str">
        <f t="shared" si="46"/>
        <v/>
      </c>
      <c r="DR24" s="36" t="str">
        <f t="shared" si="47"/>
        <v/>
      </c>
      <c r="DS24" s="37"/>
      <c r="DT24" s="33"/>
      <c r="DU24" s="34"/>
      <c r="DV24" s="35" t="str">
        <f t="shared" si="48"/>
        <v/>
      </c>
      <c r="DW24" s="36" t="str">
        <f t="shared" si="49"/>
        <v/>
      </c>
      <c r="DX24" s="37"/>
      <c r="DY24" s="33"/>
      <c r="DZ24" s="34"/>
      <c r="EA24" s="35" t="str">
        <f t="shared" si="50"/>
        <v/>
      </c>
      <c r="EB24" s="36" t="str">
        <f t="shared" si="51"/>
        <v/>
      </c>
      <c r="EC24" s="37"/>
      <c r="ED24" s="33"/>
      <c r="EE24" s="34"/>
      <c r="EF24" s="35" t="str">
        <f t="shared" si="52"/>
        <v/>
      </c>
      <c r="EG24" s="36" t="str">
        <f t="shared" si="53"/>
        <v/>
      </c>
      <c r="EH24" s="37"/>
      <c r="EI24" s="33"/>
      <c r="EJ24" s="34"/>
      <c r="EK24" s="35" t="str">
        <f t="shared" si="54"/>
        <v/>
      </c>
      <c r="EL24" s="36" t="str">
        <f t="shared" si="55"/>
        <v/>
      </c>
      <c r="EM24" s="37"/>
      <c r="EN24" s="33"/>
      <c r="EO24" s="34"/>
      <c r="EP24" s="35" t="str">
        <f t="shared" si="56"/>
        <v/>
      </c>
      <c r="EQ24" s="36" t="str">
        <f t="shared" si="57"/>
        <v/>
      </c>
      <c r="ER24" s="37"/>
      <c r="ES24" s="33"/>
      <c r="ET24" s="34"/>
      <c r="EU24" s="35" t="str">
        <f t="shared" si="58"/>
        <v/>
      </c>
      <c r="EV24" s="36" t="str">
        <f t="shared" si="59"/>
        <v/>
      </c>
      <c r="EW24" s="37"/>
    </row>
    <row r="25" spans="1:153" ht="19.5" customHeight="1">
      <c r="A25" s="32">
        <f>IF(DAY(DATE(対象年度,10,22))&lt;&gt;22,"",22)</f>
        <v>22</v>
      </c>
      <c r="B25" s="32" t="str">
        <f>IF(DAY(DATE(対象年度,10,22))&lt;&gt;22,"",CHOOSE(WEEKDAY(DATE(対象年度,10,22),2),"月","火","水","木","金","土","日"))</f>
        <v>木</v>
      </c>
      <c r="C25" s="32" t="str">
        <f>IF(DAY(DATE(対象年度,10,22))&lt;&gt;22,"",IF(ISNUMBER(MATCH(DATE(対象年度,10,22),祝日リスト,0)),"祝",""))</f>
        <v/>
      </c>
      <c r="D25" s="33"/>
      <c r="E25" s="34"/>
      <c r="F25" s="35" t="str">
        <f t="shared" si="0"/>
        <v/>
      </c>
      <c r="G25" s="36" t="str">
        <f t="shared" si="1"/>
        <v/>
      </c>
      <c r="H25" s="37"/>
      <c r="I25" s="33"/>
      <c r="J25" s="34"/>
      <c r="K25" s="35" t="str">
        <f t="shared" si="2"/>
        <v/>
      </c>
      <c r="L25" s="36" t="str">
        <f t="shared" si="3"/>
        <v/>
      </c>
      <c r="M25" s="37"/>
      <c r="N25" s="33"/>
      <c r="O25" s="34"/>
      <c r="P25" s="35" t="str">
        <f t="shared" si="4"/>
        <v/>
      </c>
      <c r="Q25" s="36" t="str">
        <f t="shared" si="5"/>
        <v/>
      </c>
      <c r="R25" s="37"/>
      <c r="S25" s="33"/>
      <c r="T25" s="34"/>
      <c r="U25" s="35" t="str">
        <f t="shared" si="6"/>
        <v/>
      </c>
      <c r="V25" s="36" t="str">
        <f t="shared" si="7"/>
        <v/>
      </c>
      <c r="W25" s="37"/>
      <c r="X25" s="33"/>
      <c r="Y25" s="34"/>
      <c r="Z25" s="35" t="str">
        <f t="shared" si="8"/>
        <v/>
      </c>
      <c r="AA25" s="36" t="str">
        <f t="shared" si="9"/>
        <v/>
      </c>
      <c r="AB25" s="37"/>
      <c r="AC25" s="33"/>
      <c r="AD25" s="34"/>
      <c r="AE25" s="35" t="str">
        <f t="shared" si="10"/>
        <v/>
      </c>
      <c r="AF25" s="36" t="str">
        <f t="shared" si="11"/>
        <v/>
      </c>
      <c r="AG25" s="37"/>
      <c r="AH25" s="33"/>
      <c r="AI25" s="34"/>
      <c r="AJ25" s="35" t="str">
        <f t="shared" si="12"/>
        <v/>
      </c>
      <c r="AK25" s="36" t="str">
        <f t="shared" si="13"/>
        <v/>
      </c>
      <c r="AL25" s="37"/>
      <c r="AM25" s="33"/>
      <c r="AN25" s="34"/>
      <c r="AO25" s="35" t="str">
        <f t="shared" si="14"/>
        <v/>
      </c>
      <c r="AP25" s="36" t="str">
        <f t="shared" si="15"/>
        <v/>
      </c>
      <c r="AQ25" s="37"/>
      <c r="AR25" s="33"/>
      <c r="AS25" s="34"/>
      <c r="AT25" s="35" t="str">
        <f t="shared" si="16"/>
        <v/>
      </c>
      <c r="AU25" s="36" t="str">
        <f t="shared" si="17"/>
        <v/>
      </c>
      <c r="AV25" s="37"/>
      <c r="AW25" s="33"/>
      <c r="AX25" s="34"/>
      <c r="AY25" s="35" t="str">
        <f t="shared" si="18"/>
        <v/>
      </c>
      <c r="AZ25" s="36" t="str">
        <f t="shared" si="19"/>
        <v/>
      </c>
      <c r="BA25" s="37"/>
      <c r="BB25" s="33"/>
      <c r="BC25" s="34"/>
      <c r="BD25" s="35" t="str">
        <f t="shared" si="20"/>
        <v/>
      </c>
      <c r="BE25" s="36" t="str">
        <f t="shared" si="21"/>
        <v/>
      </c>
      <c r="BF25" s="37"/>
      <c r="BG25" s="33"/>
      <c r="BH25" s="34"/>
      <c r="BI25" s="35" t="str">
        <f t="shared" si="22"/>
        <v/>
      </c>
      <c r="BJ25" s="36" t="str">
        <f t="shared" si="23"/>
        <v/>
      </c>
      <c r="BK25" s="37"/>
      <c r="BL25" s="33"/>
      <c r="BM25" s="34"/>
      <c r="BN25" s="35" t="str">
        <f t="shared" si="24"/>
        <v/>
      </c>
      <c r="BO25" s="36" t="str">
        <f t="shared" si="25"/>
        <v/>
      </c>
      <c r="BP25" s="37"/>
      <c r="BQ25" s="33"/>
      <c r="BR25" s="34"/>
      <c r="BS25" s="35" t="str">
        <f t="shared" si="26"/>
        <v/>
      </c>
      <c r="BT25" s="36" t="str">
        <f t="shared" si="27"/>
        <v/>
      </c>
      <c r="BU25" s="37"/>
      <c r="BV25" s="33"/>
      <c r="BW25" s="34"/>
      <c r="BX25" s="35" t="str">
        <f t="shared" si="28"/>
        <v/>
      </c>
      <c r="BY25" s="36" t="str">
        <f t="shared" si="29"/>
        <v/>
      </c>
      <c r="BZ25" s="37"/>
      <c r="CA25" s="33"/>
      <c r="CB25" s="34"/>
      <c r="CC25" s="35" t="str">
        <f t="shared" si="30"/>
        <v/>
      </c>
      <c r="CD25" s="36" t="str">
        <f t="shared" si="31"/>
        <v/>
      </c>
      <c r="CE25" s="37"/>
      <c r="CF25" s="33"/>
      <c r="CG25" s="34"/>
      <c r="CH25" s="35" t="str">
        <f t="shared" si="32"/>
        <v/>
      </c>
      <c r="CI25" s="36" t="str">
        <f t="shared" si="33"/>
        <v/>
      </c>
      <c r="CJ25" s="37"/>
      <c r="CK25" s="33"/>
      <c r="CL25" s="34"/>
      <c r="CM25" s="35" t="str">
        <f t="shared" si="34"/>
        <v/>
      </c>
      <c r="CN25" s="36" t="str">
        <f t="shared" si="35"/>
        <v/>
      </c>
      <c r="CO25" s="37"/>
      <c r="CP25" s="33"/>
      <c r="CQ25" s="34"/>
      <c r="CR25" s="35" t="str">
        <f t="shared" si="36"/>
        <v/>
      </c>
      <c r="CS25" s="36" t="str">
        <f t="shared" si="37"/>
        <v/>
      </c>
      <c r="CT25" s="37"/>
      <c r="CU25" s="33"/>
      <c r="CV25" s="34"/>
      <c r="CW25" s="35" t="str">
        <f t="shared" si="38"/>
        <v/>
      </c>
      <c r="CX25" s="36" t="str">
        <f t="shared" si="39"/>
        <v/>
      </c>
      <c r="CY25" s="37"/>
      <c r="CZ25" s="33"/>
      <c r="DA25" s="34"/>
      <c r="DB25" s="35" t="str">
        <f t="shared" si="40"/>
        <v/>
      </c>
      <c r="DC25" s="36" t="str">
        <f t="shared" si="41"/>
        <v/>
      </c>
      <c r="DD25" s="37"/>
      <c r="DE25" s="33"/>
      <c r="DF25" s="34"/>
      <c r="DG25" s="35" t="str">
        <f t="shared" si="42"/>
        <v/>
      </c>
      <c r="DH25" s="36" t="str">
        <f t="shared" si="43"/>
        <v/>
      </c>
      <c r="DI25" s="37"/>
      <c r="DJ25" s="33"/>
      <c r="DK25" s="34"/>
      <c r="DL25" s="35" t="str">
        <f t="shared" si="44"/>
        <v/>
      </c>
      <c r="DM25" s="36" t="str">
        <f t="shared" si="45"/>
        <v/>
      </c>
      <c r="DN25" s="37"/>
      <c r="DO25" s="33"/>
      <c r="DP25" s="34"/>
      <c r="DQ25" s="35" t="str">
        <f t="shared" si="46"/>
        <v/>
      </c>
      <c r="DR25" s="36" t="str">
        <f t="shared" si="47"/>
        <v/>
      </c>
      <c r="DS25" s="37"/>
      <c r="DT25" s="33"/>
      <c r="DU25" s="34"/>
      <c r="DV25" s="35" t="str">
        <f t="shared" si="48"/>
        <v/>
      </c>
      <c r="DW25" s="36" t="str">
        <f t="shared" si="49"/>
        <v/>
      </c>
      <c r="DX25" s="37"/>
      <c r="DY25" s="33"/>
      <c r="DZ25" s="34"/>
      <c r="EA25" s="35" t="str">
        <f t="shared" si="50"/>
        <v/>
      </c>
      <c r="EB25" s="36" t="str">
        <f t="shared" si="51"/>
        <v/>
      </c>
      <c r="EC25" s="37"/>
      <c r="ED25" s="33"/>
      <c r="EE25" s="34"/>
      <c r="EF25" s="35" t="str">
        <f t="shared" si="52"/>
        <v/>
      </c>
      <c r="EG25" s="36" t="str">
        <f t="shared" si="53"/>
        <v/>
      </c>
      <c r="EH25" s="37"/>
      <c r="EI25" s="33"/>
      <c r="EJ25" s="34"/>
      <c r="EK25" s="35" t="str">
        <f t="shared" si="54"/>
        <v/>
      </c>
      <c r="EL25" s="36" t="str">
        <f t="shared" si="55"/>
        <v/>
      </c>
      <c r="EM25" s="37"/>
      <c r="EN25" s="33"/>
      <c r="EO25" s="34"/>
      <c r="EP25" s="35" t="str">
        <f t="shared" si="56"/>
        <v/>
      </c>
      <c r="EQ25" s="36" t="str">
        <f t="shared" si="57"/>
        <v/>
      </c>
      <c r="ER25" s="37"/>
      <c r="ES25" s="33"/>
      <c r="ET25" s="34"/>
      <c r="EU25" s="35" t="str">
        <f t="shared" si="58"/>
        <v/>
      </c>
      <c r="EV25" s="36" t="str">
        <f t="shared" si="59"/>
        <v/>
      </c>
      <c r="EW25" s="37"/>
    </row>
    <row r="26" spans="1:153" ht="19.5" customHeight="1">
      <c r="A26" s="32">
        <f>IF(DAY(DATE(対象年度,10,23))&lt;&gt;23,"",23)</f>
        <v>23</v>
      </c>
      <c r="B26" s="32" t="str">
        <f>IF(DAY(DATE(対象年度,10,23))&lt;&gt;23,"",CHOOSE(WEEKDAY(DATE(対象年度,10,23),2),"月","火","水","木","金","土","日"))</f>
        <v>金</v>
      </c>
      <c r="C26" s="32" t="str">
        <f>IF(DAY(DATE(対象年度,10,23))&lt;&gt;23,"",IF(ISNUMBER(MATCH(DATE(対象年度,10,23),祝日リスト,0)),"祝",""))</f>
        <v/>
      </c>
      <c r="D26" s="33"/>
      <c r="E26" s="34"/>
      <c r="F26" s="35" t="str">
        <f t="shared" si="0"/>
        <v/>
      </c>
      <c r="G26" s="36" t="str">
        <f t="shared" si="1"/>
        <v/>
      </c>
      <c r="H26" s="37"/>
      <c r="I26" s="33"/>
      <c r="J26" s="34"/>
      <c r="K26" s="35" t="str">
        <f t="shared" si="2"/>
        <v/>
      </c>
      <c r="L26" s="36" t="str">
        <f t="shared" si="3"/>
        <v/>
      </c>
      <c r="M26" s="37"/>
      <c r="N26" s="33"/>
      <c r="O26" s="34"/>
      <c r="P26" s="35" t="str">
        <f t="shared" si="4"/>
        <v/>
      </c>
      <c r="Q26" s="36" t="str">
        <f t="shared" si="5"/>
        <v/>
      </c>
      <c r="R26" s="37"/>
      <c r="S26" s="33"/>
      <c r="T26" s="34"/>
      <c r="U26" s="35" t="str">
        <f t="shared" si="6"/>
        <v/>
      </c>
      <c r="V26" s="36" t="str">
        <f t="shared" si="7"/>
        <v/>
      </c>
      <c r="W26" s="37"/>
      <c r="X26" s="33"/>
      <c r="Y26" s="34"/>
      <c r="Z26" s="35" t="str">
        <f t="shared" si="8"/>
        <v/>
      </c>
      <c r="AA26" s="36" t="str">
        <f t="shared" si="9"/>
        <v/>
      </c>
      <c r="AB26" s="37"/>
      <c r="AC26" s="33"/>
      <c r="AD26" s="34"/>
      <c r="AE26" s="35" t="str">
        <f t="shared" si="10"/>
        <v/>
      </c>
      <c r="AF26" s="36" t="str">
        <f t="shared" si="11"/>
        <v/>
      </c>
      <c r="AG26" s="37"/>
      <c r="AH26" s="33"/>
      <c r="AI26" s="34"/>
      <c r="AJ26" s="35" t="str">
        <f t="shared" si="12"/>
        <v/>
      </c>
      <c r="AK26" s="36" t="str">
        <f t="shared" si="13"/>
        <v/>
      </c>
      <c r="AL26" s="37"/>
      <c r="AM26" s="33"/>
      <c r="AN26" s="34"/>
      <c r="AO26" s="35" t="str">
        <f t="shared" si="14"/>
        <v/>
      </c>
      <c r="AP26" s="36" t="str">
        <f t="shared" si="15"/>
        <v/>
      </c>
      <c r="AQ26" s="37"/>
      <c r="AR26" s="33"/>
      <c r="AS26" s="34"/>
      <c r="AT26" s="35" t="str">
        <f t="shared" si="16"/>
        <v/>
      </c>
      <c r="AU26" s="36" t="str">
        <f t="shared" si="17"/>
        <v/>
      </c>
      <c r="AV26" s="37"/>
      <c r="AW26" s="33"/>
      <c r="AX26" s="34"/>
      <c r="AY26" s="35" t="str">
        <f t="shared" si="18"/>
        <v/>
      </c>
      <c r="AZ26" s="36" t="str">
        <f t="shared" si="19"/>
        <v/>
      </c>
      <c r="BA26" s="37"/>
      <c r="BB26" s="33"/>
      <c r="BC26" s="34"/>
      <c r="BD26" s="35" t="str">
        <f t="shared" si="20"/>
        <v/>
      </c>
      <c r="BE26" s="36" t="str">
        <f t="shared" si="21"/>
        <v/>
      </c>
      <c r="BF26" s="37"/>
      <c r="BG26" s="33"/>
      <c r="BH26" s="34"/>
      <c r="BI26" s="35" t="str">
        <f t="shared" si="22"/>
        <v/>
      </c>
      <c r="BJ26" s="36" t="str">
        <f t="shared" si="23"/>
        <v/>
      </c>
      <c r="BK26" s="37"/>
      <c r="BL26" s="33"/>
      <c r="BM26" s="34"/>
      <c r="BN26" s="35" t="str">
        <f t="shared" si="24"/>
        <v/>
      </c>
      <c r="BO26" s="36" t="str">
        <f t="shared" si="25"/>
        <v/>
      </c>
      <c r="BP26" s="37"/>
      <c r="BQ26" s="33"/>
      <c r="BR26" s="34"/>
      <c r="BS26" s="35" t="str">
        <f t="shared" si="26"/>
        <v/>
      </c>
      <c r="BT26" s="36" t="str">
        <f t="shared" si="27"/>
        <v/>
      </c>
      <c r="BU26" s="37"/>
      <c r="BV26" s="33"/>
      <c r="BW26" s="34"/>
      <c r="BX26" s="35" t="str">
        <f t="shared" si="28"/>
        <v/>
      </c>
      <c r="BY26" s="36" t="str">
        <f t="shared" si="29"/>
        <v/>
      </c>
      <c r="BZ26" s="37"/>
      <c r="CA26" s="33"/>
      <c r="CB26" s="34"/>
      <c r="CC26" s="35" t="str">
        <f t="shared" si="30"/>
        <v/>
      </c>
      <c r="CD26" s="36" t="str">
        <f t="shared" si="31"/>
        <v/>
      </c>
      <c r="CE26" s="37"/>
      <c r="CF26" s="33"/>
      <c r="CG26" s="34"/>
      <c r="CH26" s="35" t="str">
        <f t="shared" si="32"/>
        <v/>
      </c>
      <c r="CI26" s="36" t="str">
        <f t="shared" si="33"/>
        <v/>
      </c>
      <c r="CJ26" s="37"/>
      <c r="CK26" s="33"/>
      <c r="CL26" s="34"/>
      <c r="CM26" s="35" t="str">
        <f t="shared" si="34"/>
        <v/>
      </c>
      <c r="CN26" s="36" t="str">
        <f t="shared" si="35"/>
        <v/>
      </c>
      <c r="CO26" s="37"/>
      <c r="CP26" s="33"/>
      <c r="CQ26" s="34"/>
      <c r="CR26" s="35" t="str">
        <f t="shared" si="36"/>
        <v/>
      </c>
      <c r="CS26" s="36" t="str">
        <f t="shared" si="37"/>
        <v/>
      </c>
      <c r="CT26" s="37"/>
      <c r="CU26" s="33"/>
      <c r="CV26" s="34"/>
      <c r="CW26" s="35" t="str">
        <f t="shared" si="38"/>
        <v/>
      </c>
      <c r="CX26" s="36" t="str">
        <f t="shared" si="39"/>
        <v/>
      </c>
      <c r="CY26" s="37"/>
      <c r="CZ26" s="33"/>
      <c r="DA26" s="34"/>
      <c r="DB26" s="35" t="str">
        <f t="shared" si="40"/>
        <v/>
      </c>
      <c r="DC26" s="36" t="str">
        <f t="shared" si="41"/>
        <v/>
      </c>
      <c r="DD26" s="37"/>
      <c r="DE26" s="33"/>
      <c r="DF26" s="34"/>
      <c r="DG26" s="35" t="str">
        <f t="shared" si="42"/>
        <v/>
      </c>
      <c r="DH26" s="36" t="str">
        <f t="shared" si="43"/>
        <v/>
      </c>
      <c r="DI26" s="37"/>
      <c r="DJ26" s="33"/>
      <c r="DK26" s="34"/>
      <c r="DL26" s="35" t="str">
        <f t="shared" si="44"/>
        <v/>
      </c>
      <c r="DM26" s="36" t="str">
        <f t="shared" si="45"/>
        <v/>
      </c>
      <c r="DN26" s="37"/>
      <c r="DO26" s="33"/>
      <c r="DP26" s="34"/>
      <c r="DQ26" s="35" t="str">
        <f t="shared" si="46"/>
        <v/>
      </c>
      <c r="DR26" s="36" t="str">
        <f t="shared" si="47"/>
        <v/>
      </c>
      <c r="DS26" s="37"/>
      <c r="DT26" s="33"/>
      <c r="DU26" s="34"/>
      <c r="DV26" s="35" t="str">
        <f t="shared" si="48"/>
        <v/>
      </c>
      <c r="DW26" s="36" t="str">
        <f t="shared" si="49"/>
        <v/>
      </c>
      <c r="DX26" s="37"/>
      <c r="DY26" s="33"/>
      <c r="DZ26" s="34"/>
      <c r="EA26" s="35" t="str">
        <f t="shared" si="50"/>
        <v/>
      </c>
      <c r="EB26" s="36" t="str">
        <f t="shared" si="51"/>
        <v/>
      </c>
      <c r="EC26" s="37"/>
      <c r="ED26" s="33"/>
      <c r="EE26" s="34"/>
      <c r="EF26" s="35" t="str">
        <f t="shared" si="52"/>
        <v/>
      </c>
      <c r="EG26" s="36" t="str">
        <f t="shared" si="53"/>
        <v/>
      </c>
      <c r="EH26" s="37"/>
      <c r="EI26" s="33"/>
      <c r="EJ26" s="34"/>
      <c r="EK26" s="35" t="str">
        <f t="shared" si="54"/>
        <v/>
      </c>
      <c r="EL26" s="36" t="str">
        <f t="shared" si="55"/>
        <v/>
      </c>
      <c r="EM26" s="37"/>
      <c r="EN26" s="33"/>
      <c r="EO26" s="34"/>
      <c r="EP26" s="35" t="str">
        <f t="shared" si="56"/>
        <v/>
      </c>
      <c r="EQ26" s="36" t="str">
        <f t="shared" si="57"/>
        <v/>
      </c>
      <c r="ER26" s="37"/>
      <c r="ES26" s="33"/>
      <c r="ET26" s="34"/>
      <c r="EU26" s="35" t="str">
        <f t="shared" si="58"/>
        <v/>
      </c>
      <c r="EV26" s="36" t="str">
        <f t="shared" si="59"/>
        <v/>
      </c>
      <c r="EW26" s="37"/>
    </row>
    <row r="27" spans="1:153" ht="19.5" customHeight="1">
      <c r="A27" s="32">
        <f>IF(DAY(DATE(対象年度,10,24))&lt;&gt;24,"",24)</f>
        <v>24</v>
      </c>
      <c r="B27" s="32" t="str">
        <f>IF(DAY(DATE(対象年度,10,24))&lt;&gt;24,"",CHOOSE(WEEKDAY(DATE(対象年度,10,24),2),"月","火","水","木","金","土","日"))</f>
        <v>土</v>
      </c>
      <c r="C27" s="32" t="str">
        <f>IF(DAY(DATE(対象年度,10,24))&lt;&gt;24,"",IF(ISNUMBER(MATCH(DATE(対象年度,10,24),祝日リスト,0)),"祝",""))</f>
        <v/>
      </c>
      <c r="D27" s="33"/>
      <c r="E27" s="34"/>
      <c r="F27" s="35" t="str">
        <f t="shared" si="0"/>
        <v/>
      </c>
      <c r="G27" s="36" t="str">
        <f t="shared" si="1"/>
        <v/>
      </c>
      <c r="H27" s="37"/>
      <c r="I27" s="33"/>
      <c r="J27" s="34"/>
      <c r="K27" s="35" t="str">
        <f t="shared" si="2"/>
        <v/>
      </c>
      <c r="L27" s="36" t="str">
        <f t="shared" si="3"/>
        <v/>
      </c>
      <c r="M27" s="37"/>
      <c r="N27" s="33"/>
      <c r="O27" s="34"/>
      <c r="P27" s="35" t="str">
        <f t="shared" si="4"/>
        <v/>
      </c>
      <c r="Q27" s="36" t="str">
        <f t="shared" si="5"/>
        <v/>
      </c>
      <c r="R27" s="37"/>
      <c r="S27" s="33"/>
      <c r="T27" s="34"/>
      <c r="U27" s="35" t="str">
        <f t="shared" si="6"/>
        <v/>
      </c>
      <c r="V27" s="36" t="str">
        <f t="shared" si="7"/>
        <v/>
      </c>
      <c r="W27" s="37"/>
      <c r="X27" s="33"/>
      <c r="Y27" s="34"/>
      <c r="Z27" s="35" t="str">
        <f t="shared" si="8"/>
        <v/>
      </c>
      <c r="AA27" s="36" t="str">
        <f t="shared" si="9"/>
        <v/>
      </c>
      <c r="AB27" s="37"/>
      <c r="AC27" s="33"/>
      <c r="AD27" s="34"/>
      <c r="AE27" s="35" t="str">
        <f t="shared" si="10"/>
        <v/>
      </c>
      <c r="AF27" s="36" t="str">
        <f t="shared" si="11"/>
        <v/>
      </c>
      <c r="AG27" s="37"/>
      <c r="AH27" s="33"/>
      <c r="AI27" s="34"/>
      <c r="AJ27" s="35" t="str">
        <f t="shared" si="12"/>
        <v/>
      </c>
      <c r="AK27" s="36" t="str">
        <f t="shared" si="13"/>
        <v/>
      </c>
      <c r="AL27" s="37"/>
      <c r="AM27" s="33"/>
      <c r="AN27" s="34"/>
      <c r="AO27" s="35" t="str">
        <f t="shared" si="14"/>
        <v/>
      </c>
      <c r="AP27" s="36" t="str">
        <f t="shared" si="15"/>
        <v/>
      </c>
      <c r="AQ27" s="37"/>
      <c r="AR27" s="33"/>
      <c r="AS27" s="34"/>
      <c r="AT27" s="35" t="str">
        <f t="shared" si="16"/>
        <v/>
      </c>
      <c r="AU27" s="36" t="str">
        <f t="shared" si="17"/>
        <v/>
      </c>
      <c r="AV27" s="37"/>
      <c r="AW27" s="33"/>
      <c r="AX27" s="34"/>
      <c r="AY27" s="35" t="str">
        <f t="shared" si="18"/>
        <v/>
      </c>
      <c r="AZ27" s="36" t="str">
        <f t="shared" si="19"/>
        <v/>
      </c>
      <c r="BA27" s="37"/>
      <c r="BB27" s="33"/>
      <c r="BC27" s="34"/>
      <c r="BD27" s="35" t="str">
        <f t="shared" si="20"/>
        <v/>
      </c>
      <c r="BE27" s="36" t="str">
        <f t="shared" si="21"/>
        <v/>
      </c>
      <c r="BF27" s="37"/>
      <c r="BG27" s="33"/>
      <c r="BH27" s="34"/>
      <c r="BI27" s="35" t="str">
        <f t="shared" si="22"/>
        <v/>
      </c>
      <c r="BJ27" s="36" t="str">
        <f t="shared" si="23"/>
        <v/>
      </c>
      <c r="BK27" s="37"/>
      <c r="BL27" s="33"/>
      <c r="BM27" s="34"/>
      <c r="BN27" s="35" t="str">
        <f t="shared" si="24"/>
        <v/>
      </c>
      <c r="BO27" s="36" t="str">
        <f t="shared" si="25"/>
        <v/>
      </c>
      <c r="BP27" s="37"/>
      <c r="BQ27" s="33"/>
      <c r="BR27" s="34"/>
      <c r="BS27" s="35" t="str">
        <f t="shared" si="26"/>
        <v/>
      </c>
      <c r="BT27" s="36" t="str">
        <f t="shared" si="27"/>
        <v/>
      </c>
      <c r="BU27" s="37"/>
      <c r="BV27" s="33"/>
      <c r="BW27" s="34"/>
      <c r="BX27" s="35" t="str">
        <f t="shared" si="28"/>
        <v/>
      </c>
      <c r="BY27" s="36" t="str">
        <f t="shared" si="29"/>
        <v/>
      </c>
      <c r="BZ27" s="37"/>
      <c r="CA27" s="33"/>
      <c r="CB27" s="34"/>
      <c r="CC27" s="35" t="str">
        <f t="shared" si="30"/>
        <v/>
      </c>
      <c r="CD27" s="36" t="str">
        <f t="shared" si="31"/>
        <v/>
      </c>
      <c r="CE27" s="37"/>
      <c r="CF27" s="33"/>
      <c r="CG27" s="34"/>
      <c r="CH27" s="35" t="str">
        <f t="shared" si="32"/>
        <v/>
      </c>
      <c r="CI27" s="36" t="str">
        <f t="shared" si="33"/>
        <v/>
      </c>
      <c r="CJ27" s="37"/>
      <c r="CK27" s="33"/>
      <c r="CL27" s="34"/>
      <c r="CM27" s="35" t="str">
        <f t="shared" si="34"/>
        <v/>
      </c>
      <c r="CN27" s="36" t="str">
        <f t="shared" si="35"/>
        <v/>
      </c>
      <c r="CO27" s="37"/>
      <c r="CP27" s="33"/>
      <c r="CQ27" s="34"/>
      <c r="CR27" s="35" t="str">
        <f t="shared" si="36"/>
        <v/>
      </c>
      <c r="CS27" s="36" t="str">
        <f t="shared" si="37"/>
        <v/>
      </c>
      <c r="CT27" s="37"/>
      <c r="CU27" s="33"/>
      <c r="CV27" s="34"/>
      <c r="CW27" s="35" t="str">
        <f t="shared" si="38"/>
        <v/>
      </c>
      <c r="CX27" s="36" t="str">
        <f t="shared" si="39"/>
        <v/>
      </c>
      <c r="CY27" s="37"/>
      <c r="CZ27" s="33"/>
      <c r="DA27" s="34"/>
      <c r="DB27" s="35" t="str">
        <f t="shared" si="40"/>
        <v/>
      </c>
      <c r="DC27" s="36" t="str">
        <f t="shared" si="41"/>
        <v/>
      </c>
      <c r="DD27" s="37"/>
      <c r="DE27" s="33"/>
      <c r="DF27" s="34"/>
      <c r="DG27" s="35" t="str">
        <f t="shared" si="42"/>
        <v/>
      </c>
      <c r="DH27" s="36" t="str">
        <f t="shared" si="43"/>
        <v/>
      </c>
      <c r="DI27" s="37"/>
      <c r="DJ27" s="33"/>
      <c r="DK27" s="34"/>
      <c r="DL27" s="35" t="str">
        <f t="shared" si="44"/>
        <v/>
      </c>
      <c r="DM27" s="36" t="str">
        <f t="shared" si="45"/>
        <v/>
      </c>
      <c r="DN27" s="37"/>
      <c r="DO27" s="33"/>
      <c r="DP27" s="34"/>
      <c r="DQ27" s="35" t="str">
        <f t="shared" si="46"/>
        <v/>
      </c>
      <c r="DR27" s="36" t="str">
        <f t="shared" si="47"/>
        <v/>
      </c>
      <c r="DS27" s="37"/>
      <c r="DT27" s="33"/>
      <c r="DU27" s="34"/>
      <c r="DV27" s="35" t="str">
        <f t="shared" si="48"/>
        <v/>
      </c>
      <c r="DW27" s="36" t="str">
        <f t="shared" si="49"/>
        <v/>
      </c>
      <c r="DX27" s="37"/>
      <c r="DY27" s="33"/>
      <c r="DZ27" s="34"/>
      <c r="EA27" s="35" t="str">
        <f t="shared" si="50"/>
        <v/>
      </c>
      <c r="EB27" s="36" t="str">
        <f t="shared" si="51"/>
        <v/>
      </c>
      <c r="EC27" s="37"/>
      <c r="ED27" s="33"/>
      <c r="EE27" s="34"/>
      <c r="EF27" s="35" t="str">
        <f t="shared" si="52"/>
        <v/>
      </c>
      <c r="EG27" s="36" t="str">
        <f t="shared" si="53"/>
        <v/>
      </c>
      <c r="EH27" s="37"/>
      <c r="EI27" s="33"/>
      <c r="EJ27" s="34"/>
      <c r="EK27" s="35" t="str">
        <f t="shared" si="54"/>
        <v/>
      </c>
      <c r="EL27" s="36" t="str">
        <f t="shared" si="55"/>
        <v/>
      </c>
      <c r="EM27" s="37"/>
      <c r="EN27" s="33"/>
      <c r="EO27" s="34"/>
      <c r="EP27" s="35" t="str">
        <f t="shared" si="56"/>
        <v/>
      </c>
      <c r="EQ27" s="36" t="str">
        <f t="shared" si="57"/>
        <v/>
      </c>
      <c r="ER27" s="37"/>
      <c r="ES27" s="33"/>
      <c r="ET27" s="34"/>
      <c r="EU27" s="35" t="str">
        <f t="shared" si="58"/>
        <v/>
      </c>
      <c r="EV27" s="36" t="str">
        <f t="shared" si="59"/>
        <v/>
      </c>
      <c r="EW27" s="37"/>
    </row>
    <row r="28" spans="1:153" ht="19.5" customHeight="1">
      <c r="A28" s="32">
        <f>IF(DAY(DATE(対象年度,10,25))&lt;&gt;25,"",25)</f>
        <v>25</v>
      </c>
      <c r="B28" s="32" t="str">
        <f>IF(DAY(DATE(対象年度,10,25))&lt;&gt;25,"",CHOOSE(WEEKDAY(DATE(対象年度,10,25),2),"月","火","水","木","金","土","日"))</f>
        <v>日</v>
      </c>
      <c r="C28" s="32" t="str">
        <f>IF(DAY(DATE(対象年度,10,25))&lt;&gt;25,"",IF(ISNUMBER(MATCH(DATE(対象年度,10,25),祝日リスト,0)),"祝",""))</f>
        <v/>
      </c>
      <c r="D28" s="33"/>
      <c r="E28" s="34"/>
      <c r="F28" s="35" t="str">
        <f t="shared" si="0"/>
        <v/>
      </c>
      <c r="G28" s="36" t="str">
        <f t="shared" si="1"/>
        <v/>
      </c>
      <c r="H28" s="37"/>
      <c r="I28" s="33"/>
      <c r="J28" s="34"/>
      <c r="K28" s="35" t="str">
        <f t="shared" si="2"/>
        <v/>
      </c>
      <c r="L28" s="36" t="str">
        <f t="shared" si="3"/>
        <v/>
      </c>
      <c r="M28" s="37"/>
      <c r="N28" s="33"/>
      <c r="O28" s="34"/>
      <c r="P28" s="35" t="str">
        <f t="shared" si="4"/>
        <v/>
      </c>
      <c r="Q28" s="36" t="str">
        <f t="shared" si="5"/>
        <v/>
      </c>
      <c r="R28" s="37"/>
      <c r="S28" s="33"/>
      <c r="T28" s="34"/>
      <c r="U28" s="35" t="str">
        <f t="shared" si="6"/>
        <v/>
      </c>
      <c r="V28" s="36" t="str">
        <f t="shared" si="7"/>
        <v/>
      </c>
      <c r="W28" s="37"/>
      <c r="X28" s="33"/>
      <c r="Y28" s="34"/>
      <c r="Z28" s="35" t="str">
        <f t="shared" si="8"/>
        <v/>
      </c>
      <c r="AA28" s="36" t="str">
        <f t="shared" si="9"/>
        <v/>
      </c>
      <c r="AB28" s="37"/>
      <c r="AC28" s="33"/>
      <c r="AD28" s="34"/>
      <c r="AE28" s="35" t="str">
        <f t="shared" si="10"/>
        <v/>
      </c>
      <c r="AF28" s="36" t="str">
        <f t="shared" si="11"/>
        <v/>
      </c>
      <c r="AG28" s="37"/>
      <c r="AH28" s="33"/>
      <c r="AI28" s="34"/>
      <c r="AJ28" s="35" t="str">
        <f t="shared" si="12"/>
        <v/>
      </c>
      <c r="AK28" s="36" t="str">
        <f t="shared" si="13"/>
        <v/>
      </c>
      <c r="AL28" s="37"/>
      <c r="AM28" s="33"/>
      <c r="AN28" s="34"/>
      <c r="AO28" s="35" t="str">
        <f t="shared" si="14"/>
        <v/>
      </c>
      <c r="AP28" s="36" t="str">
        <f t="shared" si="15"/>
        <v/>
      </c>
      <c r="AQ28" s="37"/>
      <c r="AR28" s="33"/>
      <c r="AS28" s="34"/>
      <c r="AT28" s="35" t="str">
        <f t="shared" si="16"/>
        <v/>
      </c>
      <c r="AU28" s="36" t="str">
        <f t="shared" si="17"/>
        <v/>
      </c>
      <c r="AV28" s="37"/>
      <c r="AW28" s="33"/>
      <c r="AX28" s="34"/>
      <c r="AY28" s="35" t="str">
        <f t="shared" si="18"/>
        <v/>
      </c>
      <c r="AZ28" s="36" t="str">
        <f t="shared" si="19"/>
        <v/>
      </c>
      <c r="BA28" s="37"/>
      <c r="BB28" s="33"/>
      <c r="BC28" s="34"/>
      <c r="BD28" s="35" t="str">
        <f t="shared" si="20"/>
        <v/>
      </c>
      <c r="BE28" s="36" t="str">
        <f t="shared" si="21"/>
        <v/>
      </c>
      <c r="BF28" s="37"/>
      <c r="BG28" s="33"/>
      <c r="BH28" s="34"/>
      <c r="BI28" s="35" t="str">
        <f t="shared" si="22"/>
        <v/>
      </c>
      <c r="BJ28" s="36" t="str">
        <f t="shared" si="23"/>
        <v/>
      </c>
      <c r="BK28" s="37"/>
      <c r="BL28" s="33"/>
      <c r="BM28" s="34"/>
      <c r="BN28" s="35" t="str">
        <f t="shared" si="24"/>
        <v/>
      </c>
      <c r="BO28" s="36" t="str">
        <f t="shared" si="25"/>
        <v/>
      </c>
      <c r="BP28" s="37"/>
      <c r="BQ28" s="33"/>
      <c r="BR28" s="34"/>
      <c r="BS28" s="35" t="str">
        <f t="shared" si="26"/>
        <v/>
      </c>
      <c r="BT28" s="36" t="str">
        <f t="shared" si="27"/>
        <v/>
      </c>
      <c r="BU28" s="37"/>
      <c r="BV28" s="33"/>
      <c r="BW28" s="34"/>
      <c r="BX28" s="35" t="str">
        <f t="shared" si="28"/>
        <v/>
      </c>
      <c r="BY28" s="36" t="str">
        <f t="shared" si="29"/>
        <v/>
      </c>
      <c r="BZ28" s="37"/>
      <c r="CA28" s="33"/>
      <c r="CB28" s="34"/>
      <c r="CC28" s="35" t="str">
        <f t="shared" si="30"/>
        <v/>
      </c>
      <c r="CD28" s="36" t="str">
        <f t="shared" si="31"/>
        <v/>
      </c>
      <c r="CE28" s="37"/>
      <c r="CF28" s="33"/>
      <c r="CG28" s="34"/>
      <c r="CH28" s="35" t="str">
        <f t="shared" si="32"/>
        <v/>
      </c>
      <c r="CI28" s="36" t="str">
        <f t="shared" si="33"/>
        <v/>
      </c>
      <c r="CJ28" s="37"/>
      <c r="CK28" s="33"/>
      <c r="CL28" s="34"/>
      <c r="CM28" s="35" t="str">
        <f t="shared" si="34"/>
        <v/>
      </c>
      <c r="CN28" s="36" t="str">
        <f t="shared" si="35"/>
        <v/>
      </c>
      <c r="CO28" s="37"/>
      <c r="CP28" s="33"/>
      <c r="CQ28" s="34"/>
      <c r="CR28" s="35" t="str">
        <f t="shared" si="36"/>
        <v/>
      </c>
      <c r="CS28" s="36" t="str">
        <f t="shared" si="37"/>
        <v/>
      </c>
      <c r="CT28" s="37"/>
      <c r="CU28" s="33"/>
      <c r="CV28" s="34"/>
      <c r="CW28" s="35" t="str">
        <f t="shared" si="38"/>
        <v/>
      </c>
      <c r="CX28" s="36" t="str">
        <f t="shared" si="39"/>
        <v/>
      </c>
      <c r="CY28" s="37"/>
      <c r="CZ28" s="33"/>
      <c r="DA28" s="34"/>
      <c r="DB28" s="35" t="str">
        <f t="shared" si="40"/>
        <v/>
      </c>
      <c r="DC28" s="36" t="str">
        <f t="shared" si="41"/>
        <v/>
      </c>
      <c r="DD28" s="37"/>
      <c r="DE28" s="33"/>
      <c r="DF28" s="34"/>
      <c r="DG28" s="35" t="str">
        <f t="shared" si="42"/>
        <v/>
      </c>
      <c r="DH28" s="36" t="str">
        <f t="shared" si="43"/>
        <v/>
      </c>
      <c r="DI28" s="37"/>
      <c r="DJ28" s="33"/>
      <c r="DK28" s="34"/>
      <c r="DL28" s="35" t="str">
        <f t="shared" si="44"/>
        <v/>
      </c>
      <c r="DM28" s="36" t="str">
        <f t="shared" si="45"/>
        <v/>
      </c>
      <c r="DN28" s="37"/>
      <c r="DO28" s="33"/>
      <c r="DP28" s="34"/>
      <c r="DQ28" s="35" t="str">
        <f t="shared" si="46"/>
        <v/>
      </c>
      <c r="DR28" s="36" t="str">
        <f t="shared" si="47"/>
        <v/>
      </c>
      <c r="DS28" s="37"/>
      <c r="DT28" s="33"/>
      <c r="DU28" s="34"/>
      <c r="DV28" s="35" t="str">
        <f t="shared" si="48"/>
        <v/>
      </c>
      <c r="DW28" s="36" t="str">
        <f t="shared" si="49"/>
        <v/>
      </c>
      <c r="DX28" s="37"/>
      <c r="DY28" s="33"/>
      <c r="DZ28" s="34"/>
      <c r="EA28" s="35" t="str">
        <f t="shared" si="50"/>
        <v/>
      </c>
      <c r="EB28" s="36" t="str">
        <f t="shared" si="51"/>
        <v/>
      </c>
      <c r="EC28" s="37"/>
      <c r="ED28" s="33"/>
      <c r="EE28" s="34"/>
      <c r="EF28" s="35" t="str">
        <f t="shared" si="52"/>
        <v/>
      </c>
      <c r="EG28" s="36" t="str">
        <f t="shared" si="53"/>
        <v/>
      </c>
      <c r="EH28" s="37"/>
      <c r="EI28" s="33"/>
      <c r="EJ28" s="34"/>
      <c r="EK28" s="35" t="str">
        <f t="shared" si="54"/>
        <v/>
      </c>
      <c r="EL28" s="36" t="str">
        <f t="shared" si="55"/>
        <v/>
      </c>
      <c r="EM28" s="37"/>
      <c r="EN28" s="33"/>
      <c r="EO28" s="34"/>
      <c r="EP28" s="35" t="str">
        <f t="shared" si="56"/>
        <v/>
      </c>
      <c r="EQ28" s="36" t="str">
        <f t="shared" si="57"/>
        <v/>
      </c>
      <c r="ER28" s="37"/>
      <c r="ES28" s="33"/>
      <c r="ET28" s="34"/>
      <c r="EU28" s="35" t="str">
        <f t="shared" si="58"/>
        <v/>
      </c>
      <c r="EV28" s="36" t="str">
        <f t="shared" si="59"/>
        <v/>
      </c>
      <c r="EW28" s="37"/>
    </row>
    <row r="29" spans="1:153" ht="19.5" customHeight="1">
      <c r="A29" s="32">
        <f>IF(DAY(DATE(対象年度,10,26))&lt;&gt;26,"",26)</f>
        <v>26</v>
      </c>
      <c r="B29" s="32" t="str">
        <f>IF(DAY(DATE(対象年度,10,26))&lt;&gt;26,"",CHOOSE(WEEKDAY(DATE(対象年度,10,26),2),"月","火","水","木","金","土","日"))</f>
        <v>月</v>
      </c>
      <c r="C29" s="32" t="str">
        <f>IF(DAY(DATE(対象年度,10,26))&lt;&gt;26,"",IF(ISNUMBER(MATCH(DATE(対象年度,10,26),祝日リスト,0)),"祝",""))</f>
        <v/>
      </c>
      <c r="D29" s="33"/>
      <c r="E29" s="34"/>
      <c r="F29" s="35" t="str">
        <f t="shared" si="0"/>
        <v/>
      </c>
      <c r="G29" s="36" t="str">
        <f t="shared" si="1"/>
        <v/>
      </c>
      <c r="H29" s="37"/>
      <c r="I29" s="33"/>
      <c r="J29" s="34"/>
      <c r="K29" s="35" t="str">
        <f t="shared" si="2"/>
        <v/>
      </c>
      <c r="L29" s="36" t="str">
        <f t="shared" si="3"/>
        <v/>
      </c>
      <c r="M29" s="37"/>
      <c r="N29" s="33"/>
      <c r="O29" s="34"/>
      <c r="P29" s="35" t="str">
        <f t="shared" si="4"/>
        <v/>
      </c>
      <c r="Q29" s="36" t="str">
        <f t="shared" si="5"/>
        <v/>
      </c>
      <c r="R29" s="37"/>
      <c r="S29" s="33"/>
      <c r="T29" s="34"/>
      <c r="U29" s="35" t="str">
        <f t="shared" si="6"/>
        <v/>
      </c>
      <c r="V29" s="36" t="str">
        <f t="shared" si="7"/>
        <v/>
      </c>
      <c r="W29" s="37"/>
      <c r="X29" s="33"/>
      <c r="Y29" s="34"/>
      <c r="Z29" s="35" t="str">
        <f t="shared" si="8"/>
        <v/>
      </c>
      <c r="AA29" s="36" t="str">
        <f t="shared" si="9"/>
        <v/>
      </c>
      <c r="AB29" s="37"/>
      <c r="AC29" s="33"/>
      <c r="AD29" s="34"/>
      <c r="AE29" s="35" t="str">
        <f t="shared" si="10"/>
        <v/>
      </c>
      <c r="AF29" s="36" t="str">
        <f t="shared" si="11"/>
        <v/>
      </c>
      <c r="AG29" s="37"/>
      <c r="AH29" s="33"/>
      <c r="AI29" s="34"/>
      <c r="AJ29" s="35" t="str">
        <f t="shared" si="12"/>
        <v/>
      </c>
      <c r="AK29" s="36" t="str">
        <f t="shared" si="13"/>
        <v/>
      </c>
      <c r="AL29" s="37"/>
      <c r="AM29" s="33"/>
      <c r="AN29" s="34"/>
      <c r="AO29" s="35" t="str">
        <f t="shared" si="14"/>
        <v/>
      </c>
      <c r="AP29" s="36" t="str">
        <f t="shared" si="15"/>
        <v/>
      </c>
      <c r="AQ29" s="37"/>
      <c r="AR29" s="33"/>
      <c r="AS29" s="34"/>
      <c r="AT29" s="35" t="str">
        <f t="shared" si="16"/>
        <v/>
      </c>
      <c r="AU29" s="36" t="str">
        <f t="shared" si="17"/>
        <v/>
      </c>
      <c r="AV29" s="37"/>
      <c r="AW29" s="33"/>
      <c r="AX29" s="34"/>
      <c r="AY29" s="35" t="str">
        <f t="shared" si="18"/>
        <v/>
      </c>
      <c r="AZ29" s="36" t="str">
        <f t="shared" si="19"/>
        <v/>
      </c>
      <c r="BA29" s="37"/>
      <c r="BB29" s="33"/>
      <c r="BC29" s="34"/>
      <c r="BD29" s="35" t="str">
        <f t="shared" si="20"/>
        <v/>
      </c>
      <c r="BE29" s="36" t="str">
        <f t="shared" si="21"/>
        <v/>
      </c>
      <c r="BF29" s="37"/>
      <c r="BG29" s="33"/>
      <c r="BH29" s="34"/>
      <c r="BI29" s="35" t="str">
        <f t="shared" si="22"/>
        <v/>
      </c>
      <c r="BJ29" s="36" t="str">
        <f t="shared" si="23"/>
        <v/>
      </c>
      <c r="BK29" s="37"/>
      <c r="BL29" s="33"/>
      <c r="BM29" s="34"/>
      <c r="BN29" s="35" t="str">
        <f t="shared" si="24"/>
        <v/>
      </c>
      <c r="BO29" s="36" t="str">
        <f t="shared" si="25"/>
        <v/>
      </c>
      <c r="BP29" s="37"/>
      <c r="BQ29" s="33"/>
      <c r="BR29" s="34"/>
      <c r="BS29" s="35" t="str">
        <f t="shared" si="26"/>
        <v/>
      </c>
      <c r="BT29" s="36" t="str">
        <f t="shared" si="27"/>
        <v/>
      </c>
      <c r="BU29" s="37"/>
      <c r="BV29" s="33"/>
      <c r="BW29" s="34"/>
      <c r="BX29" s="35" t="str">
        <f t="shared" si="28"/>
        <v/>
      </c>
      <c r="BY29" s="36" t="str">
        <f t="shared" si="29"/>
        <v/>
      </c>
      <c r="BZ29" s="37"/>
      <c r="CA29" s="33"/>
      <c r="CB29" s="34"/>
      <c r="CC29" s="35" t="str">
        <f t="shared" si="30"/>
        <v/>
      </c>
      <c r="CD29" s="36" t="str">
        <f t="shared" si="31"/>
        <v/>
      </c>
      <c r="CE29" s="37"/>
      <c r="CF29" s="33"/>
      <c r="CG29" s="34"/>
      <c r="CH29" s="35" t="str">
        <f t="shared" si="32"/>
        <v/>
      </c>
      <c r="CI29" s="36" t="str">
        <f t="shared" si="33"/>
        <v/>
      </c>
      <c r="CJ29" s="37"/>
      <c r="CK29" s="33"/>
      <c r="CL29" s="34"/>
      <c r="CM29" s="35" t="str">
        <f t="shared" si="34"/>
        <v/>
      </c>
      <c r="CN29" s="36" t="str">
        <f t="shared" si="35"/>
        <v/>
      </c>
      <c r="CO29" s="37"/>
      <c r="CP29" s="33"/>
      <c r="CQ29" s="34"/>
      <c r="CR29" s="35" t="str">
        <f t="shared" si="36"/>
        <v/>
      </c>
      <c r="CS29" s="36" t="str">
        <f t="shared" si="37"/>
        <v/>
      </c>
      <c r="CT29" s="37"/>
      <c r="CU29" s="33"/>
      <c r="CV29" s="34"/>
      <c r="CW29" s="35" t="str">
        <f t="shared" si="38"/>
        <v/>
      </c>
      <c r="CX29" s="36" t="str">
        <f t="shared" si="39"/>
        <v/>
      </c>
      <c r="CY29" s="37"/>
      <c r="CZ29" s="33"/>
      <c r="DA29" s="34"/>
      <c r="DB29" s="35" t="str">
        <f t="shared" si="40"/>
        <v/>
      </c>
      <c r="DC29" s="36" t="str">
        <f t="shared" si="41"/>
        <v/>
      </c>
      <c r="DD29" s="37"/>
      <c r="DE29" s="33"/>
      <c r="DF29" s="34"/>
      <c r="DG29" s="35" t="str">
        <f t="shared" si="42"/>
        <v/>
      </c>
      <c r="DH29" s="36" t="str">
        <f t="shared" si="43"/>
        <v/>
      </c>
      <c r="DI29" s="37"/>
      <c r="DJ29" s="33"/>
      <c r="DK29" s="34"/>
      <c r="DL29" s="35" t="str">
        <f t="shared" si="44"/>
        <v/>
      </c>
      <c r="DM29" s="36" t="str">
        <f t="shared" si="45"/>
        <v/>
      </c>
      <c r="DN29" s="37"/>
      <c r="DO29" s="33"/>
      <c r="DP29" s="34"/>
      <c r="DQ29" s="35" t="str">
        <f t="shared" si="46"/>
        <v/>
      </c>
      <c r="DR29" s="36" t="str">
        <f t="shared" si="47"/>
        <v/>
      </c>
      <c r="DS29" s="37"/>
      <c r="DT29" s="33"/>
      <c r="DU29" s="34"/>
      <c r="DV29" s="35" t="str">
        <f t="shared" si="48"/>
        <v/>
      </c>
      <c r="DW29" s="36" t="str">
        <f t="shared" si="49"/>
        <v/>
      </c>
      <c r="DX29" s="37"/>
      <c r="DY29" s="33"/>
      <c r="DZ29" s="34"/>
      <c r="EA29" s="35" t="str">
        <f t="shared" si="50"/>
        <v/>
      </c>
      <c r="EB29" s="36" t="str">
        <f t="shared" si="51"/>
        <v/>
      </c>
      <c r="EC29" s="37"/>
      <c r="ED29" s="33"/>
      <c r="EE29" s="34"/>
      <c r="EF29" s="35" t="str">
        <f t="shared" si="52"/>
        <v/>
      </c>
      <c r="EG29" s="36" t="str">
        <f t="shared" si="53"/>
        <v/>
      </c>
      <c r="EH29" s="37"/>
      <c r="EI29" s="33"/>
      <c r="EJ29" s="34"/>
      <c r="EK29" s="35" t="str">
        <f t="shared" si="54"/>
        <v/>
      </c>
      <c r="EL29" s="36" t="str">
        <f t="shared" si="55"/>
        <v/>
      </c>
      <c r="EM29" s="37"/>
      <c r="EN29" s="33"/>
      <c r="EO29" s="34"/>
      <c r="EP29" s="35" t="str">
        <f t="shared" si="56"/>
        <v/>
      </c>
      <c r="EQ29" s="36" t="str">
        <f t="shared" si="57"/>
        <v/>
      </c>
      <c r="ER29" s="37"/>
      <c r="ES29" s="33"/>
      <c r="ET29" s="34"/>
      <c r="EU29" s="35" t="str">
        <f t="shared" si="58"/>
        <v/>
      </c>
      <c r="EV29" s="36" t="str">
        <f t="shared" si="59"/>
        <v/>
      </c>
      <c r="EW29" s="37"/>
    </row>
    <row r="30" spans="1:153" ht="19.5" customHeight="1">
      <c r="A30" s="32">
        <f>IF(DAY(DATE(対象年度,10,27))&lt;&gt;27,"",27)</f>
        <v>27</v>
      </c>
      <c r="B30" s="32" t="str">
        <f>IF(DAY(DATE(対象年度,10,27))&lt;&gt;27,"",CHOOSE(WEEKDAY(DATE(対象年度,10,27),2),"月","火","水","木","金","土","日"))</f>
        <v>火</v>
      </c>
      <c r="C30" s="32" t="str">
        <f>IF(DAY(DATE(対象年度,10,27))&lt;&gt;27,"",IF(ISNUMBER(MATCH(DATE(対象年度,10,27),祝日リスト,0)),"祝",""))</f>
        <v/>
      </c>
      <c r="D30" s="33"/>
      <c r="E30" s="34"/>
      <c r="F30" s="35" t="str">
        <f t="shared" si="0"/>
        <v/>
      </c>
      <c r="G30" s="36" t="str">
        <f t="shared" si="1"/>
        <v/>
      </c>
      <c r="H30" s="37"/>
      <c r="I30" s="33"/>
      <c r="J30" s="34"/>
      <c r="K30" s="35" t="str">
        <f t="shared" si="2"/>
        <v/>
      </c>
      <c r="L30" s="36" t="str">
        <f t="shared" si="3"/>
        <v/>
      </c>
      <c r="M30" s="37"/>
      <c r="N30" s="33"/>
      <c r="O30" s="34"/>
      <c r="P30" s="35" t="str">
        <f t="shared" si="4"/>
        <v/>
      </c>
      <c r="Q30" s="36" t="str">
        <f t="shared" si="5"/>
        <v/>
      </c>
      <c r="R30" s="37"/>
      <c r="S30" s="33"/>
      <c r="T30" s="34"/>
      <c r="U30" s="35" t="str">
        <f t="shared" si="6"/>
        <v/>
      </c>
      <c r="V30" s="36" t="str">
        <f t="shared" si="7"/>
        <v/>
      </c>
      <c r="W30" s="37"/>
      <c r="X30" s="33"/>
      <c r="Y30" s="34"/>
      <c r="Z30" s="35" t="str">
        <f t="shared" si="8"/>
        <v/>
      </c>
      <c r="AA30" s="36" t="str">
        <f t="shared" si="9"/>
        <v/>
      </c>
      <c r="AB30" s="37"/>
      <c r="AC30" s="33"/>
      <c r="AD30" s="34"/>
      <c r="AE30" s="35" t="str">
        <f t="shared" si="10"/>
        <v/>
      </c>
      <c r="AF30" s="36" t="str">
        <f t="shared" si="11"/>
        <v/>
      </c>
      <c r="AG30" s="37"/>
      <c r="AH30" s="33"/>
      <c r="AI30" s="34"/>
      <c r="AJ30" s="35" t="str">
        <f t="shared" si="12"/>
        <v/>
      </c>
      <c r="AK30" s="36" t="str">
        <f t="shared" si="13"/>
        <v/>
      </c>
      <c r="AL30" s="37"/>
      <c r="AM30" s="33"/>
      <c r="AN30" s="34"/>
      <c r="AO30" s="35" t="str">
        <f t="shared" si="14"/>
        <v/>
      </c>
      <c r="AP30" s="36" t="str">
        <f t="shared" si="15"/>
        <v/>
      </c>
      <c r="AQ30" s="37"/>
      <c r="AR30" s="33"/>
      <c r="AS30" s="34"/>
      <c r="AT30" s="35" t="str">
        <f t="shared" si="16"/>
        <v/>
      </c>
      <c r="AU30" s="36" t="str">
        <f t="shared" si="17"/>
        <v/>
      </c>
      <c r="AV30" s="37"/>
      <c r="AW30" s="33"/>
      <c r="AX30" s="34"/>
      <c r="AY30" s="35" t="str">
        <f t="shared" si="18"/>
        <v/>
      </c>
      <c r="AZ30" s="36" t="str">
        <f t="shared" si="19"/>
        <v/>
      </c>
      <c r="BA30" s="37"/>
      <c r="BB30" s="33"/>
      <c r="BC30" s="34"/>
      <c r="BD30" s="35" t="str">
        <f t="shared" si="20"/>
        <v/>
      </c>
      <c r="BE30" s="36" t="str">
        <f t="shared" si="21"/>
        <v/>
      </c>
      <c r="BF30" s="37"/>
      <c r="BG30" s="33"/>
      <c r="BH30" s="34"/>
      <c r="BI30" s="35" t="str">
        <f t="shared" si="22"/>
        <v/>
      </c>
      <c r="BJ30" s="36" t="str">
        <f t="shared" si="23"/>
        <v/>
      </c>
      <c r="BK30" s="37"/>
      <c r="BL30" s="33"/>
      <c r="BM30" s="34"/>
      <c r="BN30" s="35" t="str">
        <f t="shared" si="24"/>
        <v/>
      </c>
      <c r="BO30" s="36" t="str">
        <f t="shared" si="25"/>
        <v/>
      </c>
      <c r="BP30" s="37"/>
      <c r="BQ30" s="33"/>
      <c r="BR30" s="34"/>
      <c r="BS30" s="35" t="str">
        <f t="shared" si="26"/>
        <v/>
      </c>
      <c r="BT30" s="36" t="str">
        <f t="shared" si="27"/>
        <v/>
      </c>
      <c r="BU30" s="37"/>
      <c r="BV30" s="33"/>
      <c r="BW30" s="34"/>
      <c r="BX30" s="35" t="str">
        <f t="shared" si="28"/>
        <v/>
      </c>
      <c r="BY30" s="36" t="str">
        <f t="shared" si="29"/>
        <v/>
      </c>
      <c r="BZ30" s="37"/>
      <c r="CA30" s="33"/>
      <c r="CB30" s="34"/>
      <c r="CC30" s="35" t="str">
        <f t="shared" si="30"/>
        <v/>
      </c>
      <c r="CD30" s="36" t="str">
        <f t="shared" si="31"/>
        <v/>
      </c>
      <c r="CE30" s="37"/>
      <c r="CF30" s="33"/>
      <c r="CG30" s="34"/>
      <c r="CH30" s="35" t="str">
        <f t="shared" si="32"/>
        <v/>
      </c>
      <c r="CI30" s="36" t="str">
        <f t="shared" si="33"/>
        <v/>
      </c>
      <c r="CJ30" s="37"/>
      <c r="CK30" s="33"/>
      <c r="CL30" s="34"/>
      <c r="CM30" s="35" t="str">
        <f t="shared" si="34"/>
        <v/>
      </c>
      <c r="CN30" s="36" t="str">
        <f t="shared" si="35"/>
        <v/>
      </c>
      <c r="CO30" s="37"/>
      <c r="CP30" s="33"/>
      <c r="CQ30" s="34"/>
      <c r="CR30" s="35" t="str">
        <f t="shared" si="36"/>
        <v/>
      </c>
      <c r="CS30" s="36" t="str">
        <f t="shared" si="37"/>
        <v/>
      </c>
      <c r="CT30" s="37"/>
      <c r="CU30" s="33"/>
      <c r="CV30" s="34"/>
      <c r="CW30" s="35" t="str">
        <f t="shared" si="38"/>
        <v/>
      </c>
      <c r="CX30" s="36" t="str">
        <f t="shared" si="39"/>
        <v/>
      </c>
      <c r="CY30" s="37"/>
      <c r="CZ30" s="33"/>
      <c r="DA30" s="34"/>
      <c r="DB30" s="35" t="str">
        <f t="shared" si="40"/>
        <v/>
      </c>
      <c r="DC30" s="36" t="str">
        <f t="shared" si="41"/>
        <v/>
      </c>
      <c r="DD30" s="37"/>
      <c r="DE30" s="33"/>
      <c r="DF30" s="34"/>
      <c r="DG30" s="35" t="str">
        <f t="shared" si="42"/>
        <v/>
      </c>
      <c r="DH30" s="36" t="str">
        <f t="shared" si="43"/>
        <v/>
      </c>
      <c r="DI30" s="37"/>
      <c r="DJ30" s="33"/>
      <c r="DK30" s="34"/>
      <c r="DL30" s="35" t="str">
        <f t="shared" si="44"/>
        <v/>
      </c>
      <c r="DM30" s="36" t="str">
        <f t="shared" si="45"/>
        <v/>
      </c>
      <c r="DN30" s="37"/>
      <c r="DO30" s="33"/>
      <c r="DP30" s="34"/>
      <c r="DQ30" s="35" t="str">
        <f t="shared" si="46"/>
        <v/>
      </c>
      <c r="DR30" s="36" t="str">
        <f t="shared" si="47"/>
        <v/>
      </c>
      <c r="DS30" s="37"/>
      <c r="DT30" s="33"/>
      <c r="DU30" s="34"/>
      <c r="DV30" s="35" t="str">
        <f t="shared" si="48"/>
        <v/>
      </c>
      <c r="DW30" s="36" t="str">
        <f t="shared" si="49"/>
        <v/>
      </c>
      <c r="DX30" s="37"/>
      <c r="DY30" s="33"/>
      <c r="DZ30" s="34"/>
      <c r="EA30" s="35" t="str">
        <f t="shared" si="50"/>
        <v/>
      </c>
      <c r="EB30" s="36" t="str">
        <f t="shared" si="51"/>
        <v/>
      </c>
      <c r="EC30" s="37"/>
      <c r="ED30" s="33"/>
      <c r="EE30" s="34"/>
      <c r="EF30" s="35" t="str">
        <f t="shared" si="52"/>
        <v/>
      </c>
      <c r="EG30" s="36" t="str">
        <f t="shared" si="53"/>
        <v/>
      </c>
      <c r="EH30" s="37"/>
      <c r="EI30" s="33"/>
      <c r="EJ30" s="34"/>
      <c r="EK30" s="35" t="str">
        <f t="shared" si="54"/>
        <v/>
      </c>
      <c r="EL30" s="36" t="str">
        <f t="shared" si="55"/>
        <v/>
      </c>
      <c r="EM30" s="37"/>
      <c r="EN30" s="33"/>
      <c r="EO30" s="34"/>
      <c r="EP30" s="35" t="str">
        <f t="shared" si="56"/>
        <v/>
      </c>
      <c r="EQ30" s="36" t="str">
        <f t="shared" si="57"/>
        <v/>
      </c>
      <c r="ER30" s="37"/>
      <c r="ES30" s="33"/>
      <c r="ET30" s="34"/>
      <c r="EU30" s="35" t="str">
        <f t="shared" si="58"/>
        <v/>
      </c>
      <c r="EV30" s="36" t="str">
        <f t="shared" si="59"/>
        <v/>
      </c>
      <c r="EW30" s="37"/>
    </row>
    <row r="31" spans="1:153" ht="19.5" customHeight="1">
      <c r="A31" s="32">
        <f>IF(DAY(DATE(対象年度,10,28))&lt;&gt;28,"",28)</f>
        <v>28</v>
      </c>
      <c r="B31" s="32" t="str">
        <f>IF(DAY(DATE(対象年度,10,28))&lt;&gt;28,"",CHOOSE(WEEKDAY(DATE(対象年度,10,28),2),"月","火","水","木","金","土","日"))</f>
        <v>水</v>
      </c>
      <c r="C31" s="32" t="str">
        <f>IF(DAY(DATE(対象年度,10,28))&lt;&gt;28,"",IF(ISNUMBER(MATCH(DATE(対象年度,10,28),祝日リスト,0)),"祝",""))</f>
        <v/>
      </c>
      <c r="D31" s="33"/>
      <c r="E31" s="34"/>
      <c r="F31" s="35" t="str">
        <f t="shared" si="0"/>
        <v/>
      </c>
      <c r="G31" s="36" t="str">
        <f t="shared" si="1"/>
        <v/>
      </c>
      <c r="H31" s="37"/>
      <c r="I31" s="33"/>
      <c r="J31" s="34"/>
      <c r="K31" s="35" t="str">
        <f t="shared" si="2"/>
        <v/>
      </c>
      <c r="L31" s="36" t="str">
        <f t="shared" si="3"/>
        <v/>
      </c>
      <c r="M31" s="37"/>
      <c r="N31" s="33"/>
      <c r="O31" s="34"/>
      <c r="P31" s="35" t="str">
        <f t="shared" si="4"/>
        <v/>
      </c>
      <c r="Q31" s="36" t="str">
        <f t="shared" si="5"/>
        <v/>
      </c>
      <c r="R31" s="37"/>
      <c r="S31" s="33"/>
      <c r="T31" s="34"/>
      <c r="U31" s="35" t="str">
        <f t="shared" si="6"/>
        <v/>
      </c>
      <c r="V31" s="36" t="str">
        <f t="shared" si="7"/>
        <v/>
      </c>
      <c r="W31" s="37"/>
      <c r="X31" s="33"/>
      <c r="Y31" s="34"/>
      <c r="Z31" s="35" t="str">
        <f t="shared" si="8"/>
        <v/>
      </c>
      <c r="AA31" s="36" t="str">
        <f t="shared" si="9"/>
        <v/>
      </c>
      <c r="AB31" s="37"/>
      <c r="AC31" s="33"/>
      <c r="AD31" s="34"/>
      <c r="AE31" s="35" t="str">
        <f t="shared" si="10"/>
        <v/>
      </c>
      <c r="AF31" s="36" t="str">
        <f t="shared" si="11"/>
        <v/>
      </c>
      <c r="AG31" s="37"/>
      <c r="AH31" s="33"/>
      <c r="AI31" s="34"/>
      <c r="AJ31" s="35" t="str">
        <f t="shared" si="12"/>
        <v/>
      </c>
      <c r="AK31" s="36" t="str">
        <f t="shared" si="13"/>
        <v/>
      </c>
      <c r="AL31" s="37"/>
      <c r="AM31" s="33"/>
      <c r="AN31" s="34"/>
      <c r="AO31" s="35" t="str">
        <f t="shared" si="14"/>
        <v/>
      </c>
      <c r="AP31" s="36" t="str">
        <f t="shared" si="15"/>
        <v/>
      </c>
      <c r="AQ31" s="37"/>
      <c r="AR31" s="33"/>
      <c r="AS31" s="34"/>
      <c r="AT31" s="35" t="str">
        <f t="shared" si="16"/>
        <v/>
      </c>
      <c r="AU31" s="36" t="str">
        <f t="shared" si="17"/>
        <v/>
      </c>
      <c r="AV31" s="37"/>
      <c r="AW31" s="33"/>
      <c r="AX31" s="34"/>
      <c r="AY31" s="35" t="str">
        <f t="shared" si="18"/>
        <v/>
      </c>
      <c r="AZ31" s="36" t="str">
        <f t="shared" si="19"/>
        <v/>
      </c>
      <c r="BA31" s="37"/>
      <c r="BB31" s="33"/>
      <c r="BC31" s="34"/>
      <c r="BD31" s="35" t="str">
        <f t="shared" si="20"/>
        <v/>
      </c>
      <c r="BE31" s="36" t="str">
        <f t="shared" si="21"/>
        <v/>
      </c>
      <c r="BF31" s="37"/>
      <c r="BG31" s="33"/>
      <c r="BH31" s="34"/>
      <c r="BI31" s="35" t="str">
        <f t="shared" si="22"/>
        <v/>
      </c>
      <c r="BJ31" s="36" t="str">
        <f t="shared" si="23"/>
        <v/>
      </c>
      <c r="BK31" s="37"/>
      <c r="BL31" s="33"/>
      <c r="BM31" s="34"/>
      <c r="BN31" s="35" t="str">
        <f t="shared" si="24"/>
        <v/>
      </c>
      <c r="BO31" s="36" t="str">
        <f t="shared" si="25"/>
        <v/>
      </c>
      <c r="BP31" s="37"/>
      <c r="BQ31" s="33"/>
      <c r="BR31" s="34"/>
      <c r="BS31" s="35" t="str">
        <f t="shared" si="26"/>
        <v/>
      </c>
      <c r="BT31" s="36" t="str">
        <f t="shared" si="27"/>
        <v/>
      </c>
      <c r="BU31" s="37"/>
      <c r="BV31" s="33"/>
      <c r="BW31" s="34"/>
      <c r="BX31" s="35" t="str">
        <f t="shared" si="28"/>
        <v/>
      </c>
      <c r="BY31" s="36" t="str">
        <f t="shared" si="29"/>
        <v/>
      </c>
      <c r="BZ31" s="37"/>
      <c r="CA31" s="33"/>
      <c r="CB31" s="34"/>
      <c r="CC31" s="35" t="str">
        <f t="shared" si="30"/>
        <v/>
      </c>
      <c r="CD31" s="36" t="str">
        <f t="shared" si="31"/>
        <v/>
      </c>
      <c r="CE31" s="37"/>
      <c r="CF31" s="33"/>
      <c r="CG31" s="34"/>
      <c r="CH31" s="35" t="str">
        <f t="shared" si="32"/>
        <v/>
      </c>
      <c r="CI31" s="36" t="str">
        <f t="shared" si="33"/>
        <v/>
      </c>
      <c r="CJ31" s="37"/>
      <c r="CK31" s="33"/>
      <c r="CL31" s="34"/>
      <c r="CM31" s="35" t="str">
        <f t="shared" si="34"/>
        <v/>
      </c>
      <c r="CN31" s="36" t="str">
        <f t="shared" si="35"/>
        <v/>
      </c>
      <c r="CO31" s="37"/>
      <c r="CP31" s="33"/>
      <c r="CQ31" s="34"/>
      <c r="CR31" s="35" t="str">
        <f t="shared" si="36"/>
        <v/>
      </c>
      <c r="CS31" s="36" t="str">
        <f t="shared" si="37"/>
        <v/>
      </c>
      <c r="CT31" s="37"/>
      <c r="CU31" s="33"/>
      <c r="CV31" s="34"/>
      <c r="CW31" s="35" t="str">
        <f t="shared" si="38"/>
        <v/>
      </c>
      <c r="CX31" s="36" t="str">
        <f t="shared" si="39"/>
        <v/>
      </c>
      <c r="CY31" s="37"/>
      <c r="CZ31" s="33"/>
      <c r="DA31" s="34"/>
      <c r="DB31" s="35" t="str">
        <f t="shared" si="40"/>
        <v/>
      </c>
      <c r="DC31" s="36" t="str">
        <f t="shared" si="41"/>
        <v/>
      </c>
      <c r="DD31" s="37"/>
      <c r="DE31" s="33"/>
      <c r="DF31" s="34"/>
      <c r="DG31" s="35" t="str">
        <f t="shared" si="42"/>
        <v/>
      </c>
      <c r="DH31" s="36" t="str">
        <f t="shared" si="43"/>
        <v/>
      </c>
      <c r="DI31" s="37"/>
      <c r="DJ31" s="33"/>
      <c r="DK31" s="34"/>
      <c r="DL31" s="35" t="str">
        <f t="shared" si="44"/>
        <v/>
      </c>
      <c r="DM31" s="36" t="str">
        <f t="shared" si="45"/>
        <v/>
      </c>
      <c r="DN31" s="37"/>
      <c r="DO31" s="33"/>
      <c r="DP31" s="34"/>
      <c r="DQ31" s="35" t="str">
        <f t="shared" si="46"/>
        <v/>
      </c>
      <c r="DR31" s="36" t="str">
        <f t="shared" si="47"/>
        <v/>
      </c>
      <c r="DS31" s="37"/>
      <c r="DT31" s="33"/>
      <c r="DU31" s="34"/>
      <c r="DV31" s="35" t="str">
        <f t="shared" si="48"/>
        <v/>
      </c>
      <c r="DW31" s="36" t="str">
        <f t="shared" si="49"/>
        <v/>
      </c>
      <c r="DX31" s="37"/>
      <c r="DY31" s="33"/>
      <c r="DZ31" s="34"/>
      <c r="EA31" s="35" t="str">
        <f t="shared" si="50"/>
        <v/>
      </c>
      <c r="EB31" s="36" t="str">
        <f t="shared" si="51"/>
        <v/>
      </c>
      <c r="EC31" s="37"/>
      <c r="ED31" s="33"/>
      <c r="EE31" s="34"/>
      <c r="EF31" s="35" t="str">
        <f t="shared" si="52"/>
        <v/>
      </c>
      <c r="EG31" s="36" t="str">
        <f t="shared" si="53"/>
        <v/>
      </c>
      <c r="EH31" s="37"/>
      <c r="EI31" s="33"/>
      <c r="EJ31" s="34"/>
      <c r="EK31" s="35" t="str">
        <f t="shared" si="54"/>
        <v/>
      </c>
      <c r="EL31" s="36" t="str">
        <f t="shared" si="55"/>
        <v/>
      </c>
      <c r="EM31" s="37"/>
      <c r="EN31" s="33"/>
      <c r="EO31" s="34"/>
      <c r="EP31" s="35" t="str">
        <f t="shared" si="56"/>
        <v/>
      </c>
      <c r="EQ31" s="36" t="str">
        <f t="shared" si="57"/>
        <v/>
      </c>
      <c r="ER31" s="37"/>
      <c r="ES31" s="33"/>
      <c r="ET31" s="34"/>
      <c r="EU31" s="35" t="str">
        <f t="shared" si="58"/>
        <v/>
      </c>
      <c r="EV31" s="36" t="str">
        <f t="shared" si="59"/>
        <v/>
      </c>
      <c r="EW31" s="37"/>
    </row>
    <row r="32" spans="1:153" ht="19.5" customHeight="1">
      <c r="A32" s="32">
        <f>IF(DAY(DATE(対象年度,10,29))&lt;&gt;29,"",29)</f>
        <v>29</v>
      </c>
      <c r="B32" s="32" t="str">
        <f>IF(DAY(DATE(対象年度,10,29))&lt;&gt;29,"",CHOOSE(WEEKDAY(DATE(対象年度,10,29),2),"月","火","水","木","金","土","日"))</f>
        <v>木</v>
      </c>
      <c r="C32" s="32" t="str">
        <f>IF(DAY(DATE(対象年度,10,29))&lt;&gt;29,"",IF(ISNUMBER(MATCH(DATE(対象年度,10,29),祝日リスト,0)),"祝",""))</f>
        <v/>
      </c>
      <c r="D32" s="33"/>
      <c r="E32" s="34"/>
      <c r="F32" s="35" t="str">
        <f t="shared" si="0"/>
        <v/>
      </c>
      <c r="G32" s="36" t="str">
        <f t="shared" si="1"/>
        <v/>
      </c>
      <c r="H32" s="37"/>
      <c r="I32" s="33"/>
      <c r="J32" s="34"/>
      <c r="K32" s="35" t="str">
        <f t="shared" si="2"/>
        <v/>
      </c>
      <c r="L32" s="36" t="str">
        <f t="shared" si="3"/>
        <v/>
      </c>
      <c r="M32" s="37"/>
      <c r="N32" s="33"/>
      <c r="O32" s="34"/>
      <c r="P32" s="35" t="str">
        <f t="shared" si="4"/>
        <v/>
      </c>
      <c r="Q32" s="36" t="str">
        <f t="shared" si="5"/>
        <v/>
      </c>
      <c r="R32" s="37"/>
      <c r="S32" s="33"/>
      <c r="T32" s="34"/>
      <c r="U32" s="35" t="str">
        <f t="shared" si="6"/>
        <v/>
      </c>
      <c r="V32" s="36" t="str">
        <f t="shared" si="7"/>
        <v/>
      </c>
      <c r="W32" s="37"/>
      <c r="X32" s="33"/>
      <c r="Y32" s="34"/>
      <c r="Z32" s="35" t="str">
        <f t="shared" si="8"/>
        <v/>
      </c>
      <c r="AA32" s="36" t="str">
        <f t="shared" si="9"/>
        <v/>
      </c>
      <c r="AB32" s="37"/>
      <c r="AC32" s="33"/>
      <c r="AD32" s="34"/>
      <c r="AE32" s="35" t="str">
        <f t="shared" si="10"/>
        <v/>
      </c>
      <c r="AF32" s="36" t="str">
        <f t="shared" si="11"/>
        <v/>
      </c>
      <c r="AG32" s="37"/>
      <c r="AH32" s="33"/>
      <c r="AI32" s="34"/>
      <c r="AJ32" s="35" t="str">
        <f t="shared" si="12"/>
        <v/>
      </c>
      <c r="AK32" s="36" t="str">
        <f t="shared" si="13"/>
        <v/>
      </c>
      <c r="AL32" s="37"/>
      <c r="AM32" s="33"/>
      <c r="AN32" s="34"/>
      <c r="AO32" s="35" t="str">
        <f t="shared" si="14"/>
        <v/>
      </c>
      <c r="AP32" s="36" t="str">
        <f t="shared" si="15"/>
        <v/>
      </c>
      <c r="AQ32" s="37"/>
      <c r="AR32" s="33"/>
      <c r="AS32" s="34"/>
      <c r="AT32" s="35" t="str">
        <f t="shared" si="16"/>
        <v/>
      </c>
      <c r="AU32" s="36" t="str">
        <f t="shared" si="17"/>
        <v/>
      </c>
      <c r="AV32" s="37"/>
      <c r="AW32" s="33"/>
      <c r="AX32" s="34"/>
      <c r="AY32" s="35" t="str">
        <f t="shared" si="18"/>
        <v/>
      </c>
      <c r="AZ32" s="36" t="str">
        <f t="shared" si="19"/>
        <v/>
      </c>
      <c r="BA32" s="37"/>
      <c r="BB32" s="33"/>
      <c r="BC32" s="34"/>
      <c r="BD32" s="35" t="str">
        <f t="shared" si="20"/>
        <v/>
      </c>
      <c r="BE32" s="36" t="str">
        <f t="shared" si="21"/>
        <v/>
      </c>
      <c r="BF32" s="37"/>
      <c r="BG32" s="33"/>
      <c r="BH32" s="34"/>
      <c r="BI32" s="35" t="str">
        <f t="shared" si="22"/>
        <v/>
      </c>
      <c r="BJ32" s="36" t="str">
        <f t="shared" si="23"/>
        <v/>
      </c>
      <c r="BK32" s="37"/>
      <c r="BL32" s="33"/>
      <c r="BM32" s="34"/>
      <c r="BN32" s="35" t="str">
        <f t="shared" si="24"/>
        <v/>
      </c>
      <c r="BO32" s="36" t="str">
        <f t="shared" si="25"/>
        <v/>
      </c>
      <c r="BP32" s="37"/>
      <c r="BQ32" s="33"/>
      <c r="BR32" s="34"/>
      <c r="BS32" s="35" t="str">
        <f t="shared" si="26"/>
        <v/>
      </c>
      <c r="BT32" s="36" t="str">
        <f t="shared" si="27"/>
        <v/>
      </c>
      <c r="BU32" s="37"/>
      <c r="BV32" s="33"/>
      <c r="BW32" s="34"/>
      <c r="BX32" s="35" t="str">
        <f t="shared" si="28"/>
        <v/>
      </c>
      <c r="BY32" s="36" t="str">
        <f t="shared" si="29"/>
        <v/>
      </c>
      <c r="BZ32" s="37"/>
      <c r="CA32" s="33"/>
      <c r="CB32" s="34"/>
      <c r="CC32" s="35" t="str">
        <f t="shared" si="30"/>
        <v/>
      </c>
      <c r="CD32" s="36" t="str">
        <f t="shared" si="31"/>
        <v/>
      </c>
      <c r="CE32" s="37"/>
      <c r="CF32" s="33"/>
      <c r="CG32" s="34"/>
      <c r="CH32" s="35" t="str">
        <f t="shared" si="32"/>
        <v/>
      </c>
      <c r="CI32" s="36" t="str">
        <f t="shared" si="33"/>
        <v/>
      </c>
      <c r="CJ32" s="37"/>
      <c r="CK32" s="33"/>
      <c r="CL32" s="34"/>
      <c r="CM32" s="35" t="str">
        <f t="shared" si="34"/>
        <v/>
      </c>
      <c r="CN32" s="36" t="str">
        <f t="shared" si="35"/>
        <v/>
      </c>
      <c r="CO32" s="37"/>
      <c r="CP32" s="33"/>
      <c r="CQ32" s="34"/>
      <c r="CR32" s="35" t="str">
        <f t="shared" si="36"/>
        <v/>
      </c>
      <c r="CS32" s="36" t="str">
        <f t="shared" si="37"/>
        <v/>
      </c>
      <c r="CT32" s="37"/>
      <c r="CU32" s="33"/>
      <c r="CV32" s="34"/>
      <c r="CW32" s="35" t="str">
        <f t="shared" si="38"/>
        <v/>
      </c>
      <c r="CX32" s="36" t="str">
        <f t="shared" si="39"/>
        <v/>
      </c>
      <c r="CY32" s="37"/>
      <c r="CZ32" s="33"/>
      <c r="DA32" s="34"/>
      <c r="DB32" s="35" t="str">
        <f t="shared" si="40"/>
        <v/>
      </c>
      <c r="DC32" s="36" t="str">
        <f t="shared" si="41"/>
        <v/>
      </c>
      <c r="DD32" s="37"/>
      <c r="DE32" s="33"/>
      <c r="DF32" s="34"/>
      <c r="DG32" s="35" t="str">
        <f t="shared" si="42"/>
        <v/>
      </c>
      <c r="DH32" s="36" t="str">
        <f t="shared" si="43"/>
        <v/>
      </c>
      <c r="DI32" s="37"/>
      <c r="DJ32" s="33"/>
      <c r="DK32" s="34"/>
      <c r="DL32" s="35" t="str">
        <f t="shared" si="44"/>
        <v/>
      </c>
      <c r="DM32" s="36" t="str">
        <f t="shared" si="45"/>
        <v/>
      </c>
      <c r="DN32" s="37"/>
      <c r="DO32" s="33"/>
      <c r="DP32" s="34"/>
      <c r="DQ32" s="35" t="str">
        <f t="shared" si="46"/>
        <v/>
      </c>
      <c r="DR32" s="36" t="str">
        <f t="shared" si="47"/>
        <v/>
      </c>
      <c r="DS32" s="37"/>
      <c r="DT32" s="33"/>
      <c r="DU32" s="34"/>
      <c r="DV32" s="35" t="str">
        <f t="shared" si="48"/>
        <v/>
      </c>
      <c r="DW32" s="36" t="str">
        <f t="shared" si="49"/>
        <v/>
      </c>
      <c r="DX32" s="37"/>
      <c r="DY32" s="33"/>
      <c r="DZ32" s="34"/>
      <c r="EA32" s="35" t="str">
        <f t="shared" si="50"/>
        <v/>
      </c>
      <c r="EB32" s="36" t="str">
        <f t="shared" si="51"/>
        <v/>
      </c>
      <c r="EC32" s="37"/>
      <c r="ED32" s="33"/>
      <c r="EE32" s="34"/>
      <c r="EF32" s="35" t="str">
        <f t="shared" si="52"/>
        <v/>
      </c>
      <c r="EG32" s="36" t="str">
        <f t="shared" si="53"/>
        <v/>
      </c>
      <c r="EH32" s="37"/>
      <c r="EI32" s="33"/>
      <c r="EJ32" s="34"/>
      <c r="EK32" s="35" t="str">
        <f t="shared" si="54"/>
        <v/>
      </c>
      <c r="EL32" s="36" t="str">
        <f t="shared" si="55"/>
        <v/>
      </c>
      <c r="EM32" s="37"/>
      <c r="EN32" s="33"/>
      <c r="EO32" s="34"/>
      <c r="EP32" s="35" t="str">
        <f t="shared" si="56"/>
        <v/>
      </c>
      <c r="EQ32" s="36" t="str">
        <f t="shared" si="57"/>
        <v/>
      </c>
      <c r="ER32" s="37"/>
      <c r="ES32" s="33"/>
      <c r="ET32" s="34"/>
      <c r="EU32" s="35" t="str">
        <f t="shared" si="58"/>
        <v/>
      </c>
      <c r="EV32" s="36" t="str">
        <f t="shared" si="59"/>
        <v/>
      </c>
      <c r="EW32" s="37"/>
    </row>
    <row r="33" spans="1:153" ht="19.5" customHeight="1">
      <c r="A33" s="32">
        <f>IF(DAY(DATE(対象年度,10,30))&lt;&gt;30,"",30)</f>
        <v>30</v>
      </c>
      <c r="B33" s="32" t="str">
        <f>IF(DAY(DATE(対象年度,10,30))&lt;&gt;30,"",CHOOSE(WEEKDAY(DATE(対象年度,10,30),2),"月","火","水","木","金","土","日"))</f>
        <v>金</v>
      </c>
      <c r="C33" s="32" t="str">
        <f>IF(DAY(DATE(対象年度,10,30))&lt;&gt;30,"",IF(ISNUMBER(MATCH(DATE(対象年度,10,30),祝日リスト,0)),"祝",""))</f>
        <v/>
      </c>
      <c r="D33" s="33"/>
      <c r="E33" s="34"/>
      <c r="F33" s="35" t="str">
        <f t="shared" si="0"/>
        <v/>
      </c>
      <c r="G33" s="36" t="str">
        <f t="shared" si="1"/>
        <v/>
      </c>
      <c r="H33" s="37"/>
      <c r="I33" s="33"/>
      <c r="J33" s="34"/>
      <c r="K33" s="35" t="str">
        <f t="shared" si="2"/>
        <v/>
      </c>
      <c r="L33" s="36" t="str">
        <f t="shared" si="3"/>
        <v/>
      </c>
      <c r="M33" s="37"/>
      <c r="N33" s="33"/>
      <c r="O33" s="34"/>
      <c r="P33" s="35" t="str">
        <f t="shared" si="4"/>
        <v/>
      </c>
      <c r="Q33" s="36" t="str">
        <f t="shared" si="5"/>
        <v/>
      </c>
      <c r="R33" s="37"/>
      <c r="S33" s="33"/>
      <c r="T33" s="34"/>
      <c r="U33" s="35" t="str">
        <f t="shared" si="6"/>
        <v/>
      </c>
      <c r="V33" s="36" t="str">
        <f t="shared" si="7"/>
        <v/>
      </c>
      <c r="W33" s="37"/>
      <c r="X33" s="33"/>
      <c r="Y33" s="34"/>
      <c r="Z33" s="35" t="str">
        <f t="shared" si="8"/>
        <v/>
      </c>
      <c r="AA33" s="36" t="str">
        <f t="shared" si="9"/>
        <v/>
      </c>
      <c r="AB33" s="37"/>
      <c r="AC33" s="33"/>
      <c r="AD33" s="34"/>
      <c r="AE33" s="35" t="str">
        <f t="shared" si="10"/>
        <v/>
      </c>
      <c r="AF33" s="36" t="str">
        <f t="shared" si="11"/>
        <v/>
      </c>
      <c r="AG33" s="37"/>
      <c r="AH33" s="33"/>
      <c r="AI33" s="34"/>
      <c r="AJ33" s="35" t="str">
        <f t="shared" si="12"/>
        <v/>
      </c>
      <c r="AK33" s="36" t="str">
        <f t="shared" si="13"/>
        <v/>
      </c>
      <c r="AL33" s="37"/>
      <c r="AM33" s="33"/>
      <c r="AN33" s="34"/>
      <c r="AO33" s="35" t="str">
        <f t="shared" si="14"/>
        <v/>
      </c>
      <c r="AP33" s="36" t="str">
        <f t="shared" si="15"/>
        <v/>
      </c>
      <c r="AQ33" s="37"/>
      <c r="AR33" s="33"/>
      <c r="AS33" s="34"/>
      <c r="AT33" s="35" t="str">
        <f t="shared" si="16"/>
        <v/>
      </c>
      <c r="AU33" s="36" t="str">
        <f t="shared" si="17"/>
        <v/>
      </c>
      <c r="AV33" s="37"/>
      <c r="AW33" s="33"/>
      <c r="AX33" s="34"/>
      <c r="AY33" s="35" t="str">
        <f t="shared" si="18"/>
        <v/>
      </c>
      <c r="AZ33" s="36" t="str">
        <f t="shared" si="19"/>
        <v/>
      </c>
      <c r="BA33" s="37"/>
      <c r="BB33" s="33"/>
      <c r="BC33" s="34"/>
      <c r="BD33" s="35" t="str">
        <f t="shared" si="20"/>
        <v/>
      </c>
      <c r="BE33" s="36" t="str">
        <f t="shared" si="21"/>
        <v/>
      </c>
      <c r="BF33" s="37"/>
      <c r="BG33" s="33"/>
      <c r="BH33" s="34"/>
      <c r="BI33" s="35" t="str">
        <f t="shared" si="22"/>
        <v/>
      </c>
      <c r="BJ33" s="36" t="str">
        <f t="shared" si="23"/>
        <v/>
      </c>
      <c r="BK33" s="37"/>
      <c r="BL33" s="33"/>
      <c r="BM33" s="34"/>
      <c r="BN33" s="35" t="str">
        <f t="shared" si="24"/>
        <v/>
      </c>
      <c r="BO33" s="36" t="str">
        <f t="shared" si="25"/>
        <v/>
      </c>
      <c r="BP33" s="37"/>
      <c r="BQ33" s="33"/>
      <c r="BR33" s="34"/>
      <c r="BS33" s="35" t="str">
        <f t="shared" si="26"/>
        <v/>
      </c>
      <c r="BT33" s="36" t="str">
        <f t="shared" si="27"/>
        <v/>
      </c>
      <c r="BU33" s="37"/>
      <c r="BV33" s="33"/>
      <c r="BW33" s="34"/>
      <c r="BX33" s="35" t="str">
        <f t="shared" si="28"/>
        <v/>
      </c>
      <c r="BY33" s="36" t="str">
        <f t="shared" si="29"/>
        <v/>
      </c>
      <c r="BZ33" s="37"/>
      <c r="CA33" s="33"/>
      <c r="CB33" s="34"/>
      <c r="CC33" s="35" t="str">
        <f t="shared" si="30"/>
        <v/>
      </c>
      <c r="CD33" s="36" t="str">
        <f t="shared" si="31"/>
        <v/>
      </c>
      <c r="CE33" s="37"/>
      <c r="CF33" s="33"/>
      <c r="CG33" s="34"/>
      <c r="CH33" s="35" t="str">
        <f t="shared" si="32"/>
        <v/>
      </c>
      <c r="CI33" s="36" t="str">
        <f t="shared" si="33"/>
        <v/>
      </c>
      <c r="CJ33" s="37"/>
      <c r="CK33" s="33"/>
      <c r="CL33" s="34"/>
      <c r="CM33" s="35" t="str">
        <f t="shared" si="34"/>
        <v/>
      </c>
      <c r="CN33" s="36" t="str">
        <f t="shared" si="35"/>
        <v/>
      </c>
      <c r="CO33" s="37"/>
      <c r="CP33" s="33"/>
      <c r="CQ33" s="34"/>
      <c r="CR33" s="35" t="str">
        <f t="shared" si="36"/>
        <v/>
      </c>
      <c r="CS33" s="36" t="str">
        <f t="shared" si="37"/>
        <v/>
      </c>
      <c r="CT33" s="37"/>
      <c r="CU33" s="33"/>
      <c r="CV33" s="34"/>
      <c r="CW33" s="35" t="str">
        <f t="shared" si="38"/>
        <v/>
      </c>
      <c r="CX33" s="36" t="str">
        <f t="shared" si="39"/>
        <v/>
      </c>
      <c r="CY33" s="37"/>
      <c r="CZ33" s="33"/>
      <c r="DA33" s="34"/>
      <c r="DB33" s="35" t="str">
        <f t="shared" si="40"/>
        <v/>
      </c>
      <c r="DC33" s="36" t="str">
        <f t="shared" si="41"/>
        <v/>
      </c>
      <c r="DD33" s="37"/>
      <c r="DE33" s="33"/>
      <c r="DF33" s="34"/>
      <c r="DG33" s="35" t="str">
        <f t="shared" si="42"/>
        <v/>
      </c>
      <c r="DH33" s="36" t="str">
        <f t="shared" si="43"/>
        <v/>
      </c>
      <c r="DI33" s="37"/>
      <c r="DJ33" s="33"/>
      <c r="DK33" s="34"/>
      <c r="DL33" s="35" t="str">
        <f t="shared" si="44"/>
        <v/>
      </c>
      <c r="DM33" s="36" t="str">
        <f t="shared" si="45"/>
        <v/>
      </c>
      <c r="DN33" s="37"/>
      <c r="DO33" s="33"/>
      <c r="DP33" s="34"/>
      <c r="DQ33" s="35" t="str">
        <f t="shared" si="46"/>
        <v/>
      </c>
      <c r="DR33" s="36" t="str">
        <f t="shared" si="47"/>
        <v/>
      </c>
      <c r="DS33" s="37"/>
      <c r="DT33" s="33"/>
      <c r="DU33" s="34"/>
      <c r="DV33" s="35" t="str">
        <f t="shared" si="48"/>
        <v/>
      </c>
      <c r="DW33" s="36" t="str">
        <f t="shared" si="49"/>
        <v/>
      </c>
      <c r="DX33" s="37"/>
      <c r="DY33" s="33"/>
      <c r="DZ33" s="34"/>
      <c r="EA33" s="35" t="str">
        <f t="shared" si="50"/>
        <v/>
      </c>
      <c r="EB33" s="36" t="str">
        <f t="shared" si="51"/>
        <v/>
      </c>
      <c r="EC33" s="37"/>
      <c r="ED33" s="33"/>
      <c r="EE33" s="34"/>
      <c r="EF33" s="35" t="str">
        <f t="shared" si="52"/>
        <v/>
      </c>
      <c r="EG33" s="36" t="str">
        <f t="shared" si="53"/>
        <v/>
      </c>
      <c r="EH33" s="37"/>
      <c r="EI33" s="33"/>
      <c r="EJ33" s="34"/>
      <c r="EK33" s="35" t="str">
        <f t="shared" si="54"/>
        <v/>
      </c>
      <c r="EL33" s="36" t="str">
        <f t="shared" si="55"/>
        <v/>
      </c>
      <c r="EM33" s="37"/>
      <c r="EN33" s="33"/>
      <c r="EO33" s="34"/>
      <c r="EP33" s="35" t="str">
        <f t="shared" si="56"/>
        <v/>
      </c>
      <c r="EQ33" s="36" t="str">
        <f t="shared" si="57"/>
        <v/>
      </c>
      <c r="ER33" s="37"/>
      <c r="ES33" s="33"/>
      <c r="ET33" s="34"/>
      <c r="EU33" s="35" t="str">
        <f t="shared" si="58"/>
        <v/>
      </c>
      <c r="EV33" s="36" t="str">
        <f t="shared" si="59"/>
        <v/>
      </c>
      <c r="EW33" s="37"/>
    </row>
    <row r="34" spans="1:153" ht="19.5" customHeight="1">
      <c r="A34" s="39">
        <f>IF(DAY(DATE(対象年度,10,31))&lt;&gt;31,"",31)</f>
        <v>31</v>
      </c>
      <c r="B34" s="39" t="str">
        <f>IF(DAY(DATE(対象年度,10,31))&lt;&gt;31,"",CHOOSE(WEEKDAY(DATE(対象年度,10,31),2),"月","火","水","木","金","土","日"))</f>
        <v>土</v>
      </c>
      <c r="C34" s="39" t="str">
        <f>IF(DAY(DATE(対象年度,10,31))&lt;&gt;31,"",IF(ISNUMBER(MATCH(DATE(対象年度,10,31),祝日リスト,0)),"祝",""))</f>
        <v/>
      </c>
      <c r="D34" s="40"/>
      <c r="E34" s="41"/>
      <c r="F34" s="42" t="str">
        <f t="shared" si="0"/>
        <v/>
      </c>
      <c r="G34" s="43" t="str">
        <f t="shared" si="1"/>
        <v/>
      </c>
      <c r="H34" s="44"/>
      <c r="I34" s="40"/>
      <c r="J34" s="41"/>
      <c r="K34" s="42" t="str">
        <f t="shared" si="2"/>
        <v/>
      </c>
      <c r="L34" s="43" t="str">
        <f t="shared" si="3"/>
        <v/>
      </c>
      <c r="M34" s="44"/>
      <c r="N34" s="40"/>
      <c r="O34" s="41"/>
      <c r="P34" s="42" t="str">
        <f t="shared" si="4"/>
        <v/>
      </c>
      <c r="Q34" s="43" t="str">
        <f t="shared" si="5"/>
        <v/>
      </c>
      <c r="R34" s="44"/>
      <c r="S34" s="40"/>
      <c r="T34" s="41"/>
      <c r="U34" s="42" t="str">
        <f t="shared" si="6"/>
        <v/>
      </c>
      <c r="V34" s="43" t="str">
        <f t="shared" si="7"/>
        <v/>
      </c>
      <c r="W34" s="44"/>
      <c r="X34" s="40"/>
      <c r="Y34" s="41"/>
      <c r="Z34" s="42" t="str">
        <f t="shared" si="8"/>
        <v/>
      </c>
      <c r="AA34" s="43" t="str">
        <f t="shared" si="9"/>
        <v/>
      </c>
      <c r="AB34" s="44"/>
      <c r="AC34" s="40"/>
      <c r="AD34" s="41"/>
      <c r="AE34" s="42" t="str">
        <f t="shared" si="10"/>
        <v/>
      </c>
      <c r="AF34" s="43" t="str">
        <f t="shared" si="11"/>
        <v/>
      </c>
      <c r="AG34" s="44"/>
      <c r="AH34" s="40"/>
      <c r="AI34" s="41"/>
      <c r="AJ34" s="42" t="str">
        <f t="shared" si="12"/>
        <v/>
      </c>
      <c r="AK34" s="43" t="str">
        <f t="shared" si="13"/>
        <v/>
      </c>
      <c r="AL34" s="44"/>
      <c r="AM34" s="40"/>
      <c r="AN34" s="41"/>
      <c r="AO34" s="42" t="str">
        <f t="shared" si="14"/>
        <v/>
      </c>
      <c r="AP34" s="43" t="str">
        <f t="shared" si="15"/>
        <v/>
      </c>
      <c r="AQ34" s="44"/>
      <c r="AR34" s="40"/>
      <c r="AS34" s="41"/>
      <c r="AT34" s="42" t="str">
        <f t="shared" si="16"/>
        <v/>
      </c>
      <c r="AU34" s="43" t="str">
        <f t="shared" si="17"/>
        <v/>
      </c>
      <c r="AV34" s="44"/>
      <c r="AW34" s="40"/>
      <c r="AX34" s="41"/>
      <c r="AY34" s="42" t="str">
        <f t="shared" si="18"/>
        <v/>
      </c>
      <c r="AZ34" s="43" t="str">
        <f t="shared" si="19"/>
        <v/>
      </c>
      <c r="BA34" s="44"/>
      <c r="BB34" s="40"/>
      <c r="BC34" s="41"/>
      <c r="BD34" s="42" t="str">
        <f t="shared" si="20"/>
        <v/>
      </c>
      <c r="BE34" s="43" t="str">
        <f t="shared" si="21"/>
        <v/>
      </c>
      <c r="BF34" s="44"/>
      <c r="BG34" s="40"/>
      <c r="BH34" s="41"/>
      <c r="BI34" s="42" t="str">
        <f t="shared" si="22"/>
        <v/>
      </c>
      <c r="BJ34" s="43" t="str">
        <f t="shared" si="23"/>
        <v/>
      </c>
      <c r="BK34" s="44"/>
      <c r="BL34" s="40"/>
      <c r="BM34" s="41"/>
      <c r="BN34" s="42" t="str">
        <f t="shared" si="24"/>
        <v/>
      </c>
      <c r="BO34" s="43" t="str">
        <f t="shared" si="25"/>
        <v/>
      </c>
      <c r="BP34" s="44"/>
      <c r="BQ34" s="40"/>
      <c r="BR34" s="41"/>
      <c r="BS34" s="42" t="str">
        <f t="shared" si="26"/>
        <v/>
      </c>
      <c r="BT34" s="43" t="str">
        <f t="shared" si="27"/>
        <v/>
      </c>
      <c r="BU34" s="44"/>
      <c r="BV34" s="40"/>
      <c r="BW34" s="41"/>
      <c r="BX34" s="42" t="str">
        <f t="shared" si="28"/>
        <v/>
      </c>
      <c r="BY34" s="43" t="str">
        <f t="shared" si="29"/>
        <v/>
      </c>
      <c r="BZ34" s="44"/>
      <c r="CA34" s="40"/>
      <c r="CB34" s="41"/>
      <c r="CC34" s="42" t="str">
        <f t="shared" si="30"/>
        <v/>
      </c>
      <c r="CD34" s="43" t="str">
        <f t="shared" si="31"/>
        <v/>
      </c>
      <c r="CE34" s="44"/>
      <c r="CF34" s="40"/>
      <c r="CG34" s="41"/>
      <c r="CH34" s="42" t="str">
        <f t="shared" si="32"/>
        <v/>
      </c>
      <c r="CI34" s="43" t="str">
        <f t="shared" si="33"/>
        <v/>
      </c>
      <c r="CJ34" s="44"/>
      <c r="CK34" s="40"/>
      <c r="CL34" s="41"/>
      <c r="CM34" s="42" t="str">
        <f t="shared" si="34"/>
        <v/>
      </c>
      <c r="CN34" s="43" t="str">
        <f t="shared" si="35"/>
        <v/>
      </c>
      <c r="CO34" s="44"/>
      <c r="CP34" s="40"/>
      <c r="CQ34" s="41"/>
      <c r="CR34" s="42" t="str">
        <f t="shared" si="36"/>
        <v/>
      </c>
      <c r="CS34" s="43" t="str">
        <f t="shared" si="37"/>
        <v/>
      </c>
      <c r="CT34" s="44"/>
      <c r="CU34" s="40"/>
      <c r="CV34" s="41"/>
      <c r="CW34" s="42" t="str">
        <f t="shared" si="38"/>
        <v/>
      </c>
      <c r="CX34" s="43" t="str">
        <f t="shared" si="39"/>
        <v/>
      </c>
      <c r="CY34" s="44"/>
      <c r="CZ34" s="40"/>
      <c r="DA34" s="41"/>
      <c r="DB34" s="42" t="str">
        <f t="shared" si="40"/>
        <v/>
      </c>
      <c r="DC34" s="43" t="str">
        <f t="shared" si="41"/>
        <v/>
      </c>
      <c r="DD34" s="44"/>
      <c r="DE34" s="40"/>
      <c r="DF34" s="41"/>
      <c r="DG34" s="42" t="str">
        <f t="shared" si="42"/>
        <v/>
      </c>
      <c r="DH34" s="43" t="str">
        <f t="shared" si="43"/>
        <v/>
      </c>
      <c r="DI34" s="44"/>
      <c r="DJ34" s="40"/>
      <c r="DK34" s="41"/>
      <c r="DL34" s="42" t="str">
        <f t="shared" si="44"/>
        <v/>
      </c>
      <c r="DM34" s="43" t="str">
        <f t="shared" si="45"/>
        <v/>
      </c>
      <c r="DN34" s="44"/>
      <c r="DO34" s="40"/>
      <c r="DP34" s="41"/>
      <c r="DQ34" s="42" t="str">
        <f t="shared" si="46"/>
        <v/>
      </c>
      <c r="DR34" s="43" t="str">
        <f t="shared" si="47"/>
        <v/>
      </c>
      <c r="DS34" s="44"/>
      <c r="DT34" s="40"/>
      <c r="DU34" s="41"/>
      <c r="DV34" s="42" t="str">
        <f t="shared" si="48"/>
        <v/>
      </c>
      <c r="DW34" s="43" t="str">
        <f t="shared" si="49"/>
        <v/>
      </c>
      <c r="DX34" s="44"/>
      <c r="DY34" s="40"/>
      <c r="DZ34" s="41"/>
      <c r="EA34" s="42" t="str">
        <f t="shared" si="50"/>
        <v/>
      </c>
      <c r="EB34" s="43" t="str">
        <f t="shared" si="51"/>
        <v/>
      </c>
      <c r="EC34" s="44"/>
      <c r="ED34" s="40"/>
      <c r="EE34" s="41"/>
      <c r="EF34" s="42" t="str">
        <f t="shared" si="52"/>
        <v/>
      </c>
      <c r="EG34" s="43" t="str">
        <f t="shared" si="53"/>
        <v/>
      </c>
      <c r="EH34" s="44"/>
      <c r="EI34" s="40"/>
      <c r="EJ34" s="41"/>
      <c r="EK34" s="42" t="str">
        <f t="shared" si="54"/>
        <v/>
      </c>
      <c r="EL34" s="43" t="str">
        <f t="shared" si="55"/>
        <v/>
      </c>
      <c r="EM34" s="44"/>
      <c r="EN34" s="40"/>
      <c r="EO34" s="41"/>
      <c r="EP34" s="42" t="str">
        <f t="shared" si="56"/>
        <v/>
      </c>
      <c r="EQ34" s="43" t="str">
        <f t="shared" si="57"/>
        <v/>
      </c>
      <c r="ER34" s="44"/>
      <c r="ES34" s="40"/>
      <c r="ET34" s="41"/>
      <c r="EU34" s="42" t="str">
        <f t="shared" si="58"/>
        <v/>
      </c>
      <c r="EV34" s="43" t="str">
        <f t="shared" si="59"/>
        <v/>
      </c>
      <c r="EW34" s="44"/>
    </row>
    <row r="35" spans="1:153" ht="21.75" customHeight="1">
      <c r="A35" s="98" t="s">
        <v>120</v>
      </c>
      <c r="B35" s="98"/>
      <c r="C35" s="98"/>
      <c r="D35" s="99">
        <f>COUNTIF(F4:F34,"○")</f>
        <v>0</v>
      </c>
      <c r="E35" s="99"/>
      <c r="F35" s="99"/>
      <c r="G35" s="99"/>
      <c r="H35" s="99"/>
      <c r="I35" s="99">
        <f>COUNTIF(K4:K34,"○")</f>
        <v>0</v>
      </c>
      <c r="J35" s="99"/>
      <c r="K35" s="99"/>
      <c r="L35" s="99"/>
      <c r="M35" s="99"/>
      <c r="N35" s="99">
        <f>COUNTIF(P4:P34,"○")</f>
        <v>0</v>
      </c>
      <c r="O35" s="99"/>
      <c r="P35" s="99"/>
      <c r="Q35" s="99"/>
      <c r="R35" s="99"/>
      <c r="S35" s="99">
        <f>COUNTIF(U4:U34,"○")</f>
        <v>0</v>
      </c>
      <c r="T35" s="99"/>
      <c r="U35" s="99"/>
      <c r="V35" s="99"/>
      <c r="W35" s="99"/>
      <c r="X35" s="99">
        <f>COUNTIF(Z4:Z34,"○")</f>
        <v>0</v>
      </c>
      <c r="Y35" s="99"/>
      <c r="Z35" s="99"/>
      <c r="AA35" s="99"/>
      <c r="AB35" s="99"/>
      <c r="AC35" s="99">
        <f>COUNTIF(AE4:AE34,"○")</f>
        <v>0</v>
      </c>
      <c r="AD35" s="99"/>
      <c r="AE35" s="99"/>
      <c r="AF35" s="99"/>
      <c r="AG35" s="99"/>
      <c r="AH35" s="99">
        <f>COUNTIF(AJ4:AJ34,"○")</f>
        <v>0</v>
      </c>
      <c r="AI35" s="99"/>
      <c r="AJ35" s="99"/>
      <c r="AK35" s="99"/>
      <c r="AL35" s="99"/>
      <c r="AM35" s="99">
        <f>COUNTIF(AO4:AO34,"○")</f>
        <v>0</v>
      </c>
      <c r="AN35" s="99"/>
      <c r="AO35" s="99"/>
      <c r="AP35" s="99"/>
      <c r="AQ35" s="99"/>
      <c r="AR35" s="99">
        <f>COUNTIF(AT4:AT34,"○")</f>
        <v>0</v>
      </c>
      <c r="AS35" s="99"/>
      <c r="AT35" s="99"/>
      <c r="AU35" s="99"/>
      <c r="AV35" s="99"/>
      <c r="AW35" s="99">
        <f>COUNTIF(AY4:AY34,"○")</f>
        <v>0</v>
      </c>
      <c r="AX35" s="99"/>
      <c r="AY35" s="99"/>
      <c r="AZ35" s="99"/>
      <c r="BA35" s="99"/>
      <c r="BB35" s="99">
        <f>COUNTIF(BD4:BD34,"○")</f>
        <v>0</v>
      </c>
      <c r="BC35" s="99"/>
      <c r="BD35" s="99"/>
      <c r="BE35" s="99"/>
      <c r="BF35" s="99"/>
      <c r="BG35" s="99">
        <f>COUNTIF(BI4:BI34,"○")</f>
        <v>0</v>
      </c>
      <c r="BH35" s="99"/>
      <c r="BI35" s="99"/>
      <c r="BJ35" s="99"/>
      <c r="BK35" s="99"/>
      <c r="BL35" s="99">
        <f>COUNTIF(BN4:BN34,"○")</f>
        <v>0</v>
      </c>
      <c r="BM35" s="99"/>
      <c r="BN35" s="99"/>
      <c r="BO35" s="99"/>
      <c r="BP35" s="99"/>
      <c r="BQ35" s="99">
        <f>COUNTIF(BS4:BS34,"○")</f>
        <v>0</v>
      </c>
      <c r="BR35" s="99"/>
      <c r="BS35" s="99"/>
      <c r="BT35" s="99"/>
      <c r="BU35" s="99"/>
      <c r="BV35" s="99">
        <f>COUNTIF(BX4:BX34,"○")</f>
        <v>0</v>
      </c>
      <c r="BW35" s="99"/>
      <c r="BX35" s="99"/>
      <c r="BY35" s="99"/>
      <c r="BZ35" s="99"/>
      <c r="CA35" s="99">
        <f>COUNTIF(CC4:CC34,"○")</f>
        <v>0</v>
      </c>
      <c r="CB35" s="99"/>
      <c r="CC35" s="99"/>
      <c r="CD35" s="99"/>
      <c r="CE35" s="99"/>
      <c r="CF35" s="99">
        <f>COUNTIF(CH4:CH34,"○")</f>
        <v>0</v>
      </c>
      <c r="CG35" s="99"/>
      <c r="CH35" s="99"/>
      <c r="CI35" s="99"/>
      <c r="CJ35" s="99"/>
      <c r="CK35" s="99">
        <f>COUNTIF(CM4:CM34,"○")</f>
        <v>0</v>
      </c>
      <c r="CL35" s="99"/>
      <c r="CM35" s="99"/>
      <c r="CN35" s="99"/>
      <c r="CO35" s="99"/>
      <c r="CP35" s="99">
        <f>COUNTIF(CR4:CR34,"○")</f>
        <v>0</v>
      </c>
      <c r="CQ35" s="99"/>
      <c r="CR35" s="99"/>
      <c r="CS35" s="99"/>
      <c r="CT35" s="99"/>
      <c r="CU35" s="99">
        <f>COUNTIF(CW4:CW34,"○")</f>
        <v>0</v>
      </c>
      <c r="CV35" s="99"/>
      <c r="CW35" s="99"/>
      <c r="CX35" s="99"/>
      <c r="CY35" s="99"/>
      <c r="CZ35" s="99">
        <f>COUNTIF(DB4:DB34,"○")</f>
        <v>0</v>
      </c>
      <c r="DA35" s="99"/>
      <c r="DB35" s="99"/>
      <c r="DC35" s="99"/>
      <c r="DD35" s="99"/>
      <c r="DE35" s="99">
        <f>COUNTIF(DG4:DG34,"○")</f>
        <v>0</v>
      </c>
      <c r="DF35" s="99"/>
      <c r="DG35" s="99"/>
      <c r="DH35" s="99"/>
      <c r="DI35" s="99"/>
      <c r="DJ35" s="99">
        <f>COUNTIF(DL4:DL34,"○")</f>
        <v>0</v>
      </c>
      <c r="DK35" s="99"/>
      <c r="DL35" s="99"/>
      <c r="DM35" s="99"/>
      <c r="DN35" s="99"/>
      <c r="DO35" s="99">
        <f>COUNTIF(DQ4:DQ34,"○")</f>
        <v>0</v>
      </c>
      <c r="DP35" s="99"/>
      <c r="DQ35" s="99"/>
      <c r="DR35" s="99"/>
      <c r="DS35" s="99"/>
      <c r="DT35" s="99">
        <f>COUNTIF(DV4:DV34,"○")</f>
        <v>0</v>
      </c>
      <c r="DU35" s="99"/>
      <c r="DV35" s="99"/>
      <c r="DW35" s="99"/>
      <c r="DX35" s="99"/>
      <c r="DY35" s="99">
        <f>COUNTIF(EA4:EA34,"○")</f>
        <v>0</v>
      </c>
      <c r="DZ35" s="99"/>
      <c r="EA35" s="99"/>
      <c r="EB35" s="99"/>
      <c r="EC35" s="99"/>
      <c r="ED35" s="99">
        <f>COUNTIF(EF4:EF34,"○")</f>
        <v>0</v>
      </c>
      <c r="EE35" s="99"/>
      <c r="EF35" s="99"/>
      <c r="EG35" s="99"/>
      <c r="EH35" s="99"/>
      <c r="EI35" s="99">
        <f>COUNTIF(EK4:EK34,"○")</f>
        <v>0</v>
      </c>
      <c r="EJ35" s="99"/>
      <c r="EK35" s="99"/>
      <c r="EL35" s="99"/>
      <c r="EM35" s="99"/>
      <c r="EN35" s="99">
        <f>COUNTIF(EP4:EP34,"○")</f>
        <v>0</v>
      </c>
      <c r="EO35" s="99"/>
      <c r="EP35" s="99"/>
      <c r="EQ35" s="99"/>
      <c r="ER35" s="99"/>
      <c r="ES35" s="99">
        <f>COUNTIF(EU4:EU34,"○")</f>
        <v>0</v>
      </c>
      <c r="ET35" s="99"/>
      <c r="EU35" s="99"/>
      <c r="EV35" s="99"/>
      <c r="EW35" s="99"/>
    </row>
    <row r="36" spans="1:153" ht="21.75" customHeight="1">
      <c r="A36" s="100" t="s">
        <v>121</v>
      </c>
      <c r="B36" s="100"/>
      <c r="C36" s="100"/>
      <c r="D36" s="101">
        <f>COUNTIF(G4:G34,"○")</f>
        <v>0</v>
      </c>
      <c r="E36" s="101"/>
      <c r="F36" s="101"/>
      <c r="G36" s="101"/>
      <c r="H36" s="101"/>
      <c r="I36" s="101">
        <f>COUNTIF(L4:L34,"○")</f>
        <v>0</v>
      </c>
      <c r="J36" s="101"/>
      <c r="K36" s="101"/>
      <c r="L36" s="101"/>
      <c r="M36" s="101"/>
      <c r="N36" s="101">
        <f>COUNTIF(Q4:Q34,"○")</f>
        <v>0</v>
      </c>
      <c r="O36" s="101"/>
      <c r="P36" s="101"/>
      <c r="Q36" s="101"/>
      <c r="R36" s="101"/>
      <c r="S36" s="101">
        <f>COUNTIF(V4:V34,"○")</f>
        <v>0</v>
      </c>
      <c r="T36" s="101"/>
      <c r="U36" s="101"/>
      <c r="V36" s="101"/>
      <c r="W36" s="101"/>
      <c r="X36" s="101">
        <f>COUNTIF(AA4:AA34,"○")</f>
        <v>0</v>
      </c>
      <c r="Y36" s="101"/>
      <c r="Z36" s="101"/>
      <c r="AA36" s="101"/>
      <c r="AB36" s="101"/>
      <c r="AC36" s="101">
        <f>COUNTIF(AF4:AF34,"○")</f>
        <v>0</v>
      </c>
      <c r="AD36" s="101"/>
      <c r="AE36" s="101"/>
      <c r="AF36" s="101"/>
      <c r="AG36" s="101"/>
      <c r="AH36" s="101">
        <f>COUNTIF(AK4:AK34,"○")</f>
        <v>0</v>
      </c>
      <c r="AI36" s="101"/>
      <c r="AJ36" s="101"/>
      <c r="AK36" s="101"/>
      <c r="AL36" s="101"/>
      <c r="AM36" s="101">
        <f>COUNTIF(AP4:AP34,"○")</f>
        <v>0</v>
      </c>
      <c r="AN36" s="101"/>
      <c r="AO36" s="101"/>
      <c r="AP36" s="101"/>
      <c r="AQ36" s="101"/>
      <c r="AR36" s="101">
        <f>COUNTIF(AU4:AU34,"○")</f>
        <v>0</v>
      </c>
      <c r="AS36" s="101"/>
      <c r="AT36" s="101"/>
      <c r="AU36" s="101"/>
      <c r="AV36" s="101"/>
      <c r="AW36" s="101">
        <f>COUNTIF(AZ4:AZ34,"○")</f>
        <v>0</v>
      </c>
      <c r="AX36" s="101"/>
      <c r="AY36" s="101"/>
      <c r="AZ36" s="101"/>
      <c r="BA36" s="101"/>
      <c r="BB36" s="101">
        <f>COUNTIF(BE4:BE34,"○")</f>
        <v>0</v>
      </c>
      <c r="BC36" s="101"/>
      <c r="BD36" s="101"/>
      <c r="BE36" s="101"/>
      <c r="BF36" s="101"/>
      <c r="BG36" s="101">
        <f>COUNTIF(BJ4:BJ34,"○")</f>
        <v>0</v>
      </c>
      <c r="BH36" s="101"/>
      <c r="BI36" s="101"/>
      <c r="BJ36" s="101"/>
      <c r="BK36" s="101"/>
      <c r="BL36" s="101">
        <f>COUNTIF(BO4:BO34,"○")</f>
        <v>0</v>
      </c>
      <c r="BM36" s="101"/>
      <c r="BN36" s="101"/>
      <c r="BO36" s="101"/>
      <c r="BP36" s="101"/>
      <c r="BQ36" s="101">
        <f>COUNTIF(BT4:BT34,"○")</f>
        <v>0</v>
      </c>
      <c r="BR36" s="101"/>
      <c r="BS36" s="101"/>
      <c r="BT36" s="101"/>
      <c r="BU36" s="101"/>
      <c r="BV36" s="101">
        <f>COUNTIF(BY4:BY34,"○")</f>
        <v>0</v>
      </c>
      <c r="BW36" s="101"/>
      <c r="BX36" s="101"/>
      <c r="BY36" s="101"/>
      <c r="BZ36" s="101"/>
      <c r="CA36" s="101">
        <f>COUNTIF(CD4:CD34,"○")</f>
        <v>0</v>
      </c>
      <c r="CB36" s="101"/>
      <c r="CC36" s="101"/>
      <c r="CD36" s="101"/>
      <c r="CE36" s="101"/>
      <c r="CF36" s="101">
        <f>COUNTIF(CI4:CI34,"○")</f>
        <v>0</v>
      </c>
      <c r="CG36" s="101"/>
      <c r="CH36" s="101"/>
      <c r="CI36" s="101"/>
      <c r="CJ36" s="101"/>
      <c r="CK36" s="101">
        <f>COUNTIF(CN4:CN34,"○")</f>
        <v>0</v>
      </c>
      <c r="CL36" s="101"/>
      <c r="CM36" s="101"/>
      <c r="CN36" s="101"/>
      <c r="CO36" s="101"/>
      <c r="CP36" s="101">
        <f>COUNTIF(CS4:CS34,"○")</f>
        <v>0</v>
      </c>
      <c r="CQ36" s="101"/>
      <c r="CR36" s="101"/>
      <c r="CS36" s="101"/>
      <c r="CT36" s="101"/>
      <c r="CU36" s="101">
        <f>COUNTIF(CX4:CX34,"○")</f>
        <v>0</v>
      </c>
      <c r="CV36" s="101"/>
      <c r="CW36" s="101"/>
      <c r="CX36" s="101"/>
      <c r="CY36" s="101"/>
      <c r="CZ36" s="101">
        <f>COUNTIF(DC4:DC34,"○")</f>
        <v>0</v>
      </c>
      <c r="DA36" s="101"/>
      <c r="DB36" s="101"/>
      <c r="DC36" s="101"/>
      <c r="DD36" s="101"/>
      <c r="DE36" s="101">
        <f>COUNTIF(DH4:DH34,"○")</f>
        <v>0</v>
      </c>
      <c r="DF36" s="101"/>
      <c r="DG36" s="101"/>
      <c r="DH36" s="101"/>
      <c r="DI36" s="101"/>
      <c r="DJ36" s="101">
        <f>COUNTIF(DM4:DM34,"○")</f>
        <v>0</v>
      </c>
      <c r="DK36" s="101"/>
      <c r="DL36" s="101"/>
      <c r="DM36" s="101"/>
      <c r="DN36" s="101"/>
      <c r="DO36" s="101">
        <f>COUNTIF(DR4:DR34,"○")</f>
        <v>0</v>
      </c>
      <c r="DP36" s="101"/>
      <c r="DQ36" s="101"/>
      <c r="DR36" s="101"/>
      <c r="DS36" s="101"/>
      <c r="DT36" s="101">
        <f>COUNTIF(DW4:DW34,"○")</f>
        <v>0</v>
      </c>
      <c r="DU36" s="101"/>
      <c r="DV36" s="101"/>
      <c r="DW36" s="101"/>
      <c r="DX36" s="101"/>
      <c r="DY36" s="101">
        <f>COUNTIF(EB4:EB34,"○")</f>
        <v>0</v>
      </c>
      <c r="DZ36" s="101"/>
      <c r="EA36" s="101"/>
      <c r="EB36" s="101"/>
      <c r="EC36" s="101"/>
      <c r="ED36" s="101">
        <f>COUNTIF(EG4:EG34,"○")</f>
        <v>0</v>
      </c>
      <c r="EE36" s="101"/>
      <c r="EF36" s="101"/>
      <c r="EG36" s="101"/>
      <c r="EH36" s="101"/>
      <c r="EI36" s="101">
        <f>COUNTIF(EL4:EL34,"○")</f>
        <v>0</v>
      </c>
      <c r="EJ36" s="101"/>
      <c r="EK36" s="101"/>
      <c r="EL36" s="101"/>
      <c r="EM36" s="101"/>
      <c r="EN36" s="101">
        <f>COUNTIF(EQ4:EQ34,"○")</f>
        <v>0</v>
      </c>
      <c r="EO36" s="101"/>
      <c r="EP36" s="101"/>
      <c r="EQ36" s="101"/>
      <c r="ER36" s="101"/>
      <c r="ES36" s="101">
        <f>COUNTIF(EV4:EV34,"○")</f>
        <v>0</v>
      </c>
      <c r="ET36" s="101"/>
      <c r="EU36" s="101"/>
      <c r="EV36" s="101"/>
      <c r="EW36" s="101"/>
    </row>
    <row r="37" spans="1:153" ht="21.75" customHeight="1">
      <c r="A37" s="102" t="s">
        <v>122</v>
      </c>
      <c r="B37" s="102"/>
      <c r="C37" s="102"/>
      <c r="D37" s="103">
        <f>D35+D36</f>
        <v>0</v>
      </c>
      <c r="E37" s="103"/>
      <c r="F37" s="103"/>
      <c r="G37" s="103"/>
      <c r="H37" s="103"/>
      <c r="I37" s="103">
        <f>I35+I36</f>
        <v>0</v>
      </c>
      <c r="J37" s="103"/>
      <c r="K37" s="103"/>
      <c r="L37" s="103"/>
      <c r="M37" s="103"/>
      <c r="N37" s="103">
        <f>N35+N36</f>
        <v>0</v>
      </c>
      <c r="O37" s="103"/>
      <c r="P37" s="103"/>
      <c r="Q37" s="103"/>
      <c r="R37" s="103"/>
      <c r="S37" s="103">
        <f>S35+S36</f>
        <v>0</v>
      </c>
      <c r="T37" s="103"/>
      <c r="U37" s="103"/>
      <c r="V37" s="103"/>
      <c r="W37" s="103"/>
      <c r="X37" s="103">
        <f>X35+X36</f>
        <v>0</v>
      </c>
      <c r="Y37" s="103"/>
      <c r="Z37" s="103"/>
      <c r="AA37" s="103"/>
      <c r="AB37" s="103"/>
      <c r="AC37" s="103">
        <f>AC35+AC36</f>
        <v>0</v>
      </c>
      <c r="AD37" s="103"/>
      <c r="AE37" s="103"/>
      <c r="AF37" s="103"/>
      <c r="AG37" s="103"/>
      <c r="AH37" s="103">
        <f>AH35+AH36</f>
        <v>0</v>
      </c>
      <c r="AI37" s="103"/>
      <c r="AJ37" s="103"/>
      <c r="AK37" s="103"/>
      <c r="AL37" s="103"/>
      <c r="AM37" s="103">
        <f>AM35+AM36</f>
        <v>0</v>
      </c>
      <c r="AN37" s="103"/>
      <c r="AO37" s="103"/>
      <c r="AP37" s="103"/>
      <c r="AQ37" s="103"/>
      <c r="AR37" s="103">
        <f>AR35+AR36</f>
        <v>0</v>
      </c>
      <c r="AS37" s="103"/>
      <c r="AT37" s="103"/>
      <c r="AU37" s="103"/>
      <c r="AV37" s="103"/>
      <c r="AW37" s="103">
        <f>AW35+AW36</f>
        <v>0</v>
      </c>
      <c r="AX37" s="103"/>
      <c r="AY37" s="103"/>
      <c r="AZ37" s="103"/>
      <c r="BA37" s="103"/>
      <c r="BB37" s="103">
        <f>BB35+BB36</f>
        <v>0</v>
      </c>
      <c r="BC37" s="103"/>
      <c r="BD37" s="103"/>
      <c r="BE37" s="103"/>
      <c r="BF37" s="103"/>
      <c r="BG37" s="103">
        <f>BG35+BG36</f>
        <v>0</v>
      </c>
      <c r="BH37" s="103"/>
      <c r="BI37" s="103"/>
      <c r="BJ37" s="103"/>
      <c r="BK37" s="103"/>
      <c r="BL37" s="103">
        <f>BL35+BL36</f>
        <v>0</v>
      </c>
      <c r="BM37" s="103"/>
      <c r="BN37" s="103"/>
      <c r="BO37" s="103"/>
      <c r="BP37" s="103"/>
      <c r="BQ37" s="103">
        <f>BQ35+BQ36</f>
        <v>0</v>
      </c>
      <c r="BR37" s="103"/>
      <c r="BS37" s="103"/>
      <c r="BT37" s="103"/>
      <c r="BU37" s="103"/>
      <c r="BV37" s="103">
        <f>BV35+BV36</f>
        <v>0</v>
      </c>
      <c r="BW37" s="103"/>
      <c r="BX37" s="103"/>
      <c r="BY37" s="103"/>
      <c r="BZ37" s="103"/>
      <c r="CA37" s="103">
        <f>CA35+CA36</f>
        <v>0</v>
      </c>
      <c r="CB37" s="103"/>
      <c r="CC37" s="103"/>
      <c r="CD37" s="103"/>
      <c r="CE37" s="103"/>
      <c r="CF37" s="103">
        <f>CF35+CF36</f>
        <v>0</v>
      </c>
      <c r="CG37" s="103"/>
      <c r="CH37" s="103"/>
      <c r="CI37" s="103"/>
      <c r="CJ37" s="103"/>
      <c r="CK37" s="103">
        <f>CK35+CK36</f>
        <v>0</v>
      </c>
      <c r="CL37" s="103"/>
      <c r="CM37" s="103"/>
      <c r="CN37" s="103"/>
      <c r="CO37" s="103"/>
      <c r="CP37" s="103">
        <f>CP35+CP36</f>
        <v>0</v>
      </c>
      <c r="CQ37" s="103"/>
      <c r="CR37" s="103"/>
      <c r="CS37" s="103"/>
      <c r="CT37" s="103"/>
      <c r="CU37" s="103">
        <f>CU35+CU36</f>
        <v>0</v>
      </c>
      <c r="CV37" s="103"/>
      <c r="CW37" s="103"/>
      <c r="CX37" s="103"/>
      <c r="CY37" s="103"/>
      <c r="CZ37" s="103">
        <f>CZ35+CZ36</f>
        <v>0</v>
      </c>
      <c r="DA37" s="103"/>
      <c r="DB37" s="103"/>
      <c r="DC37" s="103"/>
      <c r="DD37" s="103"/>
      <c r="DE37" s="103">
        <f>DE35+DE36</f>
        <v>0</v>
      </c>
      <c r="DF37" s="103"/>
      <c r="DG37" s="103"/>
      <c r="DH37" s="103"/>
      <c r="DI37" s="103"/>
      <c r="DJ37" s="103">
        <f>DJ35+DJ36</f>
        <v>0</v>
      </c>
      <c r="DK37" s="103"/>
      <c r="DL37" s="103"/>
      <c r="DM37" s="103"/>
      <c r="DN37" s="103"/>
      <c r="DO37" s="103">
        <f>DO35+DO36</f>
        <v>0</v>
      </c>
      <c r="DP37" s="103"/>
      <c r="DQ37" s="103"/>
      <c r="DR37" s="103"/>
      <c r="DS37" s="103"/>
      <c r="DT37" s="103">
        <f>DT35+DT36</f>
        <v>0</v>
      </c>
      <c r="DU37" s="103"/>
      <c r="DV37" s="103"/>
      <c r="DW37" s="103"/>
      <c r="DX37" s="103"/>
      <c r="DY37" s="103">
        <f>DY35+DY36</f>
        <v>0</v>
      </c>
      <c r="DZ37" s="103"/>
      <c r="EA37" s="103"/>
      <c r="EB37" s="103"/>
      <c r="EC37" s="103"/>
      <c r="ED37" s="103">
        <f>ED35+ED36</f>
        <v>0</v>
      </c>
      <c r="EE37" s="103"/>
      <c r="EF37" s="103"/>
      <c r="EG37" s="103"/>
      <c r="EH37" s="103"/>
      <c r="EI37" s="103">
        <f>EI35+EI36</f>
        <v>0</v>
      </c>
      <c r="EJ37" s="103"/>
      <c r="EK37" s="103"/>
      <c r="EL37" s="103"/>
      <c r="EM37" s="103"/>
      <c r="EN37" s="103">
        <f>EN35+EN36</f>
        <v>0</v>
      </c>
      <c r="EO37" s="103"/>
      <c r="EP37" s="103"/>
      <c r="EQ37" s="103"/>
      <c r="ER37" s="103"/>
      <c r="ES37" s="103">
        <f>ES35+ES36</f>
        <v>0</v>
      </c>
      <c r="ET37" s="103"/>
      <c r="EU37" s="103"/>
      <c r="EV37" s="103"/>
      <c r="EW37" s="103"/>
    </row>
    <row r="38" spans="1:153" ht="21.75" customHeight="1">
      <c r="A38" s="104" t="s">
        <v>123</v>
      </c>
      <c r="B38" s="104"/>
      <c r="C38" s="104"/>
      <c r="D38" s="105">
        <f>SUM(H4:H34)</f>
        <v>0</v>
      </c>
      <c r="E38" s="105"/>
      <c r="F38" s="105"/>
      <c r="G38" s="105"/>
      <c r="H38" s="105"/>
      <c r="I38" s="105">
        <f>SUM(M4:M34)</f>
        <v>0</v>
      </c>
      <c r="J38" s="105"/>
      <c r="K38" s="105"/>
      <c r="L38" s="105"/>
      <c r="M38" s="105"/>
      <c r="N38" s="105">
        <f>SUM(R4:R34)</f>
        <v>0</v>
      </c>
      <c r="O38" s="105"/>
      <c r="P38" s="105"/>
      <c r="Q38" s="105"/>
      <c r="R38" s="105"/>
      <c r="S38" s="105">
        <f>SUM(W4:W34)</f>
        <v>0</v>
      </c>
      <c r="T38" s="105"/>
      <c r="U38" s="105"/>
      <c r="V38" s="105"/>
      <c r="W38" s="105"/>
      <c r="X38" s="105">
        <f>SUM(AB4:AB34)</f>
        <v>0</v>
      </c>
      <c r="Y38" s="105"/>
      <c r="Z38" s="105"/>
      <c r="AA38" s="105"/>
      <c r="AB38" s="105"/>
      <c r="AC38" s="105">
        <f>SUM(AG4:AG34)</f>
        <v>0</v>
      </c>
      <c r="AD38" s="105"/>
      <c r="AE38" s="105"/>
      <c r="AF38" s="105"/>
      <c r="AG38" s="105"/>
      <c r="AH38" s="105">
        <f>SUM(AL4:AL34)</f>
        <v>0</v>
      </c>
      <c r="AI38" s="105"/>
      <c r="AJ38" s="105"/>
      <c r="AK38" s="105"/>
      <c r="AL38" s="105"/>
      <c r="AM38" s="105">
        <f>SUM(AQ4:AQ34)</f>
        <v>0</v>
      </c>
      <c r="AN38" s="105"/>
      <c r="AO38" s="105"/>
      <c r="AP38" s="105"/>
      <c r="AQ38" s="105"/>
      <c r="AR38" s="105">
        <f>SUM(AV4:AV34)</f>
        <v>0</v>
      </c>
      <c r="AS38" s="105"/>
      <c r="AT38" s="105"/>
      <c r="AU38" s="105"/>
      <c r="AV38" s="105"/>
      <c r="AW38" s="105">
        <f>SUM(BA4:BA34)</f>
        <v>0</v>
      </c>
      <c r="AX38" s="105"/>
      <c r="AY38" s="105"/>
      <c r="AZ38" s="105"/>
      <c r="BA38" s="105"/>
      <c r="BB38" s="105">
        <f>SUM(BF4:BF34)</f>
        <v>0</v>
      </c>
      <c r="BC38" s="105"/>
      <c r="BD38" s="105"/>
      <c r="BE38" s="105"/>
      <c r="BF38" s="105"/>
      <c r="BG38" s="105">
        <f>SUM(BK4:BK34)</f>
        <v>0</v>
      </c>
      <c r="BH38" s="105"/>
      <c r="BI38" s="105"/>
      <c r="BJ38" s="105"/>
      <c r="BK38" s="105"/>
      <c r="BL38" s="105">
        <f>SUM(BP4:BP34)</f>
        <v>0</v>
      </c>
      <c r="BM38" s="105"/>
      <c r="BN38" s="105"/>
      <c r="BO38" s="105"/>
      <c r="BP38" s="105"/>
      <c r="BQ38" s="105">
        <f>SUM(BU4:BU34)</f>
        <v>0</v>
      </c>
      <c r="BR38" s="105"/>
      <c r="BS38" s="105"/>
      <c r="BT38" s="105"/>
      <c r="BU38" s="105"/>
      <c r="BV38" s="105">
        <f>SUM(BZ4:BZ34)</f>
        <v>0</v>
      </c>
      <c r="BW38" s="105"/>
      <c r="BX38" s="105"/>
      <c r="BY38" s="105"/>
      <c r="BZ38" s="105"/>
      <c r="CA38" s="105">
        <f>SUM(CE4:CE34)</f>
        <v>0</v>
      </c>
      <c r="CB38" s="105"/>
      <c r="CC38" s="105"/>
      <c r="CD38" s="105"/>
      <c r="CE38" s="105"/>
      <c r="CF38" s="105">
        <f>SUM(CJ4:CJ34)</f>
        <v>0</v>
      </c>
      <c r="CG38" s="105"/>
      <c r="CH38" s="105"/>
      <c r="CI38" s="105"/>
      <c r="CJ38" s="105"/>
      <c r="CK38" s="105">
        <f>SUM(CO4:CO34)</f>
        <v>0</v>
      </c>
      <c r="CL38" s="105"/>
      <c r="CM38" s="105"/>
      <c r="CN38" s="105"/>
      <c r="CO38" s="105"/>
      <c r="CP38" s="105">
        <f>SUM(CT4:CT34)</f>
        <v>0</v>
      </c>
      <c r="CQ38" s="105"/>
      <c r="CR38" s="105"/>
      <c r="CS38" s="105"/>
      <c r="CT38" s="105"/>
      <c r="CU38" s="105">
        <f>SUM(CY4:CY34)</f>
        <v>0</v>
      </c>
      <c r="CV38" s="105"/>
      <c r="CW38" s="105"/>
      <c r="CX38" s="105"/>
      <c r="CY38" s="105"/>
      <c r="CZ38" s="105">
        <f>SUM(DD4:DD34)</f>
        <v>0</v>
      </c>
      <c r="DA38" s="105"/>
      <c r="DB38" s="105"/>
      <c r="DC38" s="105"/>
      <c r="DD38" s="105"/>
      <c r="DE38" s="105">
        <f>SUM(DI4:DI34)</f>
        <v>0</v>
      </c>
      <c r="DF38" s="105"/>
      <c r="DG38" s="105"/>
      <c r="DH38" s="105"/>
      <c r="DI38" s="105"/>
      <c r="DJ38" s="105">
        <f>SUM(DN4:DN34)</f>
        <v>0</v>
      </c>
      <c r="DK38" s="105"/>
      <c r="DL38" s="105"/>
      <c r="DM38" s="105"/>
      <c r="DN38" s="105"/>
      <c r="DO38" s="105">
        <f>SUM(DS4:DS34)</f>
        <v>0</v>
      </c>
      <c r="DP38" s="105"/>
      <c r="DQ38" s="105"/>
      <c r="DR38" s="105"/>
      <c r="DS38" s="105"/>
      <c r="DT38" s="105">
        <f>SUM(DX4:DX34)</f>
        <v>0</v>
      </c>
      <c r="DU38" s="105"/>
      <c r="DV38" s="105"/>
      <c r="DW38" s="105"/>
      <c r="DX38" s="105"/>
      <c r="DY38" s="105">
        <f>SUM(EC4:EC34)</f>
        <v>0</v>
      </c>
      <c r="DZ38" s="105"/>
      <c r="EA38" s="105"/>
      <c r="EB38" s="105"/>
      <c r="EC38" s="105"/>
      <c r="ED38" s="105">
        <f>SUM(EH4:EH34)</f>
        <v>0</v>
      </c>
      <c r="EE38" s="105"/>
      <c r="EF38" s="105"/>
      <c r="EG38" s="105"/>
      <c r="EH38" s="105"/>
      <c r="EI38" s="105">
        <f>SUM(EM4:EM34)</f>
        <v>0</v>
      </c>
      <c r="EJ38" s="105"/>
      <c r="EK38" s="105"/>
      <c r="EL38" s="105"/>
      <c r="EM38" s="105"/>
      <c r="EN38" s="105">
        <f>SUM(ER4:ER34)</f>
        <v>0</v>
      </c>
      <c r="EO38" s="105"/>
      <c r="EP38" s="105"/>
      <c r="EQ38" s="105"/>
      <c r="ER38" s="105"/>
      <c r="ES38" s="105">
        <f>SUM(EW4:EW34)</f>
        <v>0</v>
      </c>
      <c r="ET38" s="105"/>
      <c r="EU38" s="105"/>
      <c r="EV38" s="105"/>
      <c r="EW38" s="105"/>
    </row>
    <row r="39" spans="1:153" ht="21.75" customHeight="1">
      <c r="A39" s="106" t="s">
        <v>105</v>
      </c>
      <c r="B39" s="106"/>
      <c r="C39" s="106"/>
      <c r="D39" s="107">
        <f>COUNTIF(D4:D34,"有給")</f>
        <v>0</v>
      </c>
      <c r="E39" s="107"/>
      <c r="F39" s="107"/>
      <c r="G39" s="107"/>
      <c r="H39" s="107"/>
      <c r="I39" s="107">
        <f>COUNTIF(I4:I34,"有給")</f>
        <v>0</v>
      </c>
      <c r="J39" s="107"/>
      <c r="K39" s="107"/>
      <c r="L39" s="107"/>
      <c r="M39" s="107"/>
      <c r="N39" s="107">
        <f>COUNTIF(N4:N34,"有給")</f>
        <v>0</v>
      </c>
      <c r="O39" s="107"/>
      <c r="P39" s="107"/>
      <c r="Q39" s="107"/>
      <c r="R39" s="107"/>
      <c r="S39" s="107">
        <f>COUNTIF(S4:S34,"有給")</f>
        <v>0</v>
      </c>
      <c r="T39" s="107"/>
      <c r="U39" s="107"/>
      <c r="V39" s="107"/>
      <c r="W39" s="107"/>
      <c r="X39" s="107">
        <f>COUNTIF(X4:X34,"有給")</f>
        <v>0</v>
      </c>
      <c r="Y39" s="107"/>
      <c r="Z39" s="107"/>
      <c r="AA39" s="107"/>
      <c r="AB39" s="107"/>
      <c r="AC39" s="107">
        <f>COUNTIF(AC4:AC34,"有給")</f>
        <v>0</v>
      </c>
      <c r="AD39" s="107"/>
      <c r="AE39" s="107"/>
      <c r="AF39" s="107"/>
      <c r="AG39" s="107"/>
      <c r="AH39" s="107">
        <f>COUNTIF(AH4:AH34,"有給")</f>
        <v>0</v>
      </c>
      <c r="AI39" s="107"/>
      <c r="AJ39" s="107"/>
      <c r="AK39" s="107"/>
      <c r="AL39" s="107"/>
      <c r="AM39" s="107">
        <f>COUNTIF(AM4:AM34,"有給")</f>
        <v>0</v>
      </c>
      <c r="AN39" s="107"/>
      <c r="AO39" s="107"/>
      <c r="AP39" s="107"/>
      <c r="AQ39" s="107"/>
      <c r="AR39" s="107">
        <f>COUNTIF(AR4:AR34,"有給")</f>
        <v>0</v>
      </c>
      <c r="AS39" s="107"/>
      <c r="AT39" s="107"/>
      <c r="AU39" s="107"/>
      <c r="AV39" s="107"/>
      <c r="AW39" s="107">
        <f>COUNTIF(AW4:AW34,"有給")</f>
        <v>0</v>
      </c>
      <c r="AX39" s="107"/>
      <c r="AY39" s="107"/>
      <c r="AZ39" s="107"/>
      <c r="BA39" s="107"/>
      <c r="BB39" s="107">
        <f>COUNTIF(BB4:BB34,"有給")</f>
        <v>0</v>
      </c>
      <c r="BC39" s="107"/>
      <c r="BD39" s="107"/>
      <c r="BE39" s="107"/>
      <c r="BF39" s="107"/>
      <c r="BG39" s="107">
        <f>COUNTIF(BG4:BG34,"有給")</f>
        <v>0</v>
      </c>
      <c r="BH39" s="107"/>
      <c r="BI39" s="107"/>
      <c r="BJ39" s="107"/>
      <c r="BK39" s="107"/>
      <c r="BL39" s="107">
        <f>COUNTIF(BL4:BL34,"有給")</f>
        <v>0</v>
      </c>
      <c r="BM39" s="107"/>
      <c r="BN39" s="107"/>
      <c r="BO39" s="107"/>
      <c r="BP39" s="107"/>
      <c r="BQ39" s="107">
        <f>COUNTIF(BQ4:BQ34,"有給")</f>
        <v>0</v>
      </c>
      <c r="BR39" s="107"/>
      <c r="BS39" s="107"/>
      <c r="BT39" s="107"/>
      <c r="BU39" s="107"/>
      <c r="BV39" s="107">
        <f>COUNTIF(BV4:BV34,"有給")</f>
        <v>0</v>
      </c>
      <c r="BW39" s="107"/>
      <c r="BX39" s="107"/>
      <c r="BY39" s="107"/>
      <c r="BZ39" s="107"/>
      <c r="CA39" s="107">
        <f>COUNTIF(CA4:CA34,"有給")</f>
        <v>0</v>
      </c>
      <c r="CB39" s="107"/>
      <c r="CC39" s="107"/>
      <c r="CD39" s="107"/>
      <c r="CE39" s="107"/>
      <c r="CF39" s="107">
        <f>COUNTIF(CF4:CF34,"有給")</f>
        <v>0</v>
      </c>
      <c r="CG39" s="107"/>
      <c r="CH39" s="107"/>
      <c r="CI39" s="107"/>
      <c r="CJ39" s="107"/>
      <c r="CK39" s="107">
        <f>COUNTIF(CK4:CK34,"有給")</f>
        <v>0</v>
      </c>
      <c r="CL39" s="107"/>
      <c r="CM39" s="107"/>
      <c r="CN39" s="107"/>
      <c r="CO39" s="107"/>
      <c r="CP39" s="107">
        <f>COUNTIF(CP4:CP34,"有給")</f>
        <v>0</v>
      </c>
      <c r="CQ39" s="107"/>
      <c r="CR39" s="107"/>
      <c r="CS39" s="107"/>
      <c r="CT39" s="107"/>
      <c r="CU39" s="107">
        <f>COUNTIF(CU4:CU34,"有給")</f>
        <v>0</v>
      </c>
      <c r="CV39" s="107"/>
      <c r="CW39" s="107"/>
      <c r="CX39" s="107"/>
      <c r="CY39" s="107"/>
      <c r="CZ39" s="107">
        <f>COUNTIF(CZ4:CZ34,"有給")</f>
        <v>0</v>
      </c>
      <c r="DA39" s="107"/>
      <c r="DB39" s="107"/>
      <c r="DC39" s="107"/>
      <c r="DD39" s="107"/>
      <c r="DE39" s="107">
        <f>COUNTIF(DE4:DE34,"有給")</f>
        <v>0</v>
      </c>
      <c r="DF39" s="107"/>
      <c r="DG39" s="107"/>
      <c r="DH39" s="107"/>
      <c r="DI39" s="107"/>
      <c r="DJ39" s="107">
        <f>COUNTIF(DJ4:DJ34,"有給")</f>
        <v>0</v>
      </c>
      <c r="DK39" s="107"/>
      <c r="DL39" s="107"/>
      <c r="DM39" s="107"/>
      <c r="DN39" s="107"/>
      <c r="DO39" s="107">
        <f>COUNTIF(DO4:DO34,"有給")</f>
        <v>0</v>
      </c>
      <c r="DP39" s="107"/>
      <c r="DQ39" s="107"/>
      <c r="DR39" s="107"/>
      <c r="DS39" s="107"/>
      <c r="DT39" s="107">
        <f>COUNTIF(DT4:DT34,"有給")</f>
        <v>0</v>
      </c>
      <c r="DU39" s="107"/>
      <c r="DV39" s="107"/>
      <c r="DW39" s="107"/>
      <c r="DX39" s="107"/>
      <c r="DY39" s="107">
        <f>COUNTIF(DY4:DY34,"有給")</f>
        <v>0</v>
      </c>
      <c r="DZ39" s="107"/>
      <c r="EA39" s="107"/>
      <c r="EB39" s="107"/>
      <c r="EC39" s="107"/>
      <c r="ED39" s="107">
        <f>COUNTIF(ED4:ED34,"有給")</f>
        <v>0</v>
      </c>
      <c r="EE39" s="107"/>
      <c r="EF39" s="107"/>
      <c r="EG39" s="107"/>
      <c r="EH39" s="107"/>
      <c r="EI39" s="107">
        <f>COUNTIF(EI4:EI34,"有給")</f>
        <v>0</v>
      </c>
      <c r="EJ39" s="107"/>
      <c r="EK39" s="107"/>
      <c r="EL39" s="107"/>
      <c r="EM39" s="107"/>
      <c r="EN39" s="107">
        <f>COUNTIF(EN4:EN34,"有給")</f>
        <v>0</v>
      </c>
      <c r="EO39" s="107"/>
      <c r="EP39" s="107"/>
      <c r="EQ39" s="107"/>
      <c r="ER39" s="107"/>
      <c r="ES39" s="107">
        <f>COUNTIF(ES4:ES34,"有給")</f>
        <v>0</v>
      </c>
      <c r="ET39" s="107"/>
      <c r="EU39" s="107"/>
      <c r="EV39" s="107"/>
      <c r="EW39" s="107"/>
    </row>
    <row r="40" spans="1:153" ht="21.75" customHeight="1">
      <c r="A40" s="108" t="s">
        <v>106</v>
      </c>
      <c r="B40" s="108"/>
      <c r="C40" s="108"/>
      <c r="D40" s="109">
        <f>COUNTIF(D4:D34,"休業")</f>
        <v>0</v>
      </c>
      <c r="E40" s="109"/>
      <c r="F40" s="109"/>
      <c r="G40" s="109"/>
      <c r="H40" s="109"/>
      <c r="I40" s="109">
        <f>COUNTIF(I4:I34,"休業")</f>
        <v>0</v>
      </c>
      <c r="J40" s="109"/>
      <c r="K40" s="109"/>
      <c r="L40" s="109"/>
      <c r="M40" s="109"/>
      <c r="N40" s="109">
        <f>COUNTIF(N4:N34,"休業")</f>
        <v>0</v>
      </c>
      <c r="O40" s="109"/>
      <c r="P40" s="109"/>
      <c r="Q40" s="109"/>
      <c r="R40" s="109"/>
      <c r="S40" s="109">
        <f>COUNTIF(S4:S34,"休業")</f>
        <v>0</v>
      </c>
      <c r="T40" s="109"/>
      <c r="U40" s="109"/>
      <c r="V40" s="109"/>
      <c r="W40" s="109"/>
      <c r="X40" s="109">
        <f>COUNTIF(X4:X34,"休業")</f>
        <v>0</v>
      </c>
      <c r="Y40" s="109"/>
      <c r="Z40" s="109"/>
      <c r="AA40" s="109"/>
      <c r="AB40" s="109"/>
      <c r="AC40" s="109">
        <f>COUNTIF(AC4:AC34,"休業")</f>
        <v>0</v>
      </c>
      <c r="AD40" s="109"/>
      <c r="AE40" s="109"/>
      <c r="AF40" s="109"/>
      <c r="AG40" s="109"/>
      <c r="AH40" s="109">
        <f>COUNTIF(AH4:AH34,"休業")</f>
        <v>0</v>
      </c>
      <c r="AI40" s="109"/>
      <c r="AJ40" s="109"/>
      <c r="AK40" s="109"/>
      <c r="AL40" s="109"/>
      <c r="AM40" s="109">
        <f>COUNTIF(AM4:AM34,"休業")</f>
        <v>0</v>
      </c>
      <c r="AN40" s="109"/>
      <c r="AO40" s="109"/>
      <c r="AP40" s="109"/>
      <c r="AQ40" s="109"/>
      <c r="AR40" s="109">
        <f>COUNTIF(AR4:AR34,"休業")</f>
        <v>0</v>
      </c>
      <c r="AS40" s="109"/>
      <c r="AT40" s="109"/>
      <c r="AU40" s="109"/>
      <c r="AV40" s="109"/>
      <c r="AW40" s="109">
        <f>COUNTIF(AW4:AW34,"休業")</f>
        <v>0</v>
      </c>
      <c r="AX40" s="109"/>
      <c r="AY40" s="109"/>
      <c r="AZ40" s="109"/>
      <c r="BA40" s="109"/>
      <c r="BB40" s="109">
        <f>COUNTIF(BB4:BB34,"休業")</f>
        <v>0</v>
      </c>
      <c r="BC40" s="109"/>
      <c r="BD40" s="109"/>
      <c r="BE40" s="109"/>
      <c r="BF40" s="109"/>
      <c r="BG40" s="109">
        <f>COUNTIF(BG4:BG34,"休業")</f>
        <v>0</v>
      </c>
      <c r="BH40" s="109"/>
      <c r="BI40" s="109"/>
      <c r="BJ40" s="109"/>
      <c r="BK40" s="109"/>
      <c r="BL40" s="109">
        <f>COUNTIF(BL4:BL34,"休業")</f>
        <v>0</v>
      </c>
      <c r="BM40" s="109"/>
      <c r="BN40" s="109"/>
      <c r="BO40" s="109"/>
      <c r="BP40" s="109"/>
      <c r="BQ40" s="109">
        <f>COUNTIF(BQ4:BQ34,"休業")</f>
        <v>0</v>
      </c>
      <c r="BR40" s="109"/>
      <c r="BS40" s="109"/>
      <c r="BT40" s="109"/>
      <c r="BU40" s="109"/>
      <c r="BV40" s="109">
        <f>COUNTIF(BV4:BV34,"休業")</f>
        <v>0</v>
      </c>
      <c r="BW40" s="109"/>
      <c r="BX40" s="109"/>
      <c r="BY40" s="109"/>
      <c r="BZ40" s="109"/>
      <c r="CA40" s="109">
        <f>COUNTIF(CA4:CA34,"休業")</f>
        <v>0</v>
      </c>
      <c r="CB40" s="109"/>
      <c r="CC40" s="109"/>
      <c r="CD40" s="109"/>
      <c r="CE40" s="109"/>
      <c r="CF40" s="109">
        <f>COUNTIF(CF4:CF34,"休業")</f>
        <v>0</v>
      </c>
      <c r="CG40" s="109"/>
      <c r="CH40" s="109"/>
      <c r="CI40" s="109"/>
      <c r="CJ40" s="109"/>
      <c r="CK40" s="109">
        <f>COUNTIF(CK4:CK34,"休業")</f>
        <v>0</v>
      </c>
      <c r="CL40" s="109"/>
      <c r="CM40" s="109"/>
      <c r="CN40" s="109"/>
      <c r="CO40" s="109"/>
      <c r="CP40" s="109">
        <f>COUNTIF(CP4:CP34,"休業")</f>
        <v>0</v>
      </c>
      <c r="CQ40" s="109"/>
      <c r="CR40" s="109"/>
      <c r="CS40" s="109"/>
      <c r="CT40" s="109"/>
      <c r="CU40" s="109">
        <f>COUNTIF(CU4:CU34,"休業")</f>
        <v>0</v>
      </c>
      <c r="CV40" s="109"/>
      <c r="CW40" s="109"/>
      <c r="CX40" s="109"/>
      <c r="CY40" s="109"/>
      <c r="CZ40" s="109">
        <f>COUNTIF(CZ4:CZ34,"休業")</f>
        <v>0</v>
      </c>
      <c r="DA40" s="109"/>
      <c r="DB40" s="109"/>
      <c r="DC40" s="109"/>
      <c r="DD40" s="109"/>
      <c r="DE40" s="109">
        <f>COUNTIF(DE4:DE34,"休業")</f>
        <v>0</v>
      </c>
      <c r="DF40" s="109"/>
      <c r="DG40" s="109"/>
      <c r="DH40" s="109"/>
      <c r="DI40" s="109"/>
      <c r="DJ40" s="109">
        <f>COUNTIF(DJ4:DJ34,"休業")</f>
        <v>0</v>
      </c>
      <c r="DK40" s="109"/>
      <c r="DL40" s="109"/>
      <c r="DM40" s="109"/>
      <c r="DN40" s="109"/>
      <c r="DO40" s="109">
        <f>COUNTIF(DO4:DO34,"休業")</f>
        <v>0</v>
      </c>
      <c r="DP40" s="109"/>
      <c r="DQ40" s="109"/>
      <c r="DR40" s="109"/>
      <c r="DS40" s="109"/>
      <c r="DT40" s="109">
        <f>COUNTIF(DT4:DT34,"休業")</f>
        <v>0</v>
      </c>
      <c r="DU40" s="109"/>
      <c r="DV40" s="109"/>
      <c r="DW40" s="109"/>
      <c r="DX40" s="109"/>
      <c r="DY40" s="109">
        <f>COUNTIF(DY4:DY34,"休業")</f>
        <v>0</v>
      </c>
      <c r="DZ40" s="109"/>
      <c r="EA40" s="109"/>
      <c r="EB40" s="109"/>
      <c r="EC40" s="109"/>
      <c r="ED40" s="109">
        <f>COUNTIF(ED4:ED34,"休業")</f>
        <v>0</v>
      </c>
      <c r="EE40" s="109"/>
      <c r="EF40" s="109"/>
      <c r="EG40" s="109"/>
      <c r="EH40" s="109"/>
      <c r="EI40" s="109">
        <f>COUNTIF(EI4:EI34,"休業")</f>
        <v>0</v>
      </c>
      <c r="EJ40" s="109"/>
      <c r="EK40" s="109"/>
      <c r="EL40" s="109"/>
      <c r="EM40" s="109"/>
      <c r="EN40" s="109">
        <f>COUNTIF(EN4:EN34,"休業")</f>
        <v>0</v>
      </c>
      <c r="EO40" s="109"/>
      <c r="EP40" s="109"/>
      <c r="EQ40" s="109"/>
      <c r="ER40" s="109"/>
      <c r="ES40" s="109">
        <f>COUNTIF(ES4:ES34,"休業")</f>
        <v>0</v>
      </c>
      <c r="ET40" s="109"/>
      <c r="EU40" s="109"/>
      <c r="EV40" s="109"/>
      <c r="EW40" s="109"/>
    </row>
  </sheetData>
  <mergeCells count="217">
    <mergeCell ref="ED40:EH40"/>
    <mergeCell ref="EI40:EM40"/>
    <mergeCell ref="EN40:ER40"/>
    <mergeCell ref="ES40:EW40"/>
    <mergeCell ref="CK40:CO40"/>
    <mergeCell ref="CP40:CT40"/>
    <mergeCell ref="CU40:CY40"/>
    <mergeCell ref="CZ40:DD40"/>
    <mergeCell ref="DE40:DI40"/>
    <mergeCell ref="DJ40:DN40"/>
    <mergeCell ref="DO40:DS40"/>
    <mergeCell ref="DT40:DX40"/>
    <mergeCell ref="DY40:EC40"/>
    <mergeCell ref="DT39:DX39"/>
    <mergeCell ref="DY39:EC39"/>
    <mergeCell ref="ED39:EH39"/>
    <mergeCell ref="EI39:EM39"/>
    <mergeCell ref="EN39:ER39"/>
    <mergeCell ref="ES39:EW39"/>
    <mergeCell ref="A40:C40"/>
    <mergeCell ref="D40:H40"/>
    <mergeCell ref="I40:M40"/>
    <mergeCell ref="N40:R40"/>
    <mergeCell ref="S40:W40"/>
    <mergeCell ref="X40:AB40"/>
    <mergeCell ref="AC40:AG40"/>
    <mergeCell ref="AH40:AL40"/>
    <mergeCell ref="AM40:AQ40"/>
    <mergeCell ref="AR40:AV40"/>
    <mergeCell ref="AW40:BA40"/>
    <mergeCell ref="BB40:BF40"/>
    <mergeCell ref="BG40:BK40"/>
    <mergeCell ref="BL40:BP40"/>
    <mergeCell ref="BQ40:BU40"/>
    <mergeCell ref="BV40:BZ40"/>
    <mergeCell ref="CA40:CE40"/>
    <mergeCell ref="CF40:CJ40"/>
    <mergeCell ref="CA39:CE39"/>
    <mergeCell ref="CF39:CJ39"/>
    <mergeCell ref="CK39:CO39"/>
    <mergeCell ref="CP39:CT39"/>
    <mergeCell ref="CU39:CY39"/>
    <mergeCell ref="CZ39:DD39"/>
    <mergeCell ref="DE39:DI39"/>
    <mergeCell ref="DJ39:DN39"/>
    <mergeCell ref="DO39:DS39"/>
    <mergeCell ref="DJ38:DN38"/>
    <mergeCell ref="DO38:DS38"/>
    <mergeCell ref="DT38:DX38"/>
    <mergeCell ref="DY38:EC38"/>
    <mergeCell ref="ED38:EH38"/>
    <mergeCell ref="EI38:EM38"/>
    <mergeCell ref="EN38:ER38"/>
    <mergeCell ref="ES38:EW38"/>
    <mergeCell ref="A39:C39"/>
    <mergeCell ref="D39:H39"/>
    <mergeCell ref="I39:M39"/>
    <mergeCell ref="N39:R39"/>
    <mergeCell ref="S39:W39"/>
    <mergeCell ref="X39:AB39"/>
    <mergeCell ref="AC39:AG39"/>
    <mergeCell ref="AH39:AL39"/>
    <mergeCell ref="AM39:AQ39"/>
    <mergeCell ref="AR39:AV39"/>
    <mergeCell ref="AW39:BA39"/>
    <mergeCell ref="BB39:BF39"/>
    <mergeCell ref="BG39:BK39"/>
    <mergeCell ref="BL39:BP39"/>
    <mergeCell ref="BQ39:BU39"/>
    <mergeCell ref="BV39:BZ39"/>
    <mergeCell ref="ES37:EW37"/>
    <mergeCell ref="A38:C38"/>
    <mergeCell ref="D38:H38"/>
    <mergeCell ref="I38:M38"/>
    <mergeCell ref="N38:R38"/>
    <mergeCell ref="S38:W38"/>
    <mergeCell ref="X38:AB38"/>
    <mergeCell ref="AC38:AG38"/>
    <mergeCell ref="AH38:AL38"/>
    <mergeCell ref="AM38:AQ38"/>
    <mergeCell ref="AR38:AV38"/>
    <mergeCell ref="AW38:BA38"/>
    <mergeCell ref="BB38:BF38"/>
    <mergeCell ref="BG38:BK38"/>
    <mergeCell ref="BL38:BP38"/>
    <mergeCell ref="BQ38:BU38"/>
    <mergeCell ref="BV38:BZ38"/>
    <mergeCell ref="CA38:CE38"/>
    <mergeCell ref="CF38:CJ38"/>
    <mergeCell ref="CK38:CO38"/>
    <mergeCell ref="CP38:CT38"/>
    <mergeCell ref="CU38:CY38"/>
    <mergeCell ref="CZ38:DD38"/>
    <mergeCell ref="DE38:DI38"/>
    <mergeCell ref="CZ37:DD37"/>
    <mergeCell ref="DE37:DI37"/>
    <mergeCell ref="DJ37:DN37"/>
    <mergeCell ref="DO37:DS37"/>
    <mergeCell ref="DT37:DX37"/>
    <mergeCell ref="DY37:EC37"/>
    <mergeCell ref="ED37:EH37"/>
    <mergeCell ref="EI37:EM37"/>
    <mergeCell ref="EN37:ER37"/>
    <mergeCell ref="EI36:EM36"/>
    <mergeCell ref="EN36:ER36"/>
    <mergeCell ref="ES36:EW36"/>
    <mergeCell ref="A37:C37"/>
    <mergeCell ref="D37:H37"/>
    <mergeCell ref="I37:M37"/>
    <mergeCell ref="N37:R37"/>
    <mergeCell ref="S37:W37"/>
    <mergeCell ref="X37:AB37"/>
    <mergeCell ref="AC37:AG37"/>
    <mergeCell ref="AH37:AL37"/>
    <mergeCell ref="AM37:AQ37"/>
    <mergeCell ref="AR37:AV37"/>
    <mergeCell ref="AW37:BA37"/>
    <mergeCell ref="BB37:BF37"/>
    <mergeCell ref="BG37:BK37"/>
    <mergeCell ref="BL37:BP37"/>
    <mergeCell ref="BQ37:BU37"/>
    <mergeCell ref="BV37:BZ37"/>
    <mergeCell ref="CA37:CE37"/>
    <mergeCell ref="CF37:CJ37"/>
    <mergeCell ref="CK37:CO37"/>
    <mergeCell ref="CP37:CT37"/>
    <mergeCell ref="CU37:CY37"/>
    <mergeCell ref="CP36:CT36"/>
    <mergeCell ref="CU36:CY36"/>
    <mergeCell ref="CZ36:DD36"/>
    <mergeCell ref="DE36:DI36"/>
    <mergeCell ref="DJ36:DN36"/>
    <mergeCell ref="DO36:DS36"/>
    <mergeCell ref="DT36:DX36"/>
    <mergeCell ref="DY36:EC36"/>
    <mergeCell ref="ED36:EH36"/>
    <mergeCell ref="DY35:EC35"/>
    <mergeCell ref="ED35:EH35"/>
    <mergeCell ref="EI35:EM35"/>
    <mergeCell ref="EN35:ER35"/>
    <mergeCell ref="ES35:EW35"/>
    <mergeCell ref="A36:C36"/>
    <mergeCell ref="D36:H36"/>
    <mergeCell ref="I36:M36"/>
    <mergeCell ref="N36:R36"/>
    <mergeCell ref="S36:W36"/>
    <mergeCell ref="X36:AB36"/>
    <mergeCell ref="AC36:AG36"/>
    <mergeCell ref="AH36:AL36"/>
    <mergeCell ref="AM36:AQ36"/>
    <mergeCell ref="AR36:AV36"/>
    <mergeCell ref="AW36:BA36"/>
    <mergeCell ref="BB36:BF36"/>
    <mergeCell ref="BG36:BK36"/>
    <mergeCell ref="BL36:BP36"/>
    <mergeCell ref="BQ36:BU36"/>
    <mergeCell ref="BV36:BZ36"/>
    <mergeCell ref="CA36:CE36"/>
    <mergeCell ref="CF36:CJ36"/>
    <mergeCell ref="CK36:CO36"/>
    <mergeCell ref="CF35:CJ35"/>
    <mergeCell ref="CK35:CO35"/>
    <mergeCell ref="CP35:CT35"/>
    <mergeCell ref="CU35:CY35"/>
    <mergeCell ref="CZ35:DD35"/>
    <mergeCell ref="DE35:DI35"/>
    <mergeCell ref="DJ35:DN35"/>
    <mergeCell ref="DO35:DS35"/>
    <mergeCell ref="DT35:DX35"/>
    <mergeCell ref="DO2:DS2"/>
    <mergeCell ref="DT2:DX2"/>
    <mergeCell ref="DY2:EC2"/>
    <mergeCell ref="ED2:EH2"/>
    <mergeCell ref="EI2:EM2"/>
    <mergeCell ref="EN2:ER2"/>
    <mergeCell ref="ES2:EW2"/>
    <mergeCell ref="A35:C35"/>
    <mergeCell ref="D35:H35"/>
    <mergeCell ref="I35:M35"/>
    <mergeCell ref="N35:R35"/>
    <mergeCell ref="S35:W35"/>
    <mergeCell ref="X35:AB35"/>
    <mergeCell ref="AC35:AG35"/>
    <mergeCell ref="AH35:AL35"/>
    <mergeCell ref="AM35:AQ35"/>
    <mergeCell ref="AR35:AV35"/>
    <mergeCell ref="AW35:BA35"/>
    <mergeCell ref="BB35:BF35"/>
    <mergeCell ref="BG35:BK35"/>
    <mergeCell ref="BL35:BP35"/>
    <mergeCell ref="BQ35:BU35"/>
    <mergeCell ref="BV35:BZ35"/>
    <mergeCell ref="CA35:CE35"/>
    <mergeCell ref="A1:EW1"/>
    <mergeCell ref="D2:H2"/>
    <mergeCell ref="I2:M2"/>
    <mergeCell ref="N2:R2"/>
    <mergeCell ref="S2:W2"/>
    <mergeCell ref="X2:AB2"/>
    <mergeCell ref="AC2:AG2"/>
    <mergeCell ref="AH2:AL2"/>
    <mergeCell ref="AM2:AQ2"/>
    <mergeCell ref="AR2:AV2"/>
    <mergeCell ref="AW2:BA2"/>
    <mergeCell ref="BB2:BF2"/>
    <mergeCell ref="BG2:BK2"/>
    <mergeCell ref="BL2:BP2"/>
    <mergeCell ref="BQ2:BU2"/>
    <mergeCell ref="BV2:BZ2"/>
    <mergeCell ref="CA2:CE2"/>
    <mergeCell ref="CF2:CJ2"/>
    <mergeCell ref="CK2:CO2"/>
    <mergeCell ref="CP2:CT2"/>
    <mergeCell ref="CU2:CY2"/>
    <mergeCell ref="CZ2:DD2"/>
    <mergeCell ref="DE2:DI2"/>
    <mergeCell ref="DJ2:DN2"/>
  </mergeCells>
  <phoneticPr fontId="51"/>
  <conditionalFormatting sqref="A4:EW34">
    <cfRule type="expression" dxfId="253" priority="63">
      <formula>$B4="日"</formula>
    </cfRule>
    <cfRule type="expression" dxfId="252" priority="64">
      <formula>$B4="土"</formula>
    </cfRule>
    <cfRule type="expression" dxfId="251" priority="62">
      <formula>AND($A4&lt;&gt;"",ISNUMBER(MATCH(DATE(対象年度,10,$A4),祝日リスト,0)))</formula>
    </cfRule>
  </conditionalFormatting>
  <conditionalFormatting sqref="D4:D34">
    <cfRule type="expression" dxfId="250" priority="3">
      <formula>$D4="休業"</formula>
    </cfRule>
    <cfRule type="expression" dxfId="249" priority="2">
      <formula>$D4="有給"</formula>
    </cfRule>
  </conditionalFormatting>
  <conditionalFormatting sqref="I4:I34">
    <cfRule type="expression" dxfId="248" priority="4">
      <formula>$I4="有給"</formula>
    </cfRule>
    <cfRule type="expression" dxfId="247" priority="5">
      <formula>$I4="休業"</formula>
    </cfRule>
  </conditionalFormatting>
  <conditionalFormatting sqref="N4:N34">
    <cfRule type="expression" dxfId="246" priority="6">
      <formula>$N4="有給"</formula>
    </cfRule>
    <cfRule type="expression" dxfId="245" priority="7">
      <formula>$N4="休業"</formula>
    </cfRule>
  </conditionalFormatting>
  <conditionalFormatting sqref="S4:S34">
    <cfRule type="expression" dxfId="244" priority="8">
      <formula>$S4="有給"</formula>
    </cfRule>
    <cfRule type="expression" dxfId="243" priority="9">
      <formula>$S4="休業"</formula>
    </cfRule>
  </conditionalFormatting>
  <conditionalFormatting sqref="X4:X34">
    <cfRule type="expression" dxfId="242" priority="10">
      <formula>$X4="有給"</formula>
    </cfRule>
    <cfRule type="expression" dxfId="241" priority="11">
      <formula>$X4="休業"</formula>
    </cfRule>
  </conditionalFormatting>
  <conditionalFormatting sqref="AC4:AC34">
    <cfRule type="expression" dxfId="240" priority="12">
      <formula>$AC4="有給"</formula>
    </cfRule>
    <cfRule type="expression" dxfId="239" priority="13">
      <formula>$AC4="休業"</formula>
    </cfRule>
  </conditionalFormatting>
  <conditionalFormatting sqref="AH4:AH34">
    <cfRule type="expression" dxfId="238" priority="14">
      <formula>$AH4="有給"</formula>
    </cfRule>
    <cfRule type="expression" dxfId="237" priority="15">
      <formula>$AH4="休業"</formula>
    </cfRule>
  </conditionalFormatting>
  <conditionalFormatting sqref="AM4:AM34">
    <cfRule type="expression" dxfId="236" priority="17">
      <formula>$AM4="休業"</formula>
    </cfRule>
    <cfRule type="expression" dxfId="235" priority="16">
      <formula>$AM4="有給"</formula>
    </cfRule>
  </conditionalFormatting>
  <conditionalFormatting sqref="AR4:AR34">
    <cfRule type="expression" dxfId="234" priority="19">
      <formula>$AR4="休業"</formula>
    </cfRule>
    <cfRule type="expression" dxfId="233" priority="18">
      <formula>$AR4="有給"</formula>
    </cfRule>
  </conditionalFormatting>
  <conditionalFormatting sqref="AW4:AW34">
    <cfRule type="expression" dxfId="232" priority="20">
      <formula>$AW4="有給"</formula>
    </cfRule>
    <cfRule type="expression" dxfId="231" priority="21">
      <formula>$AW4="休業"</formula>
    </cfRule>
  </conditionalFormatting>
  <conditionalFormatting sqref="BB4:BB34">
    <cfRule type="expression" dxfId="230" priority="22">
      <formula>$BB4="有給"</formula>
    </cfRule>
    <cfRule type="expression" dxfId="229" priority="23">
      <formula>$BB4="休業"</formula>
    </cfRule>
  </conditionalFormatting>
  <conditionalFormatting sqref="BG4:BG34">
    <cfRule type="expression" dxfId="228" priority="24">
      <formula>$BG4="有給"</formula>
    </cfRule>
    <cfRule type="expression" dxfId="227" priority="25">
      <formula>$BG4="休業"</formula>
    </cfRule>
  </conditionalFormatting>
  <conditionalFormatting sqref="BL4:BL34">
    <cfRule type="expression" dxfId="226" priority="26">
      <formula>$BL4="有給"</formula>
    </cfRule>
    <cfRule type="expression" dxfId="225" priority="27">
      <formula>$BL4="休業"</formula>
    </cfRule>
  </conditionalFormatting>
  <conditionalFormatting sqref="BQ4:BQ34">
    <cfRule type="expression" dxfId="224" priority="28">
      <formula>$BQ4="有給"</formula>
    </cfRule>
    <cfRule type="expression" dxfId="223" priority="29">
      <formula>$BQ4="休業"</formula>
    </cfRule>
  </conditionalFormatting>
  <conditionalFormatting sqref="BV4:BV34">
    <cfRule type="expression" dxfId="222" priority="30">
      <formula>$BV4="有給"</formula>
    </cfRule>
    <cfRule type="expression" dxfId="221" priority="31">
      <formula>$BV4="休業"</formula>
    </cfRule>
  </conditionalFormatting>
  <conditionalFormatting sqref="CA4:CA34">
    <cfRule type="expression" dxfId="220" priority="33">
      <formula>$CA4="休業"</formula>
    </cfRule>
    <cfRule type="expression" dxfId="219" priority="32">
      <formula>$CA4="有給"</formula>
    </cfRule>
  </conditionalFormatting>
  <conditionalFormatting sqref="CF4:CF34">
    <cfRule type="expression" dxfId="218" priority="34">
      <formula>$CF4="有給"</formula>
    </cfRule>
    <cfRule type="expression" dxfId="217" priority="35">
      <formula>$CF4="休業"</formula>
    </cfRule>
  </conditionalFormatting>
  <conditionalFormatting sqref="CK4:CK34">
    <cfRule type="expression" dxfId="216" priority="37">
      <formula>$CK4="休業"</formula>
    </cfRule>
    <cfRule type="expression" dxfId="215" priority="36">
      <formula>$CK4="有給"</formula>
    </cfRule>
  </conditionalFormatting>
  <conditionalFormatting sqref="CP4:CP34">
    <cfRule type="expression" dxfId="214" priority="38">
      <formula>$CP4="有給"</formula>
    </cfRule>
    <cfRule type="expression" dxfId="213" priority="39">
      <formula>$CP4="休業"</formula>
    </cfRule>
  </conditionalFormatting>
  <conditionalFormatting sqref="CU4:CU34">
    <cfRule type="expression" dxfId="212" priority="40">
      <formula>$CU4="有給"</formula>
    </cfRule>
    <cfRule type="expression" dxfId="211" priority="41">
      <formula>$CU4="休業"</formula>
    </cfRule>
  </conditionalFormatting>
  <conditionalFormatting sqref="CZ4:CZ34">
    <cfRule type="expression" dxfId="210" priority="42">
      <formula>$CZ4="有給"</formula>
    </cfRule>
    <cfRule type="expression" dxfId="209" priority="43">
      <formula>$CZ4="休業"</formula>
    </cfRule>
  </conditionalFormatting>
  <conditionalFormatting sqref="DE4:DE34">
    <cfRule type="expression" dxfId="208" priority="44">
      <formula>$DE4="有給"</formula>
    </cfRule>
    <cfRule type="expression" dxfId="207" priority="45">
      <formula>$DE4="休業"</formula>
    </cfRule>
  </conditionalFormatting>
  <conditionalFormatting sqref="DJ4:DJ34">
    <cfRule type="expression" dxfId="206" priority="46">
      <formula>$DJ4="有給"</formula>
    </cfRule>
    <cfRule type="expression" dxfId="205" priority="47">
      <formula>$DJ4="休業"</formula>
    </cfRule>
  </conditionalFormatting>
  <conditionalFormatting sqref="DO4:DO34">
    <cfRule type="expression" dxfId="204" priority="48">
      <formula>$DO4="有給"</formula>
    </cfRule>
    <cfRule type="expression" dxfId="203" priority="49">
      <formula>$DO4="休業"</formula>
    </cfRule>
  </conditionalFormatting>
  <conditionalFormatting sqref="DT4:DT34">
    <cfRule type="expression" dxfId="202" priority="51">
      <formula>$DT4="休業"</formula>
    </cfRule>
    <cfRule type="expression" dxfId="201" priority="50">
      <formula>$DT4="有給"</formula>
    </cfRule>
  </conditionalFormatting>
  <conditionalFormatting sqref="DY4:DY34">
    <cfRule type="expression" dxfId="200" priority="52">
      <formula>$DY4="有給"</formula>
    </cfRule>
    <cfRule type="expression" dxfId="199" priority="53">
      <formula>$DY4="休業"</formula>
    </cfRule>
  </conditionalFormatting>
  <conditionalFormatting sqref="ED4:ED34">
    <cfRule type="expression" dxfId="198" priority="54">
      <formula>$ED4="有給"</formula>
    </cfRule>
    <cfRule type="expression" dxfId="197" priority="55">
      <formula>$ED4="休業"</formula>
    </cfRule>
  </conditionalFormatting>
  <conditionalFormatting sqref="EI4:EI34">
    <cfRule type="expression" dxfId="196" priority="56">
      <formula>$EI4="有給"</formula>
    </cfRule>
    <cfRule type="expression" dxfId="195" priority="57">
      <formula>$EI4="休業"</formula>
    </cfRule>
  </conditionalFormatting>
  <conditionalFormatting sqref="EN4:EN34">
    <cfRule type="expression" dxfId="194" priority="58">
      <formula>$EN4="有給"</formula>
    </cfRule>
    <cfRule type="expression" dxfId="193" priority="59">
      <formula>$EN4="休業"</formula>
    </cfRule>
  </conditionalFormatting>
  <conditionalFormatting sqref="ES4:ES34">
    <cfRule type="expression" dxfId="192" priority="60">
      <formula>$ES4="有給"</formula>
    </cfRule>
    <cfRule type="expression" dxfId="191" priority="61">
      <formula>$ES4="休業"</formula>
    </cfRule>
  </conditionalFormatting>
  <pageMargins left="0.31496062992125984" right="0.31496062992125984" top="0.98425196850393704" bottom="0.98425196850393704" header="0.51181102362204722" footer="0.51181102362204722"/>
  <pageSetup paperSize="8" scale="14" orientation="landscape" horizontalDpi="300" verticalDpi="300" r:id="rId1"/>
  <headerFooter>
    <oddFooter>&amp;C&amp;"ＭＳ Ｐゴシック,標準"制作：有限会社水越設備&amp;Rsp-mizukoshi.jp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00000000-0002-0000-0D00-000000000000}">
          <x14:formula1>
            <xm:f>現場マスタ!$C$4:$C$43</xm:f>
          </x14:formula1>
          <x14:formula2>
            <xm:f>0</xm:f>
          </x14:formula2>
          <xm:sqref>D4:E34 I4:J34 N4:O34 S4:T34 X4:Y34 AC4:AD34 AH4:AI34 AM4:AN34 AR4:AS34 AW4:AX34 BB4:BC34 BG4:BH34 BL4:BM34 BQ4:BR34 BV4:BW34 CA4:CB34 CF4:CG34 CK4:CL34 CP4:CQ34 CU4:CV34 CZ4:DA34 DE4:DF34 DJ4:DK34 DO4:DP34 DT4:DU34 DY4:DZ34 ED4:EE34 EI4:EJ34 EN4:EO34 ES4:ET34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EW40"/>
  <sheetViews>
    <sheetView zoomScaleNormal="100" workbookViewId="0">
      <pane xSplit="3" ySplit="3" topLeftCell="D4" activePane="bottomRight" state="frozen"/>
      <selection sqref="A1:EW1"/>
      <selection pane="topRight" sqref="A1:EW1"/>
      <selection pane="bottomLeft" sqref="A1:EW1"/>
      <selection pane="bottomRight" sqref="A1:EW1"/>
    </sheetView>
  </sheetViews>
  <sheetFormatPr defaultColWidth="8.7109375" defaultRowHeight="15"/>
  <cols>
    <col min="1" max="1" width="5" customWidth="1"/>
    <col min="2" max="3" width="4" customWidth="1"/>
    <col min="4" max="5" width="13" customWidth="1"/>
    <col min="6" max="7" width="6" customWidth="1"/>
    <col min="8" max="8" width="7" customWidth="1"/>
    <col min="9" max="10" width="13" customWidth="1"/>
    <col min="11" max="12" width="6" customWidth="1"/>
    <col min="13" max="13" width="7" customWidth="1"/>
    <col min="14" max="15" width="13" customWidth="1"/>
    <col min="16" max="17" width="6" customWidth="1"/>
    <col min="18" max="18" width="7" customWidth="1"/>
    <col min="19" max="20" width="13" customWidth="1"/>
    <col min="21" max="22" width="6" customWidth="1"/>
    <col min="23" max="23" width="7" customWidth="1"/>
    <col min="24" max="25" width="13" customWidth="1"/>
    <col min="26" max="27" width="6" customWidth="1"/>
    <col min="28" max="28" width="7" customWidth="1"/>
    <col min="29" max="30" width="13" customWidth="1"/>
    <col min="31" max="32" width="6" customWidth="1"/>
    <col min="33" max="33" width="7" customWidth="1"/>
    <col min="34" max="35" width="13" customWidth="1"/>
    <col min="36" max="37" width="6" customWidth="1"/>
    <col min="38" max="38" width="7" customWidth="1"/>
    <col min="39" max="40" width="13" customWidth="1"/>
    <col min="41" max="42" width="6" customWidth="1"/>
    <col min="43" max="43" width="7" customWidth="1"/>
    <col min="44" max="45" width="13" customWidth="1"/>
    <col min="46" max="47" width="6" customWidth="1"/>
    <col min="48" max="48" width="7" customWidth="1"/>
    <col min="49" max="50" width="13" customWidth="1"/>
    <col min="51" max="52" width="6" customWidth="1"/>
    <col min="53" max="53" width="7" customWidth="1"/>
    <col min="54" max="55" width="13" customWidth="1"/>
    <col min="56" max="57" width="6" customWidth="1"/>
    <col min="58" max="58" width="7" customWidth="1"/>
    <col min="59" max="60" width="13" customWidth="1"/>
    <col min="61" max="62" width="6" customWidth="1"/>
    <col min="63" max="63" width="7" customWidth="1"/>
    <col min="64" max="65" width="13" customWidth="1"/>
    <col min="66" max="67" width="6" customWidth="1"/>
    <col min="68" max="68" width="7" customWidth="1"/>
    <col min="69" max="70" width="13" customWidth="1"/>
    <col min="71" max="72" width="6" customWidth="1"/>
    <col min="73" max="73" width="7" customWidth="1"/>
    <col min="74" max="75" width="13" customWidth="1"/>
    <col min="76" max="77" width="6" customWidth="1"/>
    <col min="78" max="78" width="7" customWidth="1"/>
    <col min="79" max="80" width="13" customWidth="1"/>
    <col min="81" max="82" width="6" customWidth="1"/>
    <col min="83" max="83" width="7" customWidth="1"/>
    <col min="84" max="85" width="13" customWidth="1"/>
    <col min="86" max="87" width="6" customWidth="1"/>
    <col min="88" max="88" width="7" customWidth="1"/>
    <col min="89" max="90" width="13" customWidth="1"/>
    <col min="91" max="92" width="6" customWidth="1"/>
    <col min="93" max="93" width="7" customWidth="1"/>
    <col min="94" max="95" width="13" customWidth="1"/>
    <col min="96" max="97" width="6" customWidth="1"/>
    <col min="98" max="98" width="7" customWidth="1"/>
    <col min="99" max="100" width="13" customWidth="1"/>
    <col min="101" max="102" width="6" customWidth="1"/>
    <col min="103" max="103" width="7" customWidth="1"/>
    <col min="104" max="105" width="13" customWidth="1"/>
    <col min="106" max="107" width="6" customWidth="1"/>
    <col min="108" max="108" width="7" customWidth="1"/>
    <col min="109" max="110" width="13" customWidth="1"/>
    <col min="111" max="112" width="6" customWidth="1"/>
    <col min="113" max="113" width="7" customWidth="1"/>
    <col min="114" max="115" width="13" customWidth="1"/>
    <col min="116" max="117" width="6" customWidth="1"/>
    <col min="118" max="118" width="7" customWidth="1"/>
    <col min="119" max="120" width="13" customWidth="1"/>
    <col min="121" max="122" width="6" customWidth="1"/>
    <col min="123" max="123" width="7" customWidth="1"/>
    <col min="124" max="125" width="13" customWidth="1"/>
    <col min="126" max="127" width="6" customWidth="1"/>
    <col min="128" max="128" width="7" customWidth="1"/>
    <col min="129" max="130" width="13" customWidth="1"/>
    <col min="131" max="132" width="6" customWidth="1"/>
    <col min="133" max="133" width="7" customWidth="1"/>
    <col min="134" max="135" width="13" customWidth="1"/>
    <col min="136" max="137" width="6" customWidth="1"/>
    <col min="138" max="138" width="7" customWidth="1"/>
    <col min="139" max="140" width="13" customWidth="1"/>
    <col min="141" max="142" width="6" customWidth="1"/>
    <col min="143" max="143" width="7" customWidth="1"/>
    <col min="144" max="145" width="13" customWidth="1"/>
    <col min="146" max="147" width="6" customWidth="1"/>
    <col min="148" max="148" width="7" customWidth="1"/>
    <col min="149" max="150" width="13" customWidth="1"/>
    <col min="151" max="152" width="6" customWidth="1"/>
    <col min="153" max="153" width="7" customWidth="1"/>
  </cols>
  <sheetData>
    <row r="1" spans="1:153" ht="36" customHeight="1">
      <c r="A1" s="96" t="str">
        <f>" "&amp;対象年度&amp;"年 11月分　出面表　"</f>
        <v xml:space="preserve"> 2026年 11月分　出面表　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Y1" s="96"/>
      <c r="BZ1" s="96"/>
      <c r="CA1" s="96"/>
      <c r="CB1" s="96"/>
      <c r="CC1" s="96"/>
      <c r="CD1" s="96"/>
      <c r="CE1" s="96"/>
      <c r="CF1" s="96"/>
      <c r="CG1" s="96"/>
      <c r="CH1" s="96"/>
      <c r="CI1" s="96"/>
      <c r="CJ1" s="96"/>
      <c r="CK1" s="96"/>
      <c r="CL1" s="96"/>
      <c r="CM1" s="96"/>
      <c r="CN1" s="96"/>
      <c r="CO1" s="96"/>
      <c r="CP1" s="96"/>
      <c r="CQ1" s="96"/>
      <c r="CR1" s="96"/>
      <c r="CS1" s="96"/>
      <c r="CT1" s="96"/>
      <c r="CU1" s="96"/>
      <c r="CV1" s="96"/>
      <c r="CW1" s="96"/>
      <c r="CX1" s="96"/>
      <c r="CY1" s="96"/>
      <c r="CZ1" s="96"/>
      <c r="DA1" s="96"/>
      <c r="DB1" s="96"/>
      <c r="DC1" s="96"/>
      <c r="DD1" s="96"/>
      <c r="DE1" s="96"/>
      <c r="DF1" s="96"/>
      <c r="DG1" s="96"/>
      <c r="DH1" s="96"/>
      <c r="DI1" s="96"/>
      <c r="DJ1" s="96"/>
      <c r="DK1" s="96"/>
      <c r="DL1" s="96"/>
      <c r="DM1" s="96"/>
      <c r="DN1" s="96"/>
      <c r="DO1" s="96"/>
      <c r="DP1" s="96"/>
      <c r="DQ1" s="96"/>
      <c r="DR1" s="96"/>
      <c r="DS1" s="96"/>
      <c r="DT1" s="96"/>
      <c r="DU1" s="96"/>
      <c r="DV1" s="96"/>
      <c r="DW1" s="96"/>
      <c r="DX1" s="96"/>
      <c r="DY1" s="96"/>
      <c r="DZ1" s="96"/>
      <c r="EA1" s="96"/>
      <c r="EB1" s="96"/>
      <c r="EC1" s="96"/>
      <c r="ED1" s="96"/>
      <c r="EE1" s="96"/>
      <c r="EF1" s="96"/>
      <c r="EG1" s="96"/>
      <c r="EH1" s="96"/>
      <c r="EI1" s="96"/>
      <c r="EJ1" s="96"/>
      <c r="EK1" s="96"/>
      <c r="EL1" s="96"/>
      <c r="EM1" s="96"/>
      <c r="EN1" s="96"/>
      <c r="EO1" s="96"/>
      <c r="EP1" s="96"/>
      <c r="EQ1" s="96"/>
      <c r="ER1" s="96"/>
      <c r="ES1" s="96"/>
      <c r="ET1" s="96"/>
      <c r="EU1" s="96"/>
      <c r="EV1" s="96"/>
      <c r="EW1" s="96"/>
    </row>
    <row r="2" spans="1:153" ht="25.5" customHeight="1">
      <c r="A2" s="21"/>
      <c r="B2" s="21"/>
      <c r="C2" s="21"/>
      <c r="D2" s="97" t="str">
        <f>IFERROR(IF(従業員マスタ!$C$4="","",対象年度&amp;"年11月　"&amp;従業員マスタ!$C$4),"")</f>
        <v>2026年11月　代表 太郎</v>
      </c>
      <c r="E2" s="97"/>
      <c r="F2" s="97"/>
      <c r="G2" s="97"/>
      <c r="H2" s="97"/>
      <c r="I2" s="97" t="str">
        <f>IFERROR(IF(従業員マスタ!$C$5="","",対象年度&amp;"年11月　"&amp;従業員マスタ!$C$5),"")</f>
        <v>2026年11月　専務 次郎</v>
      </c>
      <c r="J2" s="97"/>
      <c r="K2" s="97"/>
      <c r="L2" s="97"/>
      <c r="M2" s="97"/>
      <c r="N2" s="97" t="str">
        <f>IFERROR(IF(従業員マスタ!$C$6="","",対象年度&amp;"年11月　"&amp;従業員マスタ!$C$6),"")</f>
        <v>2026年11月　山田 一郎</v>
      </c>
      <c r="O2" s="97"/>
      <c r="P2" s="97"/>
      <c r="Q2" s="97"/>
      <c r="R2" s="97"/>
      <c r="S2" s="97" t="str">
        <f>IFERROR(IF(従業員マスタ!$C$7="","",対象年度&amp;"年11月　"&amp;従業員マスタ!$C$7),"")</f>
        <v>2026年11月　鈴木 二郎</v>
      </c>
      <c r="T2" s="97"/>
      <c r="U2" s="97"/>
      <c r="V2" s="97"/>
      <c r="W2" s="97"/>
      <c r="X2" s="97" t="str">
        <f>IFERROR(IF(従業員マスタ!$C$8="","",対象年度&amp;"年11月　"&amp;従業員マスタ!$C$8),"")</f>
        <v>2026年11月　佐藤 三郎</v>
      </c>
      <c r="Y2" s="97"/>
      <c r="Z2" s="97"/>
      <c r="AA2" s="97"/>
      <c r="AB2" s="97"/>
      <c r="AC2" s="97" t="str">
        <f>IFERROR(IF(従業員マスタ!$C$9="","",対象年度&amp;"年11月　"&amp;従業員マスタ!$C$9),"")</f>
        <v>2026年11月　高橋 四郎</v>
      </c>
      <c r="AD2" s="97"/>
      <c r="AE2" s="97"/>
      <c r="AF2" s="97"/>
      <c r="AG2" s="97"/>
      <c r="AH2" s="97" t="str">
        <f>IFERROR(IF(従業員マスタ!$C$10="","",対象年度&amp;"年11月　"&amp;従業員マスタ!$C$10),"")</f>
        <v>2026年11月　田中 五郎</v>
      </c>
      <c r="AI2" s="97"/>
      <c r="AJ2" s="97"/>
      <c r="AK2" s="97"/>
      <c r="AL2" s="97"/>
      <c r="AM2" s="97" t="str">
        <f>IFERROR(IF(従業員マスタ!$C$11="","",対象年度&amp;"年11月　"&amp;従業員マスタ!$C$11),"")</f>
        <v>2026年11月　伊藤 六郎</v>
      </c>
      <c r="AN2" s="97"/>
      <c r="AO2" s="97"/>
      <c r="AP2" s="97"/>
      <c r="AQ2" s="97"/>
      <c r="AR2" s="97" t="str">
        <f>IFERROR(IF(従業員マスタ!$C$12="","",対象年度&amp;"年11月　"&amp;従業員マスタ!$C$12),"")</f>
        <v>2026年11月　渡辺 七郎</v>
      </c>
      <c r="AS2" s="97"/>
      <c r="AT2" s="97"/>
      <c r="AU2" s="97"/>
      <c r="AV2" s="97"/>
      <c r="AW2" s="97" t="str">
        <f>IFERROR(IF(従業員マスタ!$C$13="","",対象年度&amp;"年11月　"&amp;従業員マスタ!$C$13),"")</f>
        <v>2026年11月　中村 八郎</v>
      </c>
      <c r="AX2" s="97"/>
      <c r="AY2" s="97"/>
      <c r="AZ2" s="97"/>
      <c r="BA2" s="97"/>
      <c r="BB2" s="97" t="str">
        <f>IFERROR(IF(従業員マスタ!$C$14="","",対象年度&amp;"年11月　"&amp;従業員マスタ!$C$14),"")</f>
        <v>2026年11月　小林 九郎</v>
      </c>
      <c r="BC2" s="97"/>
      <c r="BD2" s="97"/>
      <c r="BE2" s="97"/>
      <c r="BF2" s="97"/>
      <c r="BG2" s="97" t="str">
        <f>IFERROR(IF(従業員マスタ!$C$15="","",対象年度&amp;"年11月　"&amp;従業員マスタ!$C$15),"")</f>
        <v>2026年11月　加藤 十郎</v>
      </c>
      <c r="BH2" s="97"/>
      <c r="BI2" s="97"/>
      <c r="BJ2" s="97"/>
      <c r="BK2" s="97"/>
      <c r="BL2" s="97" t="str">
        <f>IFERROR(IF(従業員マスタ!$C$16="","",対象年度&amp;"年11月　"&amp;従業員マスタ!$C$16),"")</f>
        <v/>
      </c>
      <c r="BM2" s="97"/>
      <c r="BN2" s="97"/>
      <c r="BO2" s="97"/>
      <c r="BP2" s="97"/>
      <c r="BQ2" s="97" t="str">
        <f>IFERROR(IF(従業員マスタ!$C$17="","",対象年度&amp;"年11月　"&amp;従業員マスタ!$C$17),"")</f>
        <v/>
      </c>
      <c r="BR2" s="97"/>
      <c r="BS2" s="97"/>
      <c r="BT2" s="97"/>
      <c r="BU2" s="97"/>
      <c r="BV2" s="97" t="str">
        <f>IFERROR(IF(従業員マスタ!$C$18="","",対象年度&amp;"年11月　"&amp;従業員マスタ!$C$18),"")</f>
        <v/>
      </c>
      <c r="BW2" s="97"/>
      <c r="BX2" s="97"/>
      <c r="BY2" s="97"/>
      <c r="BZ2" s="97"/>
      <c r="CA2" s="97" t="str">
        <f>IFERROR(IF(従業員マスタ!$C$19="","",対象年度&amp;"年11月　"&amp;従業員マスタ!$C$19),"")</f>
        <v/>
      </c>
      <c r="CB2" s="97"/>
      <c r="CC2" s="97"/>
      <c r="CD2" s="97"/>
      <c r="CE2" s="97"/>
      <c r="CF2" s="97" t="str">
        <f>IFERROR(IF(従業員マスタ!$C$20="","",対象年度&amp;"年11月　"&amp;従業員マスタ!$C$20),"")</f>
        <v/>
      </c>
      <c r="CG2" s="97"/>
      <c r="CH2" s="97"/>
      <c r="CI2" s="97"/>
      <c r="CJ2" s="97"/>
      <c r="CK2" s="97" t="str">
        <f>IFERROR(IF(従業員マスタ!$C$21="","",対象年度&amp;"年11月　"&amp;従業員マスタ!$C$21),"")</f>
        <v/>
      </c>
      <c r="CL2" s="97"/>
      <c r="CM2" s="97"/>
      <c r="CN2" s="97"/>
      <c r="CO2" s="97"/>
      <c r="CP2" s="97" t="str">
        <f>IFERROR(IF(従業員マスタ!$C$22="","",対象年度&amp;"年11月　"&amp;従業員マスタ!$C$22),"")</f>
        <v/>
      </c>
      <c r="CQ2" s="97"/>
      <c r="CR2" s="97"/>
      <c r="CS2" s="97"/>
      <c r="CT2" s="97"/>
      <c r="CU2" s="97" t="str">
        <f>IFERROR(IF(従業員マスタ!$C$23="","",対象年度&amp;"年11月　"&amp;従業員マスタ!$C$23),"")</f>
        <v/>
      </c>
      <c r="CV2" s="97"/>
      <c r="CW2" s="97"/>
      <c r="CX2" s="97"/>
      <c r="CY2" s="97"/>
      <c r="CZ2" s="97" t="str">
        <f>IFERROR(IF(従業員マスタ!$C$24="","",対象年度&amp;"年11月　"&amp;従業員マスタ!$C$24),"")</f>
        <v/>
      </c>
      <c r="DA2" s="97"/>
      <c r="DB2" s="97"/>
      <c r="DC2" s="97"/>
      <c r="DD2" s="97"/>
      <c r="DE2" s="97" t="str">
        <f>IFERROR(IF(従業員マスタ!$C$25="","",対象年度&amp;"年11月　"&amp;従業員マスタ!$C$25),"")</f>
        <v/>
      </c>
      <c r="DF2" s="97"/>
      <c r="DG2" s="97"/>
      <c r="DH2" s="97"/>
      <c r="DI2" s="97"/>
      <c r="DJ2" s="97" t="str">
        <f>IFERROR(IF(従業員マスタ!$C$26="","",対象年度&amp;"年11月　"&amp;従業員マスタ!$C$26),"")</f>
        <v/>
      </c>
      <c r="DK2" s="97"/>
      <c r="DL2" s="97"/>
      <c r="DM2" s="97"/>
      <c r="DN2" s="97"/>
      <c r="DO2" s="97" t="str">
        <f>IFERROR(IF(従業員マスタ!$C$27="","",対象年度&amp;"年11月　"&amp;従業員マスタ!$C$27),"")</f>
        <v/>
      </c>
      <c r="DP2" s="97"/>
      <c r="DQ2" s="97"/>
      <c r="DR2" s="97"/>
      <c r="DS2" s="97"/>
      <c r="DT2" s="97" t="str">
        <f>IFERROR(IF(従業員マスタ!$C$28="","",対象年度&amp;"年11月　"&amp;従業員マスタ!$C$28),"")</f>
        <v/>
      </c>
      <c r="DU2" s="97"/>
      <c r="DV2" s="97"/>
      <c r="DW2" s="97"/>
      <c r="DX2" s="97"/>
      <c r="DY2" s="97" t="str">
        <f>IFERROR(IF(従業員マスタ!$C$29="","",対象年度&amp;"年11月　"&amp;従業員マスタ!$C$29),"")</f>
        <v/>
      </c>
      <c r="DZ2" s="97"/>
      <c r="EA2" s="97"/>
      <c r="EB2" s="97"/>
      <c r="EC2" s="97"/>
      <c r="ED2" s="97" t="str">
        <f>IFERROR(IF(従業員マスタ!$C$30="","",対象年度&amp;"年11月　"&amp;従業員マスタ!$C$30),"")</f>
        <v/>
      </c>
      <c r="EE2" s="97"/>
      <c r="EF2" s="97"/>
      <c r="EG2" s="97"/>
      <c r="EH2" s="97"/>
      <c r="EI2" s="97" t="str">
        <f>IFERROR(IF(従業員マスタ!$C$31="","",対象年度&amp;"年11月　"&amp;従業員マスタ!$C$31),"")</f>
        <v/>
      </c>
      <c r="EJ2" s="97"/>
      <c r="EK2" s="97"/>
      <c r="EL2" s="97"/>
      <c r="EM2" s="97"/>
      <c r="EN2" s="97" t="str">
        <f>IFERROR(IF(従業員マスタ!$C$32="","",対象年度&amp;"年11月　"&amp;従業員マスタ!$C$32),"")</f>
        <v/>
      </c>
      <c r="EO2" s="97"/>
      <c r="EP2" s="97"/>
      <c r="EQ2" s="97"/>
      <c r="ER2" s="97"/>
      <c r="ES2" s="97" t="str">
        <f>IFERROR(IF(従業員マスタ!$C$33="","",対象年度&amp;"年11月　"&amp;従業員マスタ!$C$33),"")</f>
        <v/>
      </c>
      <c r="ET2" s="97"/>
      <c r="EU2" s="97"/>
      <c r="EV2" s="97"/>
      <c r="EW2" s="97"/>
    </row>
    <row r="3" spans="1:153" ht="24" customHeight="1">
      <c r="A3" s="22" t="s">
        <v>108</v>
      </c>
      <c r="B3" s="22" t="s">
        <v>109</v>
      </c>
      <c r="C3" s="22" t="s">
        <v>110</v>
      </c>
      <c r="D3" s="23" t="s">
        <v>111</v>
      </c>
      <c r="E3" s="24" t="s">
        <v>112</v>
      </c>
      <c r="F3" s="22" t="s">
        <v>113</v>
      </c>
      <c r="G3" s="22" t="s">
        <v>114</v>
      </c>
      <c r="H3" s="25" t="s">
        <v>115</v>
      </c>
      <c r="I3" s="23" t="s">
        <v>111</v>
      </c>
      <c r="J3" s="24" t="s">
        <v>112</v>
      </c>
      <c r="K3" s="22" t="s">
        <v>113</v>
      </c>
      <c r="L3" s="22" t="s">
        <v>114</v>
      </c>
      <c r="M3" s="25" t="s">
        <v>115</v>
      </c>
      <c r="N3" s="23" t="s">
        <v>111</v>
      </c>
      <c r="O3" s="24" t="s">
        <v>112</v>
      </c>
      <c r="P3" s="22" t="s">
        <v>113</v>
      </c>
      <c r="Q3" s="22" t="s">
        <v>114</v>
      </c>
      <c r="R3" s="25" t="s">
        <v>115</v>
      </c>
      <c r="S3" s="23" t="s">
        <v>111</v>
      </c>
      <c r="T3" s="24" t="s">
        <v>112</v>
      </c>
      <c r="U3" s="22" t="s">
        <v>113</v>
      </c>
      <c r="V3" s="22" t="s">
        <v>114</v>
      </c>
      <c r="W3" s="25" t="s">
        <v>115</v>
      </c>
      <c r="X3" s="23" t="s">
        <v>111</v>
      </c>
      <c r="Y3" s="24" t="s">
        <v>112</v>
      </c>
      <c r="Z3" s="22" t="s">
        <v>113</v>
      </c>
      <c r="AA3" s="22" t="s">
        <v>114</v>
      </c>
      <c r="AB3" s="25" t="s">
        <v>115</v>
      </c>
      <c r="AC3" s="23" t="s">
        <v>111</v>
      </c>
      <c r="AD3" s="24" t="s">
        <v>112</v>
      </c>
      <c r="AE3" s="22" t="s">
        <v>113</v>
      </c>
      <c r="AF3" s="22" t="s">
        <v>114</v>
      </c>
      <c r="AG3" s="25" t="s">
        <v>115</v>
      </c>
      <c r="AH3" s="23" t="s">
        <v>111</v>
      </c>
      <c r="AI3" s="24" t="s">
        <v>112</v>
      </c>
      <c r="AJ3" s="22" t="s">
        <v>113</v>
      </c>
      <c r="AK3" s="22" t="s">
        <v>114</v>
      </c>
      <c r="AL3" s="25" t="s">
        <v>115</v>
      </c>
      <c r="AM3" s="23" t="s">
        <v>111</v>
      </c>
      <c r="AN3" s="24" t="s">
        <v>112</v>
      </c>
      <c r="AO3" s="22" t="s">
        <v>113</v>
      </c>
      <c r="AP3" s="22" t="s">
        <v>114</v>
      </c>
      <c r="AQ3" s="25" t="s">
        <v>115</v>
      </c>
      <c r="AR3" s="23" t="s">
        <v>111</v>
      </c>
      <c r="AS3" s="24" t="s">
        <v>112</v>
      </c>
      <c r="AT3" s="22" t="s">
        <v>113</v>
      </c>
      <c r="AU3" s="22" t="s">
        <v>114</v>
      </c>
      <c r="AV3" s="25" t="s">
        <v>115</v>
      </c>
      <c r="AW3" s="23" t="s">
        <v>111</v>
      </c>
      <c r="AX3" s="24" t="s">
        <v>112</v>
      </c>
      <c r="AY3" s="22" t="s">
        <v>113</v>
      </c>
      <c r="AZ3" s="22" t="s">
        <v>114</v>
      </c>
      <c r="BA3" s="25" t="s">
        <v>115</v>
      </c>
      <c r="BB3" s="23" t="s">
        <v>111</v>
      </c>
      <c r="BC3" s="24" t="s">
        <v>112</v>
      </c>
      <c r="BD3" s="22" t="s">
        <v>113</v>
      </c>
      <c r="BE3" s="22" t="s">
        <v>114</v>
      </c>
      <c r="BF3" s="25" t="s">
        <v>115</v>
      </c>
      <c r="BG3" s="23" t="s">
        <v>111</v>
      </c>
      <c r="BH3" s="24" t="s">
        <v>112</v>
      </c>
      <c r="BI3" s="22" t="s">
        <v>113</v>
      </c>
      <c r="BJ3" s="22" t="s">
        <v>114</v>
      </c>
      <c r="BK3" s="25" t="s">
        <v>115</v>
      </c>
      <c r="BL3" s="23" t="s">
        <v>111</v>
      </c>
      <c r="BM3" s="24" t="s">
        <v>112</v>
      </c>
      <c r="BN3" s="22" t="s">
        <v>113</v>
      </c>
      <c r="BO3" s="22" t="s">
        <v>114</v>
      </c>
      <c r="BP3" s="25" t="s">
        <v>115</v>
      </c>
      <c r="BQ3" s="23" t="s">
        <v>111</v>
      </c>
      <c r="BR3" s="24" t="s">
        <v>112</v>
      </c>
      <c r="BS3" s="22" t="s">
        <v>113</v>
      </c>
      <c r="BT3" s="22" t="s">
        <v>114</v>
      </c>
      <c r="BU3" s="25" t="s">
        <v>115</v>
      </c>
      <c r="BV3" s="23" t="s">
        <v>111</v>
      </c>
      <c r="BW3" s="24" t="s">
        <v>112</v>
      </c>
      <c r="BX3" s="22" t="s">
        <v>113</v>
      </c>
      <c r="BY3" s="22" t="s">
        <v>114</v>
      </c>
      <c r="BZ3" s="25" t="s">
        <v>115</v>
      </c>
      <c r="CA3" s="23" t="s">
        <v>111</v>
      </c>
      <c r="CB3" s="24" t="s">
        <v>112</v>
      </c>
      <c r="CC3" s="22" t="s">
        <v>113</v>
      </c>
      <c r="CD3" s="22" t="s">
        <v>114</v>
      </c>
      <c r="CE3" s="25" t="s">
        <v>115</v>
      </c>
      <c r="CF3" s="23" t="s">
        <v>111</v>
      </c>
      <c r="CG3" s="24" t="s">
        <v>112</v>
      </c>
      <c r="CH3" s="22" t="s">
        <v>113</v>
      </c>
      <c r="CI3" s="22" t="s">
        <v>114</v>
      </c>
      <c r="CJ3" s="25" t="s">
        <v>115</v>
      </c>
      <c r="CK3" s="23" t="s">
        <v>111</v>
      </c>
      <c r="CL3" s="24" t="s">
        <v>112</v>
      </c>
      <c r="CM3" s="22" t="s">
        <v>113</v>
      </c>
      <c r="CN3" s="22" t="s">
        <v>114</v>
      </c>
      <c r="CO3" s="25" t="s">
        <v>115</v>
      </c>
      <c r="CP3" s="23" t="s">
        <v>111</v>
      </c>
      <c r="CQ3" s="24" t="s">
        <v>112</v>
      </c>
      <c r="CR3" s="22" t="s">
        <v>113</v>
      </c>
      <c r="CS3" s="22" t="s">
        <v>114</v>
      </c>
      <c r="CT3" s="25" t="s">
        <v>115</v>
      </c>
      <c r="CU3" s="23" t="s">
        <v>111</v>
      </c>
      <c r="CV3" s="24" t="s">
        <v>112</v>
      </c>
      <c r="CW3" s="22" t="s">
        <v>113</v>
      </c>
      <c r="CX3" s="22" t="s">
        <v>114</v>
      </c>
      <c r="CY3" s="25" t="s">
        <v>115</v>
      </c>
      <c r="CZ3" s="23" t="s">
        <v>111</v>
      </c>
      <c r="DA3" s="24" t="s">
        <v>112</v>
      </c>
      <c r="DB3" s="22" t="s">
        <v>113</v>
      </c>
      <c r="DC3" s="22" t="s">
        <v>114</v>
      </c>
      <c r="DD3" s="25" t="s">
        <v>115</v>
      </c>
      <c r="DE3" s="23" t="s">
        <v>111</v>
      </c>
      <c r="DF3" s="24" t="s">
        <v>112</v>
      </c>
      <c r="DG3" s="22" t="s">
        <v>113</v>
      </c>
      <c r="DH3" s="22" t="s">
        <v>114</v>
      </c>
      <c r="DI3" s="25" t="s">
        <v>115</v>
      </c>
      <c r="DJ3" s="23" t="s">
        <v>111</v>
      </c>
      <c r="DK3" s="24" t="s">
        <v>112</v>
      </c>
      <c r="DL3" s="22" t="s">
        <v>113</v>
      </c>
      <c r="DM3" s="22" t="s">
        <v>114</v>
      </c>
      <c r="DN3" s="25" t="s">
        <v>115</v>
      </c>
      <c r="DO3" s="23" t="s">
        <v>111</v>
      </c>
      <c r="DP3" s="24" t="s">
        <v>112</v>
      </c>
      <c r="DQ3" s="22" t="s">
        <v>113</v>
      </c>
      <c r="DR3" s="22" t="s">
        <v>114</v>
      </c>
      <c r="DS3" s="25" t="s">
        <v>115</v>
      </c>
      <c r="DT3" s="23" t="s">
        <v>111</v>
      </c>
      <c r="DU3" s="24" t="s">
        <v>112</v>
      </c>
      <c r="DV3" s="22" t="s">
        <v>113</v>
      </c>
      <c r="DW3" s="22" t="s">
        <v>114</v>
      </c>
      <c r="DX3" s="25" t="s">
        <v>115</v>
      </c>
      <c r="DY3" s="23" t="s">
        <v>111</v>
      </c>
      <c r="DZ3" s="24" t="s">
        <v>112</v>
      </c>
      <c r="EA3" s="22" t="s">
        <v>113</v>
      </c>
      <c r="EB3" s="22" t="s">
        <v>114</v>
      </c>
      <c r="EC3" s="25" t="s">
        <v>115</v>
      </c>
      <c r="ED3" s="23" t="s">
        <v>111</v>
      </c>
      <c r="EE3" s="24" t="s">
        <v>112</v>
      </c>
      <c r="EF3" s="22" t="s">
        <v>113</v>
      </c>
      <c r="EG3" s="22" t="s">
        <v>114</v>
      </c>
      <c r="EH3" s="25" t="s">
        <v>115</v>
      </c>
      <c r="EI3" s="23" t="s">
        <v>111</v>
      </c>
      <c r="EJ3" s="24" t="s">
        <v>112</v>
      </c>
      <c r="EK3" s="22" t="s">
        <v>113</v>
      </c>
      <c r="EL3" s="22" t="s">
        <v>114</v>
      </c>
      <c r="EM3" s="25" t="s">
        <v>115</v>
      </c>
      <c r="EN3" s="23" t="s">
        <v>111</v>
      </c>
      <c r="EO3" s="24" t="s">
        <v>112</v>
      </c>
      <c r="EP3" s="22" t="s">
        <v>113</v>
      </c>
      <c r="EQ3" s="22" t="s">
        <v>114</v>
      </c>
      <c r="ER3" s="25" t="s">
        <v>115</v>
      </c>
      <c r="ES3" s="23" t="s">
        <v>111</v>
      </c>
      <c r="ET3" s="24" t="s">
        <v>112</v>
      </c>
      <c r="EU3" s="22" t="s">
        <v>113</v>
      </c>
      <c r="EV3" s="22" t="s">
        <v>114</v>
      </c>
      <c r="EW3" s="25" t="s">
        <v>115</v>
      </c>
    </row>
    <row r="4" spans="1:153" ht="19.5" customHeight="1">
      <c r="A4" s="26">
        <f>IF(DAY(DATE(対象年度,11,1))&lt;&gt;1,"",1)</f>
        <v>1</v>
      </c>
      <c r="B4" s="26" t="str">
        <f>IF(DAY(DATE(対象年度,11,1))&lt;&gt;1,"",CHOOSE(WEEKDAY(DATE(対象年度,11,1),2),"月","火","水","木","金","土","日"))</f>
        <v>日</v>
      </c>
      <c r="C4" s="26" t="str">
        <f>IF(DAY(DATE(対象年度,11,1))&lt;&gt;1,"",IF(ISNUMBER(MATCH(DATE(対象年度,11,1),祝日リスト,0)),"祝",""))</f>
        <v/>
      </c>
      <c r="D4" s="27"/>
      <c r="E4" s="28"/>
      <c r="F4" s="29" t="str">
        <f t="shared" ref="F4:F34" si="0">IF(D4="","",IF(ISNUMBER(SEARCH("夜勤",D4)),"",IF(A4="","","○")))</f>
        <v/>
      </c>
      <c r="G4" s="30" t="str">
        <f t="shared" ref="G4:G34" si="1">IF(A4="","",IF(OR(AND(E4&lt;&gt;"",NOT(OR(E4="有給",E4="休業"))),ISNUMBER(SEARCH("夜勤",D4))),"○",""))</f>
        <v/>
      </c>
      <c r="H4" s="31"/>
      <c r="I4" s="27"/>
      <c r="J4" s="28"/>
      <c r="K4" s="29" t="str">
        <f t="shared" ref="K4:K34" si="2">IF(I4="","",IF(ISNUMBER(SEARCH("夜勤",I4)),"",IF(A4="","","○")))</f>
        <v/>
      </c>
      <c r="L4" s="30" t="str">
        <f t="shared" ref="L4:L34" si="3">IF(A4="","",IF(OR(AND(J4&lt;&gt;"",NOT(OR(J4="有給",J4="休業"))),ISNUMBER(SEARCH("夜勤",I4))),"○",""))</f>
        <v/>
      </c>
      <c r="M4" s="31"/>
      <c r="N4" s="27"/>
      <c r="O4" s="28"/>
      <c r="P4" s="29" t="str">
        <f t="shared" ref="P4:P34" si="4">IF(N4="","",IF(ISNUMBER(SEARCH("夜勤",N4)),"",IF(A4="","","○")))</f>
        <v/>
      </c>
      <c r="Q4" s="30" t="str">
        <f t="shared" ref="Q4:Q34" si="5">IF(A4="","",IF(OR(AND(O4&lt;&gt;"",NOT(OR(O4="有給",O4="休業"))),ISNUMBER(SEARCH("夜勤",N4))),"○",""))</f>
        <v/>
      </c>
      <c r="R4" s="31"/>
      <c r="S4" s="27"/>
      <c r="T4" s="28"/>
      <c r="U4" s="29" t="str">
        <f t="shared" ref="U4:U34" si="6">IF(S4="","",IF(ISNUMBER(SEARCH("夜勤",S4)),"",IF(A4="","","○")))</f>
        <v/>
      </c>
      <c r="V4" s="30" t="str">
        <f t="shared" ref="V4:V34" si="7">IF(A4="","",IF(OR(AND(T4&lt;&gt;"",NOT(OR(T4="有給",T4="休業"))),ISNUMBER(SEARCH("夜勤",S4))),"○",""))</f>
        <v/>
      </c>
      <c r="W4" s="31"/>
      <c r="X4" s="27"/>
      <c r="Y4" s="28"/>
      <c r="Z4" s="29" t="str">
        <f t="shared" ref="Z4:Z34" si="8">IF(X4="","",IF(ISNUMBER(SEARCH("夜勤",X4)),"",IF(A4="","","○")))</f>
        <v/>
      </c>
      <c r="AA4" s="30" t="str">
        <f t="shared" ref="AA4:AA34" si="9">IF(A4="","",IF(OR(AND(Y4&lt;&gt;"",NOT(OR(Y4="有給",Y4="休業"))),ISNUMBER(SEARCH("夜勤",X4))),"○",""))</f>
        <v/>
      </c>
      <c r="AB4" s="31"/>
      <c r="AC4" s="27"/>
      <c r="AD4" s="28"/>
      <c r="AE4" s="29" t="str">
        <f t="shared" ref="AE4:AE34" si="10">IF(AC4="","",IF(ISNUMBER(SEARCH("夜勤",AC4)),"",IF(A4="","","○")))</f>
        <v/>
      </c>
      <c r="AF4" s="30" t="str">
        <f t="shared" ref="AF4:AF34" si="11">IF(A4="","",IF(OR(AND(AD4&lt;&gt;"",NOT(OR(AD4="有給",AD4="休業"))),ISNUMBER(SEARCH("夜勤",AC4))),"○",""))</f>
        <v/>
      </c>
      <c r="AG4" s="31"/>
      <c r="AH4" s="27"/>
      <c r="AI4" s="28"/>
      <c r="AJ4" s="29" t="str">
        <f t="shared" ref="AJ4:AJ34" si="12">IF(AH4="","",IF(ISNUMBER(SEARCH("夜勤",AH4)),"",IF(A4="","","○")))</f>
        <v/>
      </c>
      <c r="AK4" s="30" t="str">
        <f t="shared" ref="AK4:AK34" si="13">IF(A4="","",IF(OR(AND(AI4&lt;&gt;"",NOT(OR(AI4="有給",AI4="休業"))),ISNUMBER(SEARCH("夜勤",AH4))),"○",""))</f>
        <v/>
      </c>
      <c r="AL4" s="31"/>
      <c r="AM4" s="27"/>
      <c r="AN4" s="28"/>
      <c r="AO4" s="29" t="str">
        <f t="shared" ref="AO4:AO34" si="14">IF(AM4="","",IF(ISNUMBER(SEARCH("夜勤",AM4)),"",IF(A4="","","○")))</f>
        <v/>
      </c>
      <c r="AP4" s="30" t="str">
        <f t="shared" ref="AP4:AP34" si="15">IF(A4="","",IF(OR(AND(AN4&lt;&gt;"",NOT(OR(AN4="有給",AN4="休業"))),ISNUMBER(SEARCH("夜勤",AM4))),"○",""))</f>
        <v/>
      </c>
      <c r="AQ4" s="31"/>
      <c r="AR4" s="27"/>
      <c r="AS4" s="28"/>
      <c r="AT4" s="29" t="str">
        <f t="shared" ref="AT4:AT34" si="16">IF(AR4="","",IF(ISNUMBER(SEARCH("夜勤",AR4)),"",IF(A4="","","○")))</f>
        <v/>
      </c>
      <c r="AU4" s="30" t="str">
        <f t="shared" ref="AU4:AU34" si="17">IF(A4="","",IF(OR(AND(AS4&lt;&gt;"",NOT(OR(AS4="有給",AS4="休業"))),ISNUMBER(SEARCH("夜勤",AR4))),"○",""))</f>
        <v/>
      </c>
      <c r="AV4" s="31"/>
      <c r="AW4" s="27"/>
      <c r="AX4" s="28"/>
      <c r="AY4" s="29" t="str">
        <f t="shared" ref="AY4:AY34" si="18">IF(AW4="","",IF(ISNUMBER(SEARCH("夜勤",AW4)),"",IF(A4="","","○")))</f>
        <v/>
      </c>
      <c r="AZ4" s="30" t="str">
        <f t="shared" ref="AZ4:AZ34" si="19">IF(A4="","",IF(OR(AND(AX4&lt;&gt;"",NOT(OR(AX4="有給",AX4="休業"))),ISNUMBER(SEARCH("夜勤",AW4))),"○",""))</f>
        <v/>
      </c>
      <c r="BA4" s="31"/>
      <c r="BB4" s="27"/>
      <c r="BC4" s="28"/>
      <c r="BD4" s="29" t="str">
        <f t="shared" ref="BD4:BD34" si="20">IF(BB4="","",IF(ISNUMBER(SEARCH("夜勤",BB4)),"",IF(A4="","","○")))</f>
        <v/>
      </c>
      <c r="BE4" s="30" t="str">
        <f t="shared" ref="BE4:BE34" si="21">IF(A4="","",IF(OR(AND(BC4&lt;&gt;"",NOT(OR(BC4="有給",BC4="休業"))),ISNUMBER(SEARCH("夜勤",BB4))),"○",""))</f>
        <v/>
      </c>
      <c r="BF4" s="31"/>
      <c r="BG4" s="27"/>
      <c r="BH4" s="28"/>
      <c r="BI4" s="29" t="str">
        <f t="shared" ref="BI4:BI34" si="22">IF(BG4="","",IF(ISNUMBER(SEARCH("夜勤",BG4)),"",IF(A4="","","○")))</f>
        <v/>
      </c>
      <c r="BJ4" s="30" t="str">
        <f t="shared" ref="BJ4:BJ34" si="23">IF(A4="","",IF(OR(AND(BH4&lt;&gt;"",NOT(OR(BH4="有給",BH4="休業"))),ISNUMBER(SEARCH("夜勤",BG4))),"○",""))</f>
        <v/>
      </c>
      <c r="BK4" s="31"/>
      <c r="BL4" s="27"/>
      <c r="BM4" s="28"/>
      <c r="BN4" s="29" t="str">
        <f t="shared" ref="BN4:BN34" si="24">IF(BL4="","",IF(ISNUMBER(SEARCH("夜勤",BL4)),"",IF(A4="","","○")))</f>
        <v/>
      </c>
      <c r="BO4" s="30" t="str">
        <f t="shared" ref="BO4:BO34" si="25">IF(A4="","",IF(OR(AND(BM4&lt;&gt;"",NOT(OR(BM4="有給",BM4="休業"))),ISNUMBER(SEARCH("夜勤",BL4))),"○",""))</f>
        <v/>
      </c>
      <c r="BP4" s="31"/>
      <c r="BQ4" s="27"/>
      <c r="BR4" s="28"/>
      <c r="BS4" s="29" t="str">
        <f t="shared" ref="BS4:BS34" si="26">IF(BQ4="","",IF(ISNUMBER(SEARCH("夜勤",BQ4)),"",IF(A4="","","○")))</f>
        <v/>
      </c>
      <c r="BT4" s="30" t="str">
        <f t="shared" ref="BT4:BT34" si="27">IF(A4="","",IF(OR(AND(BR4&lt;&gt;"",NOT(OR(BR4="有給",BR4="休業"))),ISNUMBER(SEARCH("夜勤",BQ4))),"○",""))</f>
        <v/>
      </c>
      <c r="BU4" s="31"/>
      <c r="BV4" s="27"/>
      <c r="BW4" s="28"/>
      <c r="BX4" s="29" t="str">
        <f t="shared" ref="BX4:BX34" si="28">IF(BV4="","",IF(ISNUMBER(SEARCH("夜勤",BV4)),"",IF(A4="","","○")))</f>
        <v/>
      </c>
      <c r="BY4" s="30" t="str">
        <f t="shared" ref="BY4:BY34" si="29">IF(A4="","",IF(OR(AND(BW4&lt;&gt;"",NOT(OR(BW4="有給",BW4="休業"))),ISNUMBER(SEARCH("夜勤",BV4))),"○",""))</f>
        <v/>
      </c>
      <c r="BZ4" s="31"/>
      <c r="CA4" s="27"/>
      <c r="CB4" s="28"/>
      <c r="CC4" s="29" t="str">
        <f t="shared" ref="CC4:CC34" si="30">IF(CA4="","",IF(ISNUMBER(SEARCH("夜勤",CA4)),"",IF(A4="","","○")))</f>
        <v/>
      </c>
      <c r="CD4" s="30" t="str">
        <f t="shared" ref="CD4:CD34" si="31">IF(A4="","",IF(OR(AND(CB4&lt;&gt;"",NOT(OR(CB4="有給",CB4="休業"))),ISNUMBER(SEARCH("夜勤",CA4))),"○",""))</f>
        <v/>
      </c>
      <c r="CE4" s="31"/>
      <c r="CF4" s="27"/>
      <c r="CG4" s="28"/>
      <c r="CH4" s="29" t="str">
        <f t="shared" ref="CH4:CH34" si="32">IF(CF4="","",IF(ISNUMBER(SEARCH("夜勤",CF4)),"",IF(A4="","","○")))</f>
        <v/>
      </c>
      <c r="CI4" s="30" t="str">
        <f t="shared" ref="CI4:CI34" si="33">IF(A4="","",IF(OR(AND(CG4&lt;&gt;"",NOT(OR(CG4="有給",CG4="休業"))),ISNUMBER(SEARCH("夜勤",CF4))),"○",""))</f>
        <v/>
      </c>
      <c r="CJ4" s="31"/>
      <c r="CK4" s="27"/>
      <c r="CL4" s="28"/>
      <c r="CM4" s="29" t="str">
        <f t="shared" ref="CM4:CM34" si="34">IF(CK4="","",IF(ISNUMBER(SEARCH("夜勤",CK4)),"",IF(A4="","","○")))</f>
        <v/>
      </c>
      <c r="CN4" s="30" t="str">
        <f t="shared" ref="CN4:CN34" si="35">IF(A4="","",IF(OR(AND(CL4&lt;&gt;"",NOT(OR(CL4="有給",CL4="休業"))),ISNUMBER(SEARCH("夜勤",CK4))),"○",""))</f>
        <v/>
      </c>
      <c r="CO4" s="31"/>
      <c r="CP4" s="27"/>
      <c r="CQ4" s="28"/>
      <c r="CR4" s="29" t="str">
        <f t="shared" ref="CR4:CR34" si="36">IF(CP4="","",IF(ISNUMBER(SEARCH("夜勤",CP4)),"",IF(A4="","","○")))</f>
        <v/>
      </c>
      <c r="CS4" s="30" t="str">
        <f t="shared" ref="CS4:CS34" si="37">IF(A4="","",IF(OR(AND(CQ4&lt;&gt;"",NOT(OR(CQ4="有給",CQ4="休業"))),ISNUMBER(SEARCH("夜勤",CP4))),"○",""))</f>
        <v/>
      </c>
      <c r="CT4" s="31"/>
      <c r="CU4" s="27"/>
      <c r="CV4" s="28"/>
      <c r="CW4" s="29" t="str">
        <f t="shared" ref="CW4:CW34" si="38">IF(CU4="","",IF(ISNUMBER(SEARCH("夜勤",CU4)),"",IF(A4="","","○")))</f>
        <v/>
      </c>
      <c r="CX4" s="30" t="str">
        <f t="shared" ref="CX4:CX34" si="39">IF(A4="","",IF(OR(AND(CV4&lt;&gt;"",NOT(OR(CV4="有給",CV4="休業"))),ISNUMBER(SEARCH("夜勤",CU4))),"○",""))</f>
        <v/>
      </c>
      <c r="CY4" s="31"/>
      <c r="CZ4" s="27"/>
      <c r="DA4" s="28"/>
      <c r="DB4" s="29" t="str">
        <f t="shared" ref="DB4:DB34" si="40">IF(CZ4="","",IF(ISNUMBER(SEARCH("夜勤",CZ4)),"",IF(A4="","","○")))</f>
        <v/>
      </c>
      <c r="DC4" s="30" t="str">
        <f t="shared" ref="DC4:DC34" si="41">IF(A4="","",IF(OR(AND(DA4&lt;&gt;"",NOT(OR(DA4="有給",DA4="休業"))),ISNUMBER(SEARCH("夜勤",CZ4))),"○",""))</f>
        <v/>
      </c>
      <c r="DD4" s="31"/>
      <c r="DE4" s="27"/>
      <c r="DF4" s="28"/>
      <c r="DG4" s="29" t="str">
        <f t="shared" ref="DG4:DG34" si="42">IF(DE4="","",IF(ISNUMBER(SEARCH("夜勤",DE4)),"",IF(A4="","","○")))</f>
        <v/>
      </c>
      <c r="DH4" s="30" t="str">
        <f t="shared" ref="DH4:DH34" si="43">IF(A4="","",IF(OR(AND(DF4&lt;&gt;"",NOT(OR(DF4="有給",DF4="休業"))),ISNUMBER(SEARCH("夜勤",DE4))),"○",""))</f>
        <v/>
      </c>
      <c r="DI4" s="31"/>
      <c r="DJ4" s="27"/>
      <c r="DK4" s="28"/>
      <c r="DL4" s="29" t="str">
        <f t="shared" ref="DL4:DL34" si="44">IF(DJ4="","",IF(ISNUMBER(SEARCH("夜勤",DJ4)),"",IF(A4="","","○")))</f>
        <v/>
      </c>
      <c r="DM4" s="30" t="str">
        <f t="shared" ref="DM4:DM34" si="45">IF(A4="","",IF(OR(AND(DK4&lt;&gt;"",NOT(OR(DK4="有給",DK4="休業"))),ISNUMBER(SEARCH("夜勤",DJ4))),"○",""))</f>
        <v/>
      </c>
      <c r="DN4" s="31"/>
      <c r="DO4" s="27"/>
      <c r="DP4" s="28"/>
      <c r="DQ4" s="29" t="str">
        <f t="shared" ref="DQ4:DQ34" si="46">IF(DO4="","",IF(ISNUMBER(SEARCH("夜勤",DO4)),"",IF(A4="","","○")))</f>
        <v/>
      </c>
      <c r="DR4" s="30" t="str">
        <f t="shared" ref="DR4:DR34" si="47">IF(A4="","",IF(OR(AND(DP4&lt;&gt;"",NOT(OR(DP4="有給",DP4="休業"))),ISNUMBER(SEARCH("夜勤",DO4))),"○",""))</f>
        <v/>
      </c>
      <c r="DS4" s="31"/>
      <c r="DT4" s="27"/>
      <c r="DU4" s="28"/>
      <c r="DV4" s="29" t="str">
        <f t="shared" ref="DV4:DV34" si="48">IF(DT4="","",IF(ISNUMBER(SEARCH("夜勤",DT4)),"",IF(A4="","","○")))</f>
        <v/>
      </c>
      <c r="DW4" s="30" t="str">
        <f t="shared" ref="DW4:DW34" si="49">IF(A4="","",IF(OR(AND(DU4&lt;&gt;"",NOT(OR(DU4="有給",DU4="休業"))),ISNUMBER(SEARCH("夜勤",DT4))),"○",""))</f>
        <v/>
      </c>
      <c r="DX4" s="31"/>
      <c r="DY4" s="27"/>
      <c r="DZ4" s="28"/>
      <c r="EA4" s="29" t="str">
        <f t="shared" ref="EA4:EA34" si="50">IF(DY4="","",IF(ISNUMBER(SEARCH("夜勤",DY4)),"",IF(A4="","","○")))</f>
        <v/>
      </c>
      <c r="EB4" s="30" t="str">
        <f t="shared" ref="EB4:EB34" si="51">IF(A4="","",IF(OR(AND(DZ4&lt;&gt;"",NOT(OR(DZ4="有給",DZ4="休業"))),ISNUMBER(SEARCH("夜勤",DY4))),"○",""))</f>
        <v/>
      </c>
      <c r="EC4" s="31"/>
      <c r="ED4" s="27"/>
      <c r="EE4" s="28"/>
      <c r="EF4" s="29" t="str">
        <f t="shared" ref="EF4:EF34" si="52">IF(ED4="","",IF(ISNUMBER(SEARCH("夜勤",ED4)),"",IF(A4="","","○")))</f>
        <v/>
      </c>
      <c r="EG4" s="30" t="str">
        <f t="shared" ref="EG4:EG34" si="53">IF(A4="","",IF(OR(AND(EE4&lt;&gt;"",NOT(OR(EE4="有給",EE4="休業"))),ISNUMBER(SEARCH("夜勤",ED4))),"○",""))</f>
        <v/>
      </c>
      <c r="EH4" s="31"/>
      <c r="EI4" s="27"/>
      <c r="EJ4" s="28"/>
      <c r="EK4" s="29" t="str">
        <f t="shared" ref="EK4:EK34" si="54">IF(EI4="","",IF(ISNUMBER(SEARCH("夜勤",EI4)),"",IF(A4="","","○")))</f>
        <v/>
      </c>
      <c r="EL4" s="30" t="str">
        <f t="shared" ref="EL4:EL34" si="55">IF(A4="","",IF(OR(AND(EJ4&lt;&gt;"",NOT(OR(EJ4="有給",EJ4="休業"))),ISNUMBER(SEARCH("夜勤",EI4))),"○",""))</f>
        <v/>
      </c>
      <c r="EM4" s="31"/>
      <c r="EN4" s="27"/>
      <c r="EO4" s="28"/>
      <c r="EP4" s="29" t="str">
        <f t="shared" ref="EP4:EP34" si="56">IF(EN4="","",IF(ISNUMBER(SEARCH("夜勤",EN4)),"",IF(A4="","","○")))</f>
        <v/>
      </c>
      <c r="EQ4" s="30" t="str">
        <f t="shared" ref="EQ4:EQ34" si="57">IF(A4="","",IF(OR(AND(EO4&lt;&gt;"",NOT(OR(EO4="有給",EO4="休業"))),ISNUMBER(SEARCH("夜勤",EN4))),"○",""))</f>
        <v/>
      </c>
      <c r="ER4" s="31"/>
      <c r="ES4" s="27"/>
      <c r="ET4" s="28"/>
      <c r="EU4" s="29" t="str">
        <f t="shared" ref="EU4:EU34" si="58">IF(ES4="","",IF(ISNUMBER(SEARCH("夜勤",ES4)),"",IF(A4="","","○")))</f>
        <v/>
      </c>
      <c r="EV4" s="30" t="str">
        <f t="shared" ref="EV4:EV34" si="59">IF(A4="","",IF(OR(AND(ET4&lt;&gt;"",NOT(OR(ET4="有給",ET4="休業"))),ISNUMBER(SEARCH("夜勤",ES4))),"○",""))</f>
        <v/>
      </c>
      <c r="EW4" s="31"/>
    </row>
    <row r="5" spans="1:153" ht="19.5" customHeight="1">
      <c r="A5" s="32">
        <f>IF(DAY(DATE(対象年度,11,2))&lt;&gt;2,"",2)</f>
        <v>2</v>
      </c>
      <c r="B5" s="32" t="str">
        <f>IF(DAY(DATE(対象年度,11,2))&lt;&gt;2,"",CHOOSE(WEEKDAY(DATE(対象年度,11,2),2),"月","火","水","木","金","土","日"))</f>
        <v>月</v>
      </c>
      <c r="C5" s="32" t="str">
        <f>IF(DAY(DATE(対象年度,11,2))&lt;&gt;2,"",IF(ISNUMBER(MATCH(DATE(対象年度,11,2),祝日リスト,0)),"祝",""))</f>
        <v/>
      </c>
      <c r="D5" s="33"/>
      <c r="E5" s="34"/>
      <c r="F5" s="35" t="str">
        <f t="shared" si="0"/>
        <v/>
      </c>
      <c r="G5" s="36" t="str">
        <f t="shared" si="1"/>
        <v/>
      </c>
      <c r="H5" s="37"/>
      <c r="I5" s="33"/>
      <c r="J5" s="34"/>
      <c r="K5" s="35" t="str">
        <f t="shared" si="2"/>
        <v/>
      </c>
      <c r="L5" s="36" t="str">
        <f t="shared" si="3"/>
        <v/>
      </c>
      <c r="M5" s="37"/>
      <c r="N5" s="33"/>
      <c r="O5" s="34"/>
      <c r="P5" s="35" t="str">
        <f t="shared" si="4"/>
        <v/>
      </c>
      <c r="Q5" s="36" t="str">
        <f t="shared" si="5"/>
        <v/>
      </c>
      <c r="R5" s="37"/>
      <c r="S5" s="33"/>
      <c r="T5" s="34"/>
      <c r="U5" s="35" t="str">
        <f t="shared" si="6"/>
        <v/>
      </c>
      <c r="V5" s="36" t="str">
        <f t="shared" si="7"/>
        <v/>
      </c>
      <c r="W5" s="37"/>
      <c r="X5" s="33"/>
      <c r="Y5" s="34"/>
      <c r="Z5" s="35" t="str">
        <f t="shared" si="8"/>
        <v/>
      </c>
      <c r="AA5" s="36" t="str">
        <f t="shared" si="9"/>
        <v/>
      </c>
      <c r="AB5" s="37"/>
      <c r="AC5" s="33"/>
      <c r="AD5" s="34"/>
      <c r="AE5" s="35" t="str">
        <f t="shared" si="10"/>
        <v/>
      </c>
      <c r="AF5" s="36" t="str">
        <f t="shared" si="11"/>
        <v/>
      </c>
      <c r="AG5" s="37"/>
      <c r="AH5" s="33"/>
      <c r="AI5" s="34"/>
      <c r="AJ5" s="35" t="str">
        <f t="shared" si="12"/>
        <v/>
      </c>
      <c r="AK5" s="36" t="str">
        <f t="shared" si="13"/>
        <v/>
      </c>
      <c r="AL5" s="37"/>
      <c r="AM5" s="33"/>
      <c r="AN5" s="34"/>
      <c r="AO5" s="35" t="str">
        <f t="shared" si="14"/>
        <v/>
      </c>
      <c r="AP5" s="36" t="str">
        <f t="shared" si="15"/>
        <v/>
      </c>
      <c r="AQ5" s="37"/>
      <c r="AR5" s="33"/>
      <c r="AS5" s="34"/>
      <c r="AT5" s="35" t="str">
        <f t="shared" si="16"/>
        <v/>
      </c>
      <c r="AU5" s="36" t="str">
        <f t="shared" si="17"/>
        <v/>
      </c>
      <c r="AV5" s="37"/>
      <c r="AW5" s="33"/>
      <c r="AX5" s="34"/>
      <c r="AY5" s="35" t="str">
        <f t="shared" si="18"/>
        <v/>
      </c>
      <c r="AZ5" s="36" t="str">
        <f t="shared" si="19"/>
        <v/>
      </c>
      <c r="BA5" s="37"/>
      <c r="BB5" s="33"/>
      <c r="BC5" s="34"/>
      <c r="BD5" s="35" t="str">
        <f t="shared" si="20"/>
        <v/>
      </c>
      <c r="BE5" s="36" t="str">
        <f t="shared" si="21"/>
        <v/>
      </c>
      <c r="BF5" s="37"/>
      <c r="BG5" s="33"/>
      <c r="BH5" s="34"/>
      <c r="BI5" s="35" t="str">
        <f t="shared" si="22"/>
        <v/>
      </c>
      <c r="BJ5" s="36" t="str">
        <f t="shared" si="23"/>
        <v/>
      </c>
      <c r="BK5" s="37"/>
      <c r="BL5" s="33"/>
      <c r="BM5" s="34"/>
      <c r="BN5" s="35" t="str">
        <f t="shared" si="24"/>
        <v/>
      </c>
      <c r="BO5" s="36" t="str">
        <f t="shared" si="25"/>
        <v/>
      </c>
      <c r="BP5" s="37"/>
      <c r="BQ5" s="33"/>
      <c r="BR5" s="34"/>
      <c r="BS5" s="35" t="str">
        <f t="shared" si="26"/>
        <v/>
      </c>
      <c r="BT5" s="36" t="str">
        <f t="shared" si="27"/>
        <v/>
      </c>
      <c r="BU5" s="37"/>
      <c r="BV5" s="33"/>
      <c r="BW5" s="34"/>
      <c r="BX5" s="35" t="str">
        <f t="shared" si="28"/>
        <v/>
      </c>
      <c r="BY5" s="36" t="str">
        <f t="shared" si="29"/>
        <v/>
      </c>
      <c r="BZ5" s="37"/>
      <c r="CA5" s="33"/>
      <c r="CB5" s="34"/>
      <c r="CC5" s="35" t="str">
        <f t="shared" si="30"/>
        <v/>
      </c>
      <c r="CD5" s="36" t="str">
        <f t="shared" si="31"/>
        <v/>
      </c>
      <c r="CE5" s="37"/>
      <c r="CF5" s="33"/>
      <c r="CG5" s="34"/>
      <c r="CH5" s="35" t="str">
        <f t="shared" si="32"/>
        <v/>
      </c>
      <c r="CI5" s="36" t="str">
        <f t="shared" si="33"/>
        <v/>
      </c>
      <c r="CJ5" s="37"/>
      <c r="CK5" s="33"/>
      <c r="CL5" s="34"/>
      <c r="CM5" s="35" t="str">
        <f t="shared" si="34"/>
        <v/>
      </c>
      <c r="CN5" s="36" t="str">
        <f t="shared" si="35"/>
        <v/>
      </c>
      <c r="CO5" s="37"/>
      <c r="CP5" s="33"/>
      <c r="CQ5" s="34"/>
      <c r="CR5" s="35" t="str">
        <f t="shared" si="36"/>
        <v/>
      </c>
      <c r="CS5" s="36" t="str">
        <f t="shared" si="37"/>
        <v/>
      </c>
      <c r="CT5" s="37"/>
      <c r="CU5" s="33"/>
      <c r="CV5" s="34"/>
      <c r="CW5" s="35" t="str">
        <f t="shared" si="38"/>
        <v/>
      </c>
      <c r="CX5" s="36" t="str">
        <f t="shared" si="39"/>
        <v/>
      </c>
      <c r="CY5" s="37"/>
      <c r="CZ5" s="33"/>
      <c r="DA5" s="34"/>
      <c r="DB5" s="35" t="str">
        <f t="shared" si="40"/>
        <v/>
      </c>
      <c r="DC5" s="36" t="str">
        <f t="shared" si="41"/>
        <v/>
      </c>
      <c r="DD5" s="37"/>
      <c r="DE5" s="33"/>
      <c r="DF5" s="34"/>
      <c r="DG5" s="35" t="str">
        <f t="shared" si="42"/>
        <v/>
      </c>
      <c r="DH5" s="36" t="str">
        <f t="shared" si="43"/>
        <v/>
      </c>
      <c r="DI5" s="37"/>
      <c r="DJ5" s="33"/>
      <c r="DK5" s="34"/>
      <c r="DL5" s="35" t="str">
        <f t="shared" si="44"/>
        <v/>
      </c>
      <c r="DM5" s="36" t="str">
        <f t="shared" si="45"/>
        <v/>
      </c>
      <c r="DN5" s="37"/>
      <c r="DO5" s="33"/>
      <c r="DP5" s="34"/>
      <c r="DQ5" s="35" t="str">
        <f t="shared" si="46"/>
        <v/>
      </c>
      <c r="DR5" s="36" t="str">
        <f t="shared" si="47"/>
        <v/>
      </c>
      <c r="DS5" s="37"/>
      <c r="DT5" s="33"/>
      <c r="DU5" s="34"/>
      <c r="DV5" s="35" t="str">
        <f t="shared" si="48"/>
        <v/>
      </c>
      <c r="DW5" s="36" t="str">
        <f t="shared" si="49"/>
        <v/>
      </c>
      <c r="DX5" s="37"/>
      <c r="DY5" s="33"/>
      <c r="DZ5" s="34"/>
      <c r="EA5" s="35" t="str">
        <f t="shared" si="50"/>
        <v/>
      </c>
      <c r="EB5" s="36" t="str">
        <f t="shared" si="51"/>
        <v/>
      </c>
      <c r="EC5" s="37"/>
      <c r="ED5" s="33"/>
      <c r="EE5" s="34"/>
      <c r="EF5" s="35" t="str">
        <f t="shared" si="52"/>
        <v/>
      </c>
      <c r="EG5" s="36" t="str">
        <f t="shared" si="53"/>
        <v/>
      </c>
      <c r="EH5" s="37"/>
      <c r="EI5" s="33"/>
      <c r="EJ5" s="34"/>
      <c r="EK5" s="35" t="str">
        <f t="shared" si="54"/>
        <v/>
      </c>
      <c r="EL5" s="36" t="str">
        <f t="shared" si="55"/>
        <v/>
      </c>
      <c r="EM5" s="37"/>
      <c r="EN5" s="33"/>
      <c r="EO5" s="34"/>
      <c r="EP5" s="35" t="str">
        <f t="shared" si="56"/>
        <v/>
      </c>
      <c r="EQ5" s="36" t="str">
        <f t="shared" si="57"/>
        <v/>
      </c>
      <c r="ER5" s="37"/>
      <c r="ES5" s="33"/>
      <c r="ET5" s="34"/>
      <c r="EU5" s="35" t="str">
        <f t="shared" si="58"/>
        <v/>
      </c>
      <c r="EV5" s="36" t="str">
        <f t="shared" si="59"/>
        <v/>
      </c>
      <c r="EW5" s="37"/>
    </row>
    <row r="6" spans="1:153" ht="19.5" customHeight="1">
      <c r="A6" s="32">
        <f>IF(DAY(DATE(対象年度,11,3))&lt;&gt;3,"",3)</f>
        <v>3</v>
      </c>
      <c r="B6" s="32" t="str">
        <f>IF(DAY(DATE(対象年度,11,3))&lt;&gt;3,"",CHOOSE(WEEKDAY(DATE(対象年度,11,3),2),"月","火","水","木","金","土","日"))</f>
        <v>火</v>
      </c>
      <c r="C6" s="32" t="str">
        <f>IF(DAY(DATE(対象年度,11,3))&lt;&gt;3,"",IF(ISNUMBER(MATCH(DATE(対象年度,11,3),祝日リスト,0)),"祝",""))</f>
        <v>祝</v>
      </c>
      <c r="D6" s="33"/>
      <c r="E6" s="34"/>
      <c r="F6" s="35" t="str">
        <f t="shared" si="0"/>
        <v/>
      </c>
      <c r="G6" s="36" t="str">
        <f t="shared" si="1"/>
        <v/>
      </c>
      <c r="H6" s="37"/>
      <c r="I6" s="33"/>
      <c r="J6" s="34"/>
      <c r="K6" s="35" t="str">
        <f t="shared" si="2"/>
        <v/>
      </c>
      <c r="L6" s="36" t="str">
        <f t="shared" si="3"/>
        <v/>
      </c>
      <c r="M6" s="37"/>
      <c r="N6" s="33"/>
      <c r="O6" s="34"/>
      <c r="P6" s="35" t="str">
        <f t="shared" si="4"/>
        <v/>
      </c>
      <c r="Q6" s="36" t="str">
        <f t="shared" si="5"/>
        <v/>
      </c>
      <c r="R6" s="37"/>
      <c r="S6" s="33"/>
      <c r="T6" s="34"/>
      <c r="U6" s="35" t="str">
        <f t="shared" si="6"/>
        <v/>
      </c>
      <c r="V6" s="36" t="str">
        <f t="shared" si="7"/>
        <v/>
      </c>
      <c r="W6" s="37"/>
      <c r="X6" s="33"/>
      <c r="Y6" s="34"/>
      <c r="Z6" s="35" t="str">
        <f t="shared" si="8"/>
        <v/>
      </c>
      <c r="AA6" s="36" t="str">
        <f t="shared" si="9"/>
        <v/>
      </c>
      <c r="AB6" s="37"/>
      <c r="AC6" s="33"/>
      <c r="AD6" s="34"/>
      <c r="AE6" s="35" t="str">
        <f t="shared" si="10"/>
        <v/>
      </c>
      <c r="AF6" s="36" t="str">
        <f t="shared" si="11"/>
        <v/>
      </c>
      <c r="AG6" s="37"/>
      <c r="AH6" s="33"/>
      <c r="AI6" s="34"/>
      <c r="AJ6" s="35" t="str">
        <f t="shared" si="12"/>
        <v/>
      </c>
      <c r="AK6" s="36" t="str">
        <f t="shared" si="13"/>
        <v/>
      </c>
      <c r="AL6" s="37"/>
      <c r="AM6" s="33"/>
      <c r="AN6" s="34"/>
      <c r="AO6" s="35" t="str">
        <f t="shared" si="14"/>
        <v/>
      </c>
      <c r="AP6" s="36" t="str">
        <f t="shared" si="15"/>
        <v/>
      </c>
      <c r="AQ6" s="37"/>
      <c r="AR6" s="33"/>
      <c r="AS6" s="34"/>
      <c r="AT6" s="35" t="str">
        <f t="shared" si="16"/>
        <v/>
      </c>
      <c r="AU6" s="36" t="str">
        <f t="shared" si="17"/>
        <v/>
      </c>
      <c r="AV6" s="37"/>
      <c r="AW6" s="33"/>
      <c r="AX6" s="34"/>
      <c r="AY6" s="35" t="str">
        <f t="shared" si="18"/>
        <v/>
      </c>
      <c r="AZ6" s="36" t="str">
        <f t="shared" si="19"/>
        <v/>
      </c>
      <c r="BA6" s="37"/>
      <c r="BB6" s="33"/>
      <c r="BC6" s="34"/>
      <c r="BD6" s="35" t="str">
        <f t="shared" si="20"/>
        <v/>
      </c>
      <c r="BE6" s="36" t="str">
        <f t="shared" si="21"/>
        <v/>
      </c>
      <c r="BF6" s="37"/>
      <c r="BG6" s="33"/>
      <c r="BH6" s="34"/>
      <c r="BI6" s="35" t="str">
        <f t="shared" si="22"/>
        <v/>
      </c>
      <c r="BJ6" s="36" t="str">
        <f t="shared" si="23"/>
        <v/>
      </c>
      <c r="BK6" s="37"/>
      <c r="BL6" s="33"/>
      <c r="BM6" s="34"/>
      <c r="BN6" s="35" t="str">
        <f t="shared" si="24"/>
        <v/>
      </c>
      <c r="BO6" s="36" t="str">
        <f t="shared" si="25"/>
        <v/>
      </c>
      <c r="BP6" s="37"/>
      <c r="BQ6" s="33"/>
      <c r="BR6" s="34"/>
      <c r="BS6" s="35" t="str">
        <f t="shared" si="26"/>
        <v/>
      </c>
      <c r="BT6" s="36" t="str">
        <f t="shared" si="27"/>
        <v/>
      </c>
      <c r="BU6" s="37"/>
      <c r="BV6" s="33"/>
      <c r="BW6" s="34"/>
      <c r="BX6" s="35" t="str">
        <f t="shared" si="28"/>
        <v/>
      </c>
      <c r="BY6" s="36" t="str">
        <f t="shared" si="29"/>
        <v/>
      </c>
      <c r="BZ6" s="37"/>
      <c r="CA6" s="33"/>
      <c r="CB6" s="34"/>
      <c r="CC6" s="35" t="str">
        <f t="shared" si="30"/>
        <v/>
      </c>
      <c r="CD6" s="36" t="str">
        <f t="shared" si="31"/>
        <v/>
      </c>
      <c r="CE6" s="37"/>
      <c r="CF6" s="33"/>
      <c r="CG6" s="34"/>
      <c r="CH6" s="35" t="str">
        <f t="shared" si="32"/>
        <v/>
      </c>
      <c r="CI6" s="36" t="str">
        <f t="shared" si="33"/>
        <v/>
      </c>
      <c r="CJ6" s="37"/>
      <c r="CK6" s="33"/>
      <c r="CL6" s="34"/>
      <c r="CM6" s="35" t="str">
        <f t="shared" si="34"/>
        <v/>
      </c>
      <c r="CN6" s="36" t="str">
        <f t="shared" si="35"/>
        <v/>
      </c>
      <c r="CO6" s="37"/>
      <c r="CP6" s="33"/>
      <c r="CQ6" s="34"/>
      <c r="CR6" s="35" t="str">
        <f t="shared" si="36"/>
        <v/>
      </c>
      <c r="CS6" s="36" t="str">
        <f t="shared" si="37"/>
        <v/>
      </c>
      <c r="CT6" s="37"/>
      <c r="CU6" s="33"/>
      <c r="CV6" s="34"/>
      <c r="CW6" s="35" t="str">
        <f t="shared" si="38"/>
        <v/>
      </c>
      <c r="CX6" s="36" t="str">
        <f t="shared" si="39"/>
        <v/>
      </c>
      <c r="CY6" s="37"/>
      <c r="CZ6" s="33"/>
      <c r="DA6" s="34"/>
      <c r="DB6" s="35" t="str">
        <f t="shared" si="40"/>
        <v/>
      </c>
      <c r="DC6" s="36" t="str">
        <f t="shared" si="41"/>
        <v/>
      </c>
      <c r="DD6" s="37"/>
      <c r="DE6" s="33"/>
      <c r="DF6" s="34"/>
      <c r="DG6" s="35" t="str">
        <f t="shared" si="42"/>
        <v/>
      </c>
      <c r="DH6" s="36" t="str">
        <f t="shared" si="43"/>
        <v/>
      </c>
      <c r="DI6" s="37"/>
      <c r="DJ6" s="33"/>
      <c r="DK6" s="34"/>
      <c r="DL6" s="35" t="str">
        <f t="shared" si="44"/>
        <v/>
      </c>
      <c r="DM6" s="36" t="str">
        <f t="shared" si="45"/>
        <v/>
      </c>
      <c r="DN6" s="37"/>
      <c r="DO6" s="33"/>
      <c r="DP6" s="34"/>
      <c r="DQ6" s="35" t="str">
        <f t="shared" si="46"/>
        <v/>
      </c>
      <c r="DR6" s="36" t="str">
        <f t="shared" si="47"/>
        <v/>
      </c>
      <c r="DS6" s="37"/>
      <c r="DT6" s="33"/>
      <c r="DU6" s="34"/>
      <c r="DV6" s="35" t="str">
        <f t="shared" si="48"/>
        <v/>
      </c>
      <c r="DW6" s="36" t="str">
        <f t="shared" si="49"/>
        <v/>
      </c>
      <c r="DX6" s="37"/>
      <c r="DY6" s="33"/>
      <c r="DZ6" s="34"/>
      <c r="EA6" s="35" t="str">
        <f t="shared" si="50"/>
        <v/>
      </c>
      <c r="EB6" s="36" t="str">
        <f t="shared" si="51"/>
        <v/>
      </c>
      <c r="EC6" s="37"/>
      <c r="ED6" s="33"/>
      <c r="EE6" s="34"/>
      <c r="EF6" s="35" t="str">
        <f t="shared" si="52"/>
        <v/>
      </c>
      <c r="EG6" s="36" t="str">
        <f t="shared" si="53"/>
        <v/>
      </c>
      <c r="EH6" s="37"/>
      <c r="EI6" s="33"/>
      <c r="EJ6" s="34"/>
      <c r="EK6" s="35" t="str">
        <f t="shared" si="54"/>
        <v/>
      </c>
      <c r="EL6" s="36" t="str">
        <f t="shared" si="55"/>
        <v/>
      </c>
      <c r="EM6" s="37"/>
      <c r="EN6" s="33"/>
      <c r="EO6" s="34"/>
      <c r="EP6" s="35" t="str">
        <f t="shared" si="56"/>
        <v/>
      </c>
      <c r="EQ6" s="36" t="str">
        <f t="shared" si="57"/>
        <v/>
      </c>
      <c r="ER6" s="37"/>
      <c r="ES6" s="33"/>
      <c r="ET6" s="34"/>
      <c r="EU6" s="35" t="str">
        <f t="shared" si="58"/>
        <v/>
      </c>
      <c r="EV6" s="36" t="str">
        <f t="shared" si="59"/>
        <v/>
      </c>
      <c r="EW6" s="37"/>
    </row>
    <row r="7" spans="1:153" ht="19.5" customHeight="1">
      <c r="A7" s="32">
        <f>IF(DAY(DATE(対象年度,11,4))&lt;&gt;4,"",4)</f>
        <v>4</v>
      </c>
      <c r="B7" s="32" t="str">
        <f>IF(DAY(DATE(対象年度,11,4))&lt;&gt;4,"",CHOOSE(WEEKDAY(DATE(対象年度,11,4),2),"月","火","水","木","金","土","日"))</f>
        <v>水</v>
      </c>
      <c r="C7" s="32" t="str">
        <f>IF(DAY(DATE(対象年度,11,4))&lt;&gt;4,"",IF(ISNUMBER(MATCH(DATE(対象年度,11,4),祝日リスト,0)),"祝",""))</f>
        <v/>
      </c>
      <c r="D7" s="33"/>
      <c r="E7" s="34"/>
      <c r="F7" s="35" t="str">
        <f t="shared" si="0"/>
        <v/>
      </c>
      <c r="G7" s="36" t="str">
        <f t="shared" si="1"/>
        <v/>
      </c>
      <c r="H7" s="37"/>
      <c r="I7" s="33"/>
      <c r="J7" s="34"/>
      <c r="K7" s="35" t="str">
        <f t="shared" si="2"/>
        <v/>
      </c>
      <c r="L7" s="36" t="str">
        <f t="shared" si="3"/>
        <v/>
      </c>
      <c r="M7" s="37"/>
      <c r="N7" s="33"/>
      <c r="O7" s="34"/>
      <c r="P7" s="35" t="str">
        <f t="shared" si="4"/>
        <v/>
      </c>
      <c r="Q7" s="36" t="str">
        <f t="shared" si="5"/>
        <v/>
      </c>
      <c r="R7" s="37"/>
      <c r="S7" s="33"/>
      <c r="T7" s="34"/>
      <c r="U7" s="35" t="str">
        <f t="shared" si="6"/>
        <v/>
      </c>
      <c r="V7" s="36" t="str">
        <f t="shared" si="7"/>
        <v/>
      </c>
      <c r="W7" s="37"/>
      <c r="X7" s="33"/>
      <c r="Y7" s="34"/>
      <c r="Z7" s="35" t="str">
        <f t="shared" si="8"/>
        <v/>
      </c>
      <c r="AA7" s="36" t="str">
        <f t="shared" si="9"/>
        <v/>
      </c>
      <c r="AB7" s="37"/>
      <c r="AC7" s="33"/>
      <c r="AD7" s="34"/>
      <c r="AE7" s="35" t="str">
        <f t="shared" si="10"/>
        <v/>
      </c>
      <c r="AF7" s="36" t="str">
        <f t="shared" si="11"/>
        <v/>
      </c>
      <c r="AG7" s="37"/>
      <c r="AH7" s="33"/>
      <c r="AI7" s="34"/>
      <c r="AJ7" s="35" t="str">
        <f t="shared" si="12"/>
        <v/>
      </c>
      <c r="AK7" s="36" t="str">
        <f t="shared" si="13"/>
        <v/>
      </c>
      <c r="AL7" s="37"/>
      <c r="AM7" s="33"/>
      <c r="AN7" s="34"/>
      <c r="AO7" s="35" t="str">
        <f t="shared" si="14"/>
        <v/>
      </c>
      <c r="AP7" s="36" t="str">
        <f t="shared" si="15"/>
        <v/>
      </c>
      <c r="AQ7" s="37"/>
      <c r="AR7" s="33"/>
      <c r="AS7" s="34"/>
      <c r="AT7" s="35" t="str">
        <f t="shared" si="16"/>
        <v/>
      </c>
      <c r="AU7" s="36" t="str">
        <f t="shared" si="17"/>
        <v/>
      </c>
      <c r="AV7" s="37"/>
      <c r="AW7" s="33"/>
      <c r="AX7" s="34"/>
      <c r="AY7" s="35" t="str">
        <f t="shared" si="18"/>
        <v/>
      </c>
      <c r="AZ7" s="36" t="str">
        <f t="shared" si="19"/>
        <v/>
      </c>
      <c r="BA7" s="37"/>
      <c r="BB7" s="33"/>
      <c r="BC7" s="34"/>
      <c r="BD7" s="35" t="str">
        <f t="shared" si="20"/>
        <v/>
      </c>
      <c r="BE7" s="36" t="str">
        <f t="shared" si="21"/>
        <v/>
      </c>
      <c r="BF7" s="37"/>
      <c r="BG7" s="33"/>
      <c r="BH7" s="34"/>
      <c r="BI7" s="35" t="str">
        <f t="shared" si="22"/>
        <v/>
      </c>
      <c r="BJ7" s="36" t="str">
        <f t="shared" si="23"/>
        <v/>
      </c>
      <c r="BK7" s="37"/>
      <c r="BL7" s="33"/>
      <c r="BM7" s="34"/>
      <c r="BN7" s="35" t="str">
        <f t="shared" si="24"/>
        <v/>
      </c>
      <c r="BO7" s="36" t="str">
        <f t="shared" si="25"/>
        <v/>
      </c>
      <c r="BP7" s="37"/>
      <c r="BQ7" s="33"/>
      <c r="BR7" s="34"/>
      <c r="BS7" s="35" t="str">
        <f t="shared" si="26"/>
        <v/>
      </c>
      <c r="BT7" s="36" t="str">
        <f t="shared" si="27"/>
        <v/>
      </c>
      <c r="BU7" s="37"/>
      <c r="BV7" s="33"/>
      <c r="BW7" s="34"/>
      <c r="BX7" s="35" t="str">
        <f t="shared" si="28"/>
        <v/>
      </c>
      <c r="BY7" s="36" t="str">
        <f t="shared" si="29"/>
        <v/>
      </c>
      <c r="BZ7" s="37"/>
      <c r="CA7" s="33"/>
      <c r="CB7" s="34"/>
      <c r="CC7" s="35" t="str">
        <f t="shared" si="30"/>
        <v/>
      </c>
      <c r="CD7" s="36" t="str">
        <f t="shared" si="31"/>
        <v/>
      </c>
      <c r="CE7" s="37"/>
      <c r="CF7" s="33"/>
      <c r="CG7" s="34"/>
      <c r="CH7" s="35" t="str">
        <f t="shared" si="32"/>
        <v/>
      </c>
      <c r="CI7" s="36" t="str">
        <f t="shared" si="33"/>
        <v/>
      </c>
      <c r="CJ7" s="37"/>
      <c r="CK7" s="33"/>
      <c r="CL7" s="34"/>
      <c r="CM7" s="35" t="str">
        <f t="shared" si="34"/>
        <v/>
      </c>
      <c r="CN7" s="36" t="str">
        <f t="shared" si="35"/>
        <v/>
      </c>
      <c r="CO7" s="37"/>
      <c r="CP7" s="33"/>
      <c r="CQ7" s="34"/>
      <c r="CR7" s="35" t="str">
        <f t="shared" si="36"/>
        <v/>
      </c>
      <c r="CS7" s="36" t="str">
        <f t="shared" si="37"/>
        <v/>
      </c>
      <c r="CT7" s="37"/>
      <c r="CU7" s="33"/>
      <c r="CV7" s="34"/>
      <c r="CW7" s="35" t="str">
        <f t="shared" si="38"/>
        <v/>
      </c>
      <c r="CX7" s="36" t="str">
        <f t="shared" si="39"/>
        <v/>
      </c>
      <c r="CY7" s="37"/>
      <c r="CZ7" s="33"/>
      <c r="DA7" s="34"/>
      <c r="DB7" s="35" t="str">
        <f t="shared" si="40"/>
        <v/>
      </c>
      <c r="DC7" s="36" t="str">
        <f t="shared" si="41"/>
        <v/>
      </c>
      <c r="DD7" s="37"/>
      <c r="DE7" s="33"/>
      <c r="DF7" s="34"/>
      <c r="DG7" s="35" t="str">
        <f t="shared" si="42"/>
        <v/>
      </c>
      <c r="DH7" s="36" t="str">
        <f t="shared" si="43"/>
        <v/>
      </c>
      <c r="DI7" s="37"/>
      <c r="DJ7" s="33"/>
      <c r="DK7" s="34"/>
      <c r="DL7" s="35" t="str">
        <f t="shared" si="44"/>
        <v/>
      </c>
      <c r="DM7" s="36" t="str">
        <f t="shared" si="45"/>
        <v/>
      </c>
      <c r="DN7" s="37"/>
      <c r="DO7" s="33"/>
      <c r="DP7" s="34"/>
      <c r="DQ7" s="35" t="str">
        <f t="shared" si="46"/>
        <v/>
      </c>
      <c r="DR7" s="36" t="str">
        <f t="shared" si="47"/>
        <v/>
      </c>
      <c r="DS7" s="37"/>
      <c r="DT7" s="33"/>
      <c r="DU7" s="34"/>
      <c r="DV7" s="35" t="str">
        <f t="shared" si="48"/>
        <v/>
      </c>
      <c r="DW7" s="36" t="str">
        <f t="shared" si="49"/>
        <v/>
      </c>
      <c r="DX7" s="37"/>
      <c r="DY7" s="33"/>
      <c r="DZ7" s="34"/>
      <c r="EA7" s="35" t="str">
        <f t="shared" si="50"/>
        <v/>
      </c>
      <c r="EB7" s="36" t="str">
        <f t="shared" si="51"/>
        <v/>
      </c>
      <c r="EC7" s="37"/>
      <c r="ED7" s="33"/>
      <c r="EE7" s="34"/>
      <c r="EF7" s="35" t="str">
        <f t="shared" si="52"/>
        <v/>
      </c>
      <c r="EG7" s="36" t="str">
        <f t="shared" si="53"/>
        <v/>
      </c>
      <c r="EH7" s="37"/>
      <c r="EI7" s="33"/>
      <c r="EJ7" s="34"/>
      <c r="EK7" s="35" t="str">
        <f t="shared" si="54"/>
        <v/>
      </c>
      <c r="EL7" s="36" t="str">
        <f t="shared" si="55"/>
        <v/>
      </c>
      <c r="EM7" s="37"/>
      <c r="EN7" s="33"/>
      <c r="EO7" s="34"/>
      <c r="EP7" s="35" t="str">
        <f t="shared" si="56"/>
        <v/>
      </c>
      <c r="EQ7" s="36" t="str">
        <f t="shared" si="57"/>
        <v/>
      </c>
      <c r="ER7" s="37"/>
      <c r="ES7" s="33"/>
      <c r="ET7" s="34"/>
      <c r="EU7" s="35" t="str">
        <f t="shared" si="58"/>
        <v/>
      </c>
      <c r="EV7" s="36" t="str">
        <f t="shared" si="59"/>
        <v/>
      </c>
      <c r="EW7" s="37"/>
    </row>
    <row r="8" spans="1:153" ht="19.5" customHeight="1">
      <c r="A8" s="32">
        <f>IF(DAY(DATE(対象年度,11,5))&lt;&gt;5,"",5)</f>
        <v>5</v>
      </c>
      <c r="B8" s="32" t="str">
        <f>IF(DAY(DATE(対象年度,11,5))&lt;&gt;5,"",CHOOSE(WEEKDAY(DATE(対象年度,11,5),2),"月","火","水","木","金","土","日"))</f>
        <v>木</v>
      </c>
      <c r="C8" s="32" t="str">
        <f>IF(DAY(DATE(対象年度,11,5))&lt;&gt;5,"",IF(ISNUMBER(MATCH(DATE(対象年度,11,5),祝日リスト,0)),"祝",""))</f>
        <v/>
      </c>
      <c r="D8" s="33"/>
      <c r="E8" s="34"/>
      <c r="F8" s="35" t="str">
        <f t="shared" si="0"/>
        <v/>
      </c>
      <c r="G8" s="36" t="str">
        <f t="shared" si="1"/>
        <v/>
      </c>
      <c r="H8" s="37"/>
      <c r="I8" s="33"/>
      <c r="J8" s="34"/>
      <c r="K8" s="35" t="str">
        <f t="shared" si="2"/>
        <v/>
      </c>
      <c r="L8" s="36" t="str">
        <f t="shared" si="3"/>
        <v/>
      </c>
      <c r="M8" s="37"/>
      <c r="N8" s="33"/>
      <c r="O8" s="34"/>
      <c r="P8" s="35" t="str">
        <f t="shared" si="4"/>
        <v/>
      </c>
      <c r="Q8" s="36" t="str">
        <f t="shared" si="5"/>
        <v/>
      </c>
      <c r="R8" s="37"/>
      <c r="S8" s="33"/>
      <c r="T8" s="34"/>
      <c r="U8" s="35" t="str">
        <f t="shared" si="6"/>
        <v/>
      </c>
      <c r="V8" s="36" t="str">
        <f t="shared" si="7"/>
        <v/>
      </c>
      <c r="W8" s="37"/>
      <c r="X8" s="33"/>
      <c r="Y8" s="34"/>
      <c r="Z8" s="35" t="str">
        <f t="shared" si="8"/>
        <v/>
      </c>
      <c r="AA8" s="36" t="str">
        <f t="shared" si="9"/>
        <v/>
      </c>
      <c r="AB8" s="37"/>
      <c r="AC8" s="33"/>
      <c r="AD8" s="34"/>
      <c r="AE8" s="35" t="str">
        <f t="shared" si="10"/>
        <v/>
      </c>
      <c r="AF8" s="36" t="str">
        <f t="shared" si="11"/>
        <v/>
      </c>
      <c r="AG8" s="37"/>
      <c r="AH8" s="33"/>
      <c r="AI8" s="34"/>
      <c r="AJ8" s="35" t="str">
        <f t="shared" si="12"/>
        <v/>
      </c>
      <c r="AK8" s="36" t="str">
        <f t="shared" si="13"/>
        <v/>
      </c>
      <c r="AL8" s="37"/>
      <c r="AM8" s="33"/>
      <c r="AN8" s="34"/>
      <c r="AO8" s="35" t="str">
        <f t="shared" si="14"/>
        <v/>
      </c>
      <c r="AP8" s="36" t="str">
        <f t="shared" si="15"/>
        <v/>
      </c>
      <c r="AQ8" s="37"/>
      <c r="AR8" s="33"/>
      <c r="AS8" s="34"/>
      <c r="AT8" s="35" t="str">
        <f t="shared" si="16"/>
        <v/>
      </c>
      <c r="AU8" s="36" t="str">
        <f t="shared" si="17"/>
        <v/>
      </c>
      <c r="AV8" s="37"/>
      <c r="AW8" s="33"/>
      <c r="AX8" s="34"/>
      <c r="AY8" s="35" t="str">
        <f t="shared" si="18"/>
        <v/>
      </c>
      <c r="AZ8" s="36" t="str">
        <f t="shared" si="19"/>
        <v/>
      </c>
      <c r="BA8" s="37"/>
      <c r="BB8" s="33"/>
      <c r="BC8" s="34"/>
      <c r="BD8" s="35" t="str">
        <f t="shared" si="20"/>
        <v/>
      </c>
      <c r="BE8" s="36" t="str">
        <f t="shared" si="21"/>
        <v/>
      </c>
      <c r="BF8" s="37"/>
      <c r="BG8" s="33"/>
      <c r="BH8" s="34"/>
      <c r="BI8" s="35" t="str">
        <f t="shared" si="22"/>
        <v/>
      </c>
      <c r="BJ8" s="36" t="str">
        <f t="shared" si="23"/>
        <v/>
      </c>
      <c r="BK8" s="37"/>
      <c r="BL8" s="33"/>
      <c r="BM8" s="34"/>
      <c r="BN8" s="35" t="str">
        <f t="shared" si="24"/>
        <v/>
      </c>
      <c r="BO8" s="36" t="str">
        <f t="shared" si="25"/>
        <v/>
      </c>
      <c r="BP8" s="37"/>
      <c r="BQ8" s="33"/>
      <c r="BR8" s="34"/>
      <c r="BS8" s="35" t="str">
        <f t="shared" si="26"/>
        <v/>
      </c>
      <c r="BT8" s="36" t="str">
        <f t="shared" si="27"/>
        <v/>
      </c>
      <c r="BU8" s="37"/>
      <c r="BV8" s="33"/>
      <c r="BW8" s="34"/>
      <c r="BX8" s="35" t="str">
        <f t="shared" si="28"/>
        <v/>
      </c>
      <c r="BY8" s="36" t="str">
        <f t="shared" si="29"/>
        <v/>
      </c>
      <c r="BZ8" s="37"/>
      <c r="CA8" s="33"/>
      <c r="CB8" s="34"/>
      <c r="CC8" s="35" t="str">
        <f t="shared" si="30"/>
        <v/>
      </c>
      <c r="CD8" s="36" t="str">
        <f t="shared" si="31"/>
        <v/>
      </c>
      <c r="CE8" s="37"/>
      <c r="CF8" s="33"/>
      <c r="CG8" s="34"/>
      <c r="CH8" s="35" t="str">
        <f t="shared" si="32"/>
        <v/>
      </c>
      <c r="CI8" s="36" t="str">
        <f t="shared" si="33"/>
        <v/>
      </c>
      <c r="CJ8" s="37"/>
      <c r="CK8" s="33"/>
      <c r="CL8" s="34"/>
      <c r="CM8" s="35" t="str">
        <f t="shared" si="34"/>
        <v/>
      </c>
      <c r="CN8" s="36" t="str">
        <f t="shared" si="35"/>
        <v/>
      </c>
      <c r="CO8" s="37"/>
      <c r="CP8" s="33"/>
      <c r="CQ8" s="34"/>
      <c r="CR8" s="35" t="str">
        <f t="shared" si="36"/>
        <v/>
      </c>
      <c r="CS8" s="36" t="str">
        <f t="shared" si="37"/>
        <v/>
      </c>
      <c r="CT8" s="37"/>
      <c r="CU8" s="33"/>
      <c r="CV8" s="34"/>
      <c r="CW8" s="35" t="str">
        <f t="shared" si="38"/>
        <v/>
      </c>
      <c r="CX8" s="36" t="str">
        <f t="shared" si="39"/>
        <v/>
      </c>
      <c r="CY8" s="37"/>
      <c r="CZ8" s="33"/>
      <c r="DA8" s="34"/>
      <c r="DB8" s="35" t="str">
        <f t="shared" si="40"/>
        <v/>
      </c>
      <c r="DC8" s="36" t="str">
        <f t="shared" si="41"/>
        <v/>
      </c>
      <c r="DD8" s="37"/>
      <c r="DE8" s="33"/>
      <c r="DF8" s="34"/>
      <c r="DG8" s="35" t="str">
        <f t="shared" si="42"/>
        <v/>
      </c>
      <c r="DH8" s="36" t="str">
        <f t="shared" si="43"/>
        <v/>
      </c>
      <c r="DI8" s="37"/>
      <c r="DJ8" s="33"/>
      <c r="DK8" s="34"/>
      <c r="DL8" s="35" t="str">
        <f t="shared" si="44"/>
        <v/>
      </c>
      <c r="DM8" s="36" t="str">
        <f t="shared" si="45"/>
        <v/>
      </c>
      <c r="DN8" s="37"/>
      <c r="DO8" s="33"/>
      <c r="DP8" s="34"/>
      <c r="DQ8" s="35" t="str">
        <f t="shared" si="46"/>
        <v/>
      </c>
      <c r="DR8" s="36" t="str">
        <f t="shared" si="47"/>
        <v/>
      </c>
      <c r="DS8" s="37"/>
      <c r="DT8" s="33"/>
      <c r="DU8" s="34"/>
      <c r="DV8" s="35" t="str">
        <f t="shared" si="48"/>
        <v/>
      </c>
      <c r="DW8" s="36" t="str">
        <f t="shared" si="49"/>
        <v/>
      </c>
      <c r="DX8" s="37"/>
      <c r="DY8" s="33"/>
      <c r="DZ8" s="34"/>
      <c r="EA8" s="35" t="str">
        <f t="shared" si="50"/>
        <v/>
      </c>
      <c r="EB8" s="36" t="str">
        <f t="shared" si="51"/>
        <v/>
      </c>
      <c r="EC8" s="37"/>
      <c r="ED8" s="33"/>
      <c r="EE8" s="34"/>
      <c r="EF8" s="35" t="str">
        <f t="shared" si="52"/>
        <v/>
      </c>
      <c r="EG8" s="36" t="str">
        <f t="shared" si="53"/>
        <v/>
      </c>
      <c r="EH8" s="37"/>
      <c r="EI8" s="33"/>
      <c r="EJ8" s="34"/>
      <c r="EK8" s="35" t="str">
        <f t="shared" si="54"/>
        <v/>
      </c>
      <c r="EL8" s="36" t="str">
        <f t="shared" si="55"/>
        <v/>
      </c>
      <c r="EM8" s="37"/>
      <c r="EN8" s="33"/>
      <c r="EO8" s="34"/>
      <c r="EP8" s="35" t="str">
        <f t="shared" si="56"/>
        <v/>
      </c>
      <c r="EQ8" s="36" t="str">
        <f t="shared" si="57"/>
        <v/>
      </c>
      <c r="ER8" s="37"/>
      <c r="ES8" s="33"/>
      <c r="ET8" s="34"/>
      <c r="EU8" s="35" t="str">
        <f t="shared" si="58"/>
        <v/>
      </c>
      <c r="EV8" s="36" t="str">
        <f t="shared" si="59"/>
        <v/>
      </c>
      <c r="EW8" s="37"/>
    </row>
    <row r="9" spans="1:153" ht="19.5" customHeight="1">
      <c r="A9" s="32">
        <f>IF(DAY(DATE(対象年度,11,6))&lt;&gt;6,"",6)</f>
        <v>6</v>
      </c>
      <c r="B9" s="32" t="str">
        <f>IF(DAY(DATE(対象年度,11,6))&lt;&gt;6,"",CHOOSE(WEEKDAY(DATE(対象年度,11,6),2),"月","火","水","木","金","土","日"))</f>
        <v>金</v>
      </c>
      <c r="C9" s="32" t="str">
        <f>IF(DAY(DATE(対象年度,11,6))&lt;&gt;6,"",IF(ISNUMBER(MATCH(DATE(対象年度,11,6),祝日リスト,0)),"祝",""))</f>
        <v/>
      </c>
      <c r="D9" s="33"/>
      <c r="E9" s="34"/>
      <c r="F9" s="35" t="str">
        <f t="shared" si="0"/>
        <v/>
      </c>
      <c r="G9" s="36" t="str">
        <f t="shared" si="1"/>
        <v/>
      </c>
      <c r="H9" s="37"/>
      <c r="I9" s="33"/>
      <c r="J9" s="34"/>
      <c r="K9" s="35" t="str">
        <f t="shared" si="2"/>
        <v/>
      </c>
      <c r="L9" s="36" t="str">
        <f t="shared" si="3"/>
        <v/>
      </c>
      <c r="M9" s="37"/>
      <c r="N9" s="33"/>
      <c r="O9" s="34"/>
      <c r="P9" s="35" t="str">
        <f t="shared" si="4"/>
        <v/>
      </c>
      <c r="Q9" s="36" t="str">
        <f t="shared" si="5"/>
        <v/>
      </c>
      <c r="R9" s="37"/>
      <c r="S9" s="33"/>
      <c r="T9" s="34"/>
      <c r="U9" s="35" t="str">
        <f t="shared" si="6"/>
        <v/>
      </c>
      <c r="V9" s="36" t="str">
        <f t="shared" si="7"/>
        <v/>
      </c>
      <c r="W9" s="37"/>
      <c r="X9" s="33"/>
      <c r="Y9" s="34"/>
      <c r="Z9" s="35" t="str">
        <f t="shared" si="8"/>
        <v/>
      </c>
      <c r="AA9" s="36" t="str">
        <f t="shared" si="9"/>
        <v/>
      </c>
      <c r="AB9" s="37"/>
      <c r="AC9" s="33"/>
      <c r="AD9" s="34"/>
      <c r="AE9" s="35" t="str">
        <f t="shared" si="10"/>
        <v/>
      </c>
      <c r="AF9" s="36" t="str">
        <f t="shared" si="11"/>
        <v/>
      </c>
      <c r="AG9" s="37"/>
      <c r="AH9" s="33"/>
      <c r="AI9" s="34"/>
      <c r="AJ9" s="35" t="str">
        <f t="shared" si="12"/>
        <v/>
      </c>
      <c r="AK9" s="36" t="str">
        <f t="shared" si="13"/>
        <v/>
      </c>
      <c r="AL9" s="37"/>
      <c r="AM9" s="33"/>
      <c r="AN9" s="34"/>
      <c r="AO9" s="35" t="str">
        <f t="shared" si="14"/>
        <v/>
      </c>
      <c r="AP9" s="36" t="str">
        <f t="shared" si="15"/>
        <v/>
      </c>
      <c r="AQ9" s="37"/>
      <c r="AR9" s="33"/>
      <c r="AS9" s="34"/>
      <c r="AT9" s="35" t="str">
        <f t="shared" si="16"/>
        <v/>
      </c>
      <c r="AU9" s="36" t="str">
        <f t="shared" si="17"/>
        <v/>
      </c>
      <c r="AV9" s="37"/>
      <c r="AW9" s="33"/>
      <c r="AX9" s="34"/>
      <c r="AY9" s="35" t="str">
        <f t="shared" si="18"/>
        <v/>
      </c>
      <c r="AZ9" s="36" t="str">
        <f t="shared" si="19"/>
        <v/>
      </c>
      <c r="BA9" s="37"/>
      <c r="BB9" s="33"/>
      <c r="BC9" s="34"/>
      <c r="BD9" s="35" t="str">
        <f t="shared" si="20"/>
        <v/>
      </c>
      <c r="BE9" s="36" t="str">
        <f t="shared" si="21"/>
        <v/>
      </c>
      <c r="BF9" s="37"/>
      <c r="BG9" s="33"/>
      <c r="BH9" s="34"/>
      <c r="BI9" s="35" t="str">
        <f t="shared" si="22"/>
        <v/>
      </c>
      <c r="BJ9" s="36" t="str">
        <f t="shared" si="23"/>
        <v/>
      </c>
      <c r="BK9" s="37"/>
      <c r="BL9" s="33"/>
      <c r="BM9" s="34"/>
      <c r="BN9" s="35" t="str">
        <f t="shared" si="24"/>
        <v/>
      </c>
      <c r="BO9" s="36" t="str">
        <f t="shared" si="25"/>
        <v/>
      </c>
      <c r="BP9" s="37"/>
      <c r="BQ9" s="33"/>
      <c r="BR9" s="34"/>
      <c r="BS9" s="35" t="str">
        <f t="shared" si="26"/>
        <v/>
      </c>
      <c r="BT9" s="36" t="str">
        <f t="shared" si="27"/>
        <v/>
      </c>
      <c r="BU9" s="37"/>
      <c r="BV9" s="33"/>
      <c r="BW9" s="34"/>
      <c r="BX9" s="35" t="str">
        <f t="shared" si="28"/>
        <v/>
      </c>
      <c r="BY9" s="36" t="str">
        <f t="shared" si="29"/>
        <v/>
      </c>
      <c r="BZ9" s="37"/>
      <c r="CA9" s="33"/>
      <c r="CB9" s="34"/>
      <c r="CC9" s="35" t="str">
        <f t="shared" si="30"/>
        <v/>
      </c>
      <c r="CD9" s="36" t="str">
        <f t="shared" si="31"/>
        <v/>
      </c>
      <c r="CE9" s="37"/>
      <c r="CF9" s="33"/>
      <c r="CG9" s="34"/>
      <c r="CH9" s="35" t="str">
        <f t="shared" si="32"/>
        <v/>
      </c>
      <c r="CI9" s="36" t="str">
        <f t="shared" si="33"/>
        <v/>
      </c>
      <c r="CJ9" s="37"/>
      <c r="CK9" s="33"/>
      <c r="CL9" s="34"/>
      <c r="CM9" s="35" t="str">
        <f t="shared" si="34"/>
        <v/>
      </c>
      <c r="CN9" s="36" t="str">
        <f t="shared" si="35"/>
        <v/>
      </c>
      <c r="CO9" s="37"/>
      <c r="CP9" s="33"/>
      <c r="CQ9" s="34"/>
      <c r="CR9" s="35" t="str">
        <f t="shared" si="36"/>
        <v/>
      </c>
      <c r="CS9" s="36" t="str">
        <f t="shared" si="37"/>
        <v/>
      </c>
      <c r="CT9" s="37"/>
      <c r="CU9" s="33"/>
      <c r="CV9" s="34"/>
      <c r="CW9" s="35" t="str">
        <f t="shared" si="38"/>
        <v/>
      </c>
      <c r="CX9" s="36" t="str">
        <f t="shared" si="39"/>
        <v/>
      </c>
      <c r="CY9" s="37"/>
      <c r="CZ9" s="33"/>
      <c r="DA9" s="34"/>
      <c r="DB9" s="35" t="str">
        <f t="shared" si="40"/>
        <v/>
      </c>
      <c r="DC9" s="36" t="str">
        <f t="shared" si="41"/>
        <v/>
      </c>
      <c r="DD9" s="37"/>
      <c r="DE9" s="33"/>
      <c r="DF9" s="34"/>
      <c r="DG9" s="35" t="str">
        <f t="shared" si="42"/>
        <v/>
      </c>
      <c r="DH9" s="36" t="str">
        <f t="shared" si="43"/>
        <v/>
      </c>
      <c r="DI9" s="37"/>
      <c r="DJ9" s="33"/>
      <c r="DK9" s="34"/>
      <c r="DL9" s="35" t="str">
        <f t="shared" si="44"/>
        <v/>
      </c>
      <c r="DM9" s="36" t="str">
        <f t="shared" si="45"/>
        <v/>
      </c>
      <c r="DN9" s="37"/>
      <c r="DO9" s="33"/>
      <c r="DP9" s="34"/>
      <c r="DQ9" s="35" t="str">
        <f t="shared" si="46"/>
        <v/>
      </c>
      <c r="DR9" s="36" t="str">
        <f t="shared" si="47"/>
        <v/>
      </c>
      <c r="DS9" s="37"/>
      <c r="DT9" s="33"/>
      <c r="DU9" s="34"/>
      <c r="DV9" s="35" t="str">
        <f t="shared" si="48"/>
        <v/>
      </c>
      <c r="DW9" s="36" t="str">
        <f t="shared" si="49"/>
        <v/>
      </c>
      <c r="DX9" s="37"/>
      <c r="DY9" s="33"/>
      <c r="DZ9" s="34"/>
      <c r="EA9" s="35" t="str">
        <f t="shared" si="50"/>
        <v/>
      </c>
      <c r="EB9" s="36" t="str">
        <f t="shared" si="51"/>
        <v/>
      </c>
      <c r="EC9" s="37"/>
      <c r="ED9" s="33"/>
      <c r="EE9" s="34"/>
      <c r="EF9" s="35" t="str">
        <f t="shared" si="52"/>
        <v/>
      </c>
      <c r="EG9" s="36" t="str">
        <f t="shared" si="53"/>
        <v/>
      </c>
      <c r="EH9" s="37"/>
      <c r="EI9" s="33"/>
      <c r="EJ9" s="34"/>
      <c r="EK9" s="35" t="str">
        <f t="shared" si="54"/>
        <v/>
      </c>
      <c r="EL9" s="36" t="str">
        <f t="shared" si="55"/>
        <v/>
      </c>
      <c r="EM9" s="37"/>
      <c r="EN9" s="33"/>
      <c r="EO9" s="34"/>
      <c r="EP9" s="35" t="str">
        <f t="shared" si="56"/>
        <v/>
      </c>
      <c r="EQ9" s="36" t="str">
        <f t="shared" si="57"/>
        <v/>
      </c>
      <c r="ER9" s="37"/>
      <c r="ES9" s="33"/>
      <c r="ET9" s="34"/>
      <c r="EU9" s="35" t="str">
        <f t="shared" si="58"/>
        <v/>
      </c>
      <c r="EV9" s="36" t="str">
        <f t="shared" si="59"/>
        <v/>
      </c>
      <c r="EW9" s="37"/>
    </row>
    <row r="10" spans="1:153" ht="19.5" customHeight="1">
      <c r="A10" s="32">
        <f>IF(DAY(DATE(対象年度,11,7))&lt;&gt;7,"",7)</f>
        <v>7</v>
      </c>
      <c r="B10" s="32" t="str">
        <f>IF(DAY(DATE(対象年度,11,7))&lt;&gt;7,"",CHOOSE(WEEKDAY(DATE(対象年度,11,7),2),"月","火","水","木","金","土","日"))</f>
        <v>土</v>
      </c>
      <c r="C10" s="32" t="str">
        <f>IF(DAY(DATE(対象年度,11,7))&lt;&gt;7,"",IF(ISNUMBER(MATCH(DATE(対象年度,11,7),祝日リスト,0)),"祝",""))</f>
        <v/>
      </c>
      <c r="D10" s="33"/>
      <c r="E10" s="34"/>
      <c r="F10" s="35" t="str">
        <f t="shared" si="0"/>
        <v/>
      </c>
      <c r="G10" s="36" t="str">
        <f t="shared" si="1"/>
        <v/>
      </c>
      <c r="H10" s="37"/>
      <c r="I10" s="33"/>
      <c r="J10" s="34"/>
      <c r="K10" s="35" t="str">
        <f t="shared" si="2"/>
        <v/>
      </c>
      <c r="L10" s="36" t="str">
        <f t="shared" si="3"/>
        <v/>
      </c>
      <c r="M10" s="37"/>
      <c r="N10" s="33"/>
      <c r="O10" s="34"/>
      <c r="P10" s="35" t="str">
        <f t="shared" si="4"/>
        <v/>
      </c>
      <c r="Q10" s="36" t="str">
        <f t="shared" si="5"/>
        <v/>
      </c>
      <c r="R10" s="37"/>
      <c r="S10" s="33"/>
      <c r="T10" s="34"/>
      <c r="U10" s="35" t="str">
        <f t="shared" si="6"/>
        <v/>
      </c>
      <c r="V10" s="36" t="str">
        <f t="shared" si="7"/>
        <v/>
      </c>
      <c r="W10" s="37"/>
      <c r="X10" s="33"/>
      <c r="Y10" s="34"/>
      <c r="Z10" s="35" t="str">
        <f t="shared" si="8"/>
        <v/>
      </c>
      <c r="AA10" s="36" t="str">
        <f t="shared" si="9"/>
        <v/>
      </c>
      <c r="AB10" s="37"/>
      <c r="AC10" s="33"/>
      <c r="AD10" s="34"/>
      <c r="AE10" s="35" t="str">
        <f t="shared" si="10"/>
        <v/>
      </c>
      <c r="AF10" s="36" t="str">
        <f t="shared" si="11"/>
        <v/>
      </c>
      <c r="AG10" s="37"/>
      <c r="AH10" s="33"/>
      <c r="AI10" s="34"/>
      <c r="AJ10" s="35" t="str">
        <f t="shared" si="12"/>
        <v/>
      </c>
      <c r="AK10" s="36" t="str">
        <f t="shared" si="13"/>
        <v/>
      </c>
      <c r="AL10" s="37"/>
      <c r="AM10" s="33"/>
      <c r="AN10" s="34"/>
      <c r="AO10" s="35" t="str">
        <f t="shared" si="14"/>
        <v/>
      </c>
      <c r="AP10" s="36" t="str">
        <f t="shared" si="15"/>
        <v/>
      </c>
      <c r="AQ10" s="37"/>
      <c r="AR10" s="33"/>
      <c r="AS10" s="34"/>
      <c r="AT10" s="35" t="str">
        <f t="shared" si="16"/>
        <v/>
      </c>
      <c r="AU10" s="36" t="str">
        <f t="shared" si="17"/>
        <v/>
      </c>
      <c r="AV10" s="37"/>
      <c r="AW10" s="33"/>
      <c r="AX10" s="34"/>
      <c r="AY10" s="35" t="str">
        <f t="shared" si="18"/>
        <v/>
      </c>
      <c r="AZ10" s="36" t="str">
        <f t="shared" si="19"/>
        <v/>
      </c>
      <c r="BA10" s="37"/>
      <c r="BB10" s="33"/>
      <c r="BC10" s="34"/>
      <c r="BD10" s="35" t="str">
        <f t="shared" si="20"/>
        <v/>
      </c>
      <c r="BE10" s="36" t="str">
        <f t="shared" si="21"/>
        <v/>
      </c>
      <c r="BF10" s="37"/>
      <c r="BG10" s="33"/>
      <c r="BH10" s="34"/>
      <c r="BI10" s="35" t="str">
        <f t="shared" si="22"/>
        <v/>
      </c>
      <c r="BJ10" s="36" t="str">
        <f t="shared" si="23"/>
        <v/>
      </c>
      <c r="BK10" s="37"/>
      <c r="BL10" s="33"/>
      <c r="BM10" s="34"/>
      <c r="BN10" s="35" t="str">
        <f t="shared" si="24"/>
        <v/>
      </c>
      <c r="BO10" s="36" t="str">
        <f t="shared" si="25"/>
        <v/>
      </c>
      <c r="BP10" s="37"/>
      <c r="BQ10" s="33"/>
      <c r="BR10" s="34"/>
      <c r="BS10" s="35" t="str">
        <f t="shared" si="26"/>
        <v/>
      </c>
      <c r="BT10" s="36" t="str">
        <f t="shared" si="27"/>
        <v/>
      </c>
      <c r="BU10" s="37"/>
      <c r="BV10" s="33"/>
      <c r="BW10" s="34"/>
      <c r="BX10" s="35" t="str">
        <f t="shared" si="28"/>
        <v/>
      </c>
      <c r="BY10" s="36" t="str">
        <f t="shared" si="29"/>
        <v/>
      </c>
      <c r="BZ10" s="37"/>
      <c r="CA10" s="33"/>
      <c r="CB10" s="34"/>
      <c r="CC10" s="35" t="str">
        <f t="shared" si="30"/>
        <v/>
      </c>
      <c r="CD10" s="36" t="str">
        <f t="shared" si="31"/>
        <v/>
      </c>
      <c r="CE10" s="37"/>
      <c r="CF10" s="33"/>
      <c r="CG10" s="34"/>
      <c r="CH10" s="35" t="str">
        <f t="shared" si="32"/>
        <v/>
      </c>
      <c r="CI10" s="36" t="str">
        <f t="shared" si="33"/>
        <v/>
      </c>
      <c r="CJ10" s="37"/>
      <c r="CK10" s="33"/>
      <c r="CL10" s="34"/>
      <c r="CM10" s="35" t="str">
        <f t="shared" si="34"/>
        <v/>
      </c>
      <c r="CN10" s="36" t="str">
        <f t="shared" si="35"/>
        <v/>
      </c>
      <c r="CO10" s="37"/>
      <c r="CP10" s="33"/>
      <c r="CQ10" s="34"/>
      <c r="CR10" s="35" t="str">
        <f t="shared" si="36"/>
        <v/>
      </c>
      <c r="CS10" s="36" t="str">
        <f t="shared" si="37"/>
        <v/>
      </c>
      <c r="CT10" s="37"/>
      <c r="CU10" s="33"/>
      <c r="CV10" s="34"/>
      <c r="CW10" s="35" t="str">
        <f t="shared" si="38"/>
        <v/>
      </c>
      <c r="CX10" s="36" t="str">
        <f t="shared" si="39"/>
        <v/>
      </c>
      <c r="CY10" s="37"/>
      <c r="CZ10" s="33"/>
      <c r="DA10" s="34"/>
      <c r="DB10" s="35" t="str">
        <f t="shared" si="40"/>
        <v/>
      </c>
      <c r="DC10" s="36" t="str">
        <f t="shared" si="41"/>
        <v/>
      </c>
      <c r="DD10" s="37"/>
      <c r="DE10" s="33"/>
      <c r="DF10" s="34"/>
      <c r="DG10" s="35" t="str">
        <f t="shared" si="42"/>
        <v/>
      </c>
      <c r="DH10" s="36" t="str">
        <f t="shared" si="43"/>
        <v/>
      </c>
      <c r="DI10" s="37"/>
      <c r="DJ10" s="33"/>
      <c r="DK10" s="34"/>
      <c r="DL10" s="35" t="str">
        <f t="shared" si="44"/>
        <v/>
      </c>
      <c r="DM10" s="36" t="str">
        <f t="shared" si="45"/>
        <v/>
      </c>
      <c r="DN10" s="37"/>
      <c r="DO10" s="33"/>
      <c r="DP10" s="34"/>
      <c r="DQ10" s="35" t="str">
        <f t="shared" si="46"/>
        <v/>
      </c>
      <c r="DR10" s="36" t="str">
        <f t="shared" si="47"/>
        <v/>
      </c>
      <c r="DS10" s="37"/>
      <c r="DT10" s="33"/>
      <c r="DU10" s="34"/>
      <c r="DV10" s="35" t="str">
        <f t="shared" si="48"/>
        <v/>
      </c>
      <c r="DW10" s="36" t="str">
        <f t="shared" si="49"/>
        <v/>
      </c>
      <c r="DX10" s="37"/>
      <c r="DY10" s="33"/>
      <c r="DZ10" s="34"/>
      <c r="EA10" s="35" t="str">
        <f t="shared" si="50"/>
        <v/>
      </c>
      <c r="EB10" s="36" t="str">
        <f t="shared" si="51"/>
        <v/>
      </c>
      <c r="EC10" s="37"/>
      <c r="ED10" s="33"/>
      <c r="EE10" s="34"/>
      <c r="EF10" s="35" t="str">
        <f t="shared" si="52"/>
        <v/>
      </c>
      <c r="EG10" s="36" t="str">
        <f t="shared" si="53"/>
        <v/>
      </c>
      <c r="EH10" s="37"/>
      <c r="EI10" s="33"/>
      <c r="EJ10" s="34"/>
      <c r="EK10" s="35" t="str">
        <f t="shared" si="54"/>
        <v/>
      </c>
      <c r="EL10" s="36" t="str">
        <f t="shared" si="55"/>
        <v/>
      </c>
      <c r="EM10" s="37"/>
      <c r="EN10" s="33"/>
      <c r="EO10" s="34"/>
      <c r="EP10" s="35" t="str">
        <f t="shared" si="56"/>
        <v/>
      </c>
      <c r="EQ10" s="36" t="str">
        <f t="shared" si="57"/>
        <v/>
      </c>
      <c r="ER10" s="37"/>
      <c r="ES10" s="33"/>
      <c r="ET10" s="34"/>
      <c r="EU10" s="35" t="str">
        <f t="shared" si="58"/>
        <v/>
      </c>
      <c r="EV10" s="36" t="str">
        <f t="shared" si="59"/>
        <v/>
      </c>
      <c r="EW10" s="37"/>
    </row>
    <row r="11" spans="1:153" ht="19.5" customHeight="1">
      <c r="A11" s="32">
        <f>IF(DAY(DATE(対象年度,11,8))&lt;&gt;8,"",8)</f>
        <v>8</v>
      </c>
      <c r="B11" s="32" t="str">
        <f>IF(DAY(DATE(対象年度,11,8))&lt;&gt;8,"",CHOOSE(WEEKDAY(DATE(対象年度,11,8),2),"月","火","水","木","金","土","日"))</f>
        <v>日</v>
      </c>
      <c r="C11" s="32" t="str">
        <f>IF(DAY(DATE(対象年度,11,8))&lt;&gt;8,"",IF(ISNUMBER(MATCH(DATE(対象年度,11,8),祝日リスト,0)),"祝",""))</f>
        <v/>
      </c>
      <c r="D11" s="33"/>
      <c r="E11" s="34"/>
      <c r="F11" s="35" t="str">
        <f t="shared" si="0"/>
        <v/>
      </c>
      <c r="G11" s="36" t="str">
        <f t="shared" si="1"/>
        <v/>
      </c>
      <c r="H11" s="37"/>
      <c r="I11" s="33"/>
      <c r="J11" s="34"/>
      <c r="K11" s="35" t="str">
        <f t="shared" si="2"/>
        <v/>
      </c>
      <c r="L11" s="36" t="str">
        <f t="shared" si="3"/>
        <v/>
      </c>
      <c r="M11" s="37"/>
      <c r="N11" s="33"/>
      <c r="O11" s="34"/>
      <c r="P11" s="35" t="str">
        <f t="shared" si="4"/>
        <v/>
      </c>
      <c r="Q11" s="36" t="str">
        <f t="shared" si="5"/>
        <v/>
      </c>
      <c r="R11" s="37"/>
      <c r="S11" s="33"/>
      <c r="T11" s="34"/>
      <c r="U11" s="35" t="str">
        <f t="shared" si="6"/>
        <v/>
      </c>
      <c r="V11" s="36" t="str">
        <f t="shared" si="7"/>
        <v/>
      </c>
      <c r="W11" s="37"/>
      <c r="X11" s="33"/>
      <c r="Y11" s="34"/>
      <c r="Z11" s="35" t="str">
        <f t="shared" si="8"/>
        <v/>
      </c>
      <c r="AA11" s="36" t="str">
        <f t="shared" si="9"/>
        <v/>
      </c>
      <c r="AB11" s="37"/>
      <c r="AC11" s="33"/>
      <c r="AD11" s="34"/>
      <c r="AE11" s="35" t="str">
        <f t="shared" si="10"/>
        <v/>
      </c>
      <c r="AF11" s="36" t="str">
        <f t="shared" si="11"/>
        <v/>
      </c>
      <c r="AG11" s="37"/>
      <c r="AH11" s="33"/>
      <c r="AI11" s="34"/>
      <c r="AJ11" s="35" t="str">
        <f t="shared" si="12"/>
        <v/>
      </c>
      <c r="AK11" s="36" t="str">
        <f t="shared" si="13"/>
        <v/>
      </c>
      <c r="AL11" s="37"/>
      <c r="AM11" s="33"/>
      <c r="AN11" s="34"/>
      <c r="AO11" s="35" t="str">
        <f t="shared" si="14"/>
        <v/>
      </c>
      <c r="AP11" s="36" t="str">
        <f t="shared" si="15"/>
        <v/>
      </c>
      <c r="AQ11" s="37"/>
      <c r="AR11" s="33"/>
      <c r="AS11" s="34"/>
      <c r="AT11" s="35" t="str">
        <f t="shared" si="16"/>
        <v/>
      </c>
      <c r="AU11" s="36" t="str">
        <f t="shared" si="17"/>
        <v/>
      </c>
      <c r="AV11" s="37"/>
      <c r="AW11" s="33"/>
      <c r="AX11" s="34"/>
      <c r="AY11" s="35" t="str">
        <f t="shared" si="18"/>
        <v/>
      </c>
      <c r="AZ11" s="36" t="str">
        <f t="shared" si="19"/>
        <v/>
      </c>
      <c r="BA11" s="37"/>
      <c r="BB11" s="33"/>
      <c r="BC11" s="34"/>
      <c r="BD11" s="35" t="str">
        <f t="shared" si="20"/>
        <v/>
      </c>
      <c r="BE11" s="36" t="str">
        <f t="shared" si="21"/>
        <v/>
      </c>
      <c r="BF11" s="37"/>
      <c r="BG11" s="33"/>
      <c r="BH11" s="34"/>
      <c r="BI11" s="35" t="str">
        <f t="shared" si="22"/>
        <v/>
      </c>
      <c r="BJ11" s="36" t="str">
        <f t="shared" si="23"/>
        <v/>
      </c>
      <c r="BK11" s="37"/>
      <c r="BL11" s="33"/>
      <c r="BM11" s="34"/>
      <c r="BN11" s="35" t="str">
        <f t="shared" si="24"/>
        <v/>
      </c>
      <c r="BO11" s="36" t="str">
        <f t="shared" si="25"/>
        <v/>
      </c>
      <c r="BP11" s="37"/>
      <c r="BQ11" s="33"/>
      <c r="BR11" s="34"/>
      <c r="BS11" s="35" t="str">
        <f t="shared" si="26"/>
        <v/>
      </c>
      <c r="BT11" s="36" t="str">
        <f t="shared" si="27"/>
        <v/>
      </c>
      <c r="BU11" s="37"/>
      <c r="BV11" s="33"/>
      <c r="BW11" s="34"/>
      <c r="BX11" s="35" t="str">
        <f t="shared" si="28"/>
        <v/>
      </c>
      <c r="BY11" s="36" t="str">
        <f t="shared" si="29"/>
        <v/>
      </c>
      <c r="BZ11" s="37"/>
      <c r="CA11" s="33"/>
      <c r="CB11" s="34"/>
      <c r="CC11" s="35" t="str">
        <f t="shared" si="30"/>
        <v/>
      </c>
      <c r="CD11" s="36" t="str">
        <f t="shared" si="31"/>
        <v/>
      </c>
      <c r="CE11" s="37"/>
      <c r="CF11" s="33"/>
      <c r="CG11" s="34"/>
      <c r="CH11" s="35" t="str">
        <f t="shared" si="32"/>
        <v/>
      </c>
      <c r="CI11" s="36" t="str">
        <f t="shared" si="33"/>
        <v/>
      </c>
      <c r="CJ11" s="37"/>
      <c r="CK11" s="33"/>
      <c r="CL11" s="34"/>
      <c r="CM11" s="35" t="str">
        <f t="shared" si="34"/>
        <v/>
      </c>
      <c r="CN11" s="36" t="str">
        <f t="shared" si="35"/>
        <v/>
      </c>
      <c r="CO11" s="37"/>
      <c r="CP11" s="33"/>
      <c r="CQ11" s="34"/>
      <c r="CR11" s="35" t="str">
        <f t="shared" si="36"/>
        <v/>
      </c>
      <c r="CS11" s="36" t="str">
        <f t="shared" si="37"/>
        <v/>
      </c>
      <c r="CT11" s="37"/>
      <c r="CU11" s="33"/>
      <c r="CV11" s="34"/>
      <c r="CW11" s="35" t="str">
        <f t="shared" si="38"/>
        <v/>
      </c>
      <c r="CX11" s="36" t="str">
        <f t="shared" si="39"/>
        <v/>
      </c>
      <c r="CY11" s="37"/>
      <c r="CZ11" s="33"/>
      <c r="DA11" s="34"/>
      <c r="DB11" s="35" t="str">
        <f t="shared" si="40"/>
        <v/>
      </c>
      <c r="DC11" s="36" t="str">
        <f t="shared" si="41"/>
        <v/>
      </c>
      <c r="DD11" s="37"/>
      <c r="DE11" s="33"/>
      <c r="DF11" s="34"/>
      <c r="DG11" s="35" t="str">
        <f t="shared" si="42"/>
        <v/>
      </c>
      <c r="DH11" s="36" t="str">
        <f t="shared" si="43"/>
        <v/>
      </c>
      <c r="DI11" s="37"/>
      <c r="DJ11" s="33"/>
      <c r="DK11" s="34"/>
      <c r="DL11" s="35" t="str">
        <f t="shared" si="44"/>
        <v/>
      </c>
      <c r="DM11" s="36" t="str">
        <f t="shared" si="45"/>
        <v/>
      </c>
      <c r="DN11" s="37"/>
      <c r="DO11" s="33"/>
      <c r="DP11" s="34"/>
      <c r="DQ11" s="35" t="str">
        <f t="shared" si="46"/>
        <v/>
      </c>
      <c r="DR11" s="36" t="str">
        <f t="shared" si="47"/>
        <v/>
      </c>
      <c r="DS11" s="37"/>
      <c r="DT11" s="33"/>
      <c r="DU11" s="34"/>
      <c r="DV11" s="35" t="str">
        <f t="shared" si="48"/>
        <v/>
      </c>
      <c r="DW11" s="36" t="str">
        <f t="shared" si="49"/>
        <v/>
      </c>
      <c r="DX11" s="37"/>
      <c r="DY11" s="33"/>
      <c r="DZ11" s="34"/>
      <c r="EA11" s="35" t="str">
        <f t="shared" si="50"/>
        <v/>
      </c>
      <c r="EB11" s="36" t="str">
        <f t="shared" si="51"/>
        <v/>
      </c>
      <c r="EC11" s="37"/>
      <c r="ED11" s="33"/>
      <c r="EE11" s="34"/>
      <c r="EF11" s="35" t="str">
        <f t="shared" si="52"/>
        <v/>
      </c>
      <c r="EG11" s="36" t="str">
        <f t="shared" si="53"/>
        <v/>
      </c>
      <c r="EH11" s="37"/>
      <c r="EI11" s="33"/>
      <c r="EJ11" s="34"/>
      <c r="EK11" s="35" t="str">
        <f t="shared" si="54"/>
        <v/>
      </c>
      <c r="EL11" s="36" t="str">
        <f t="shared" si="55"/>
        <v/>
      </c>
      <c r="EM11" s="37"/>
      <c r="EN11" s="33"/>
      <c r="EO11" s="34"/>
      <c r="EP11" s="35" t="str">
        <f t="shared" si="56"/>
        <v/>
      </c>
      <c r="EQ11" s="36" t="str">
        <f t="shared" si="57"/>
        <v/>
      </c>
      <c r="ER11" s="37"/>
      <c r="ES11" s="33"/>
      <c r="ET11" s="34"/>
      <c r="EU11" s="35" t="str">
        <f t="shared" si="58"/>
        <v/>
      </c>
      <c r="EV11" s="36" t="str">
        <f t="shared" si="59"/>
        <v/>
      </c>
      <c r="EW11" s="37"/>
    </row>
    <row r="12" spans="1:153" ht="19.5" customHeight="1">
      <c r="A12" s="32">
        <f>IF(DAY(DATE(対象年度,11,9))&lt;&gt;9,"",9)</f>
        <v>9</v>
      </c>
      <c r="B12" s="32" t="str">
        <f>IF(DAY(DATE(対象年度,11,9))&lt;&gt;9,"",CHOOSE(WEEKDAY(DATE(対象年度,11,9),2),"月","火","水","木","金","土","日"))</f>
        <v>月</v>
      </c>
      <c r="C12" s="32" t="str">
        <f>IF(DAY(DATE(対象年度,11,9))&lt;&gt;9,"",IF(ISNUMBER(MATCH(DATE(対象年度,11,9),祝日リスト,0)),"祝",""))</f>
        <v/>
      </c>
      <c r="D12" s="33"/>
      <c r="E12" s="34"/>
      <c r="F12" s="35" t="str">
        <f t="shared" si="0"/>
        <v/>
      </c>
      <c r="G12" s="36" t="str">
        <f t="shared" si="1"/>
        <v/>
      </c>
      <c r="H12" s="37"/>
      <c r="I12" s="33"/>
      <c r="J12" s="34"/>
      <c r="K12" s="35" t="str">
        <f t="shared" si="2"/>
        <v/>
      </c>
      <c r="L12" s="36" t="str">
        <f t="shared" si="3"/>
        <v/>
      </c>
      <c r="M12" s="37"/>
      <c r="N12" s="33"/>
      <c r="O12" s="34"/>
      <c r="P12" s="35" t="str">
        <f t="shared" si="4"/>
        <v/>
      </c>
      <c r="Q12" s="36" t="str">
        <f t="shared" si="5"/>
        <v/>
      </c>
      <c r="R12" s="37"/>
      <c r="S12" s="33"/>
      <c r="T12" s="34"/>
      <c r="U12" s="35" t="str">
        <f t="shared" si="6"/>
        <v/>
      </c>
      <c r="V12" s="36" t="str">
        <f t="shared" si="7"/>
        <v/>
      </c>
      <c r="W12" s="37"/>
      <c r="X12" s="33"/>
      <c r="Y12" s="34"/>
      <c r="Z12" s="35" t="str">
        <f t="shared" si="8"/>
        <v/>
      </c>
      <c r="AA12" s="36" t="str">
        <f t="shared" si="9"/>
        <v/>
      </c>
      <c r="AB12" s="37"/>
      <c r="AC12" s="33"/>
      <c r="AD12" s="34"/>
      <c r="AE12" s="35" t="str">
        <f t="shared" si="10"/>
        <v/>
      </c>
      <c r="AF12" s="36" t="str">
        <f t="shared" si="11"/>
        <v/>
      </c>
      <c r="AG12" s="37"/>
      <c r="AH12" s="33"/>
      <c r="AI12" s="34"/>
      <c r="AJ12" s="35" t="str">
        <f t="shared" si="12"/>
        <v/>
      </c>
      <c r="AK12" s="36" t="str">
        <f t="shared" si="13"/>
        <v/>
      </c>
      <c r="AL12" s="37"/>
      <c r="AM12" s="33"/>
      <c r="AN12" s="34"/>
      <c r="AO12" s="35" t="str">
        <f t="shared" si="14"/>
        <v/>
      </c>
      <c r="AP12" s="36" t="str">
        <f t="shared" si="15"/>
        <v/>
      </c>
      <c r="AQ12" s="37"/>
      <c r="AR12" s="33"/>
      <c r="AS12" s="34"/>
      <c r="AT12" s="35" t="str">
        <f t="shared" si="16"/>
        <v/>
      </c>
      <c r="AU12" s="36" t="str">
        <f t="shared" si="17"/>
        <v/>
      </c>
      <c r="AV12" s="37"/>
      <c r="AW12" s="33"/>
      <c r="AX12" s="34"/>
      <c r="AY12" s="35" t="str">
        <f t="shared" si="18"/>
        <v/>
      </c>
      <c r="AZ12" s="36" t="str">
        <f t="shared" si="19"/>
        <v/>
      </c>
      <c r="BA12" s="37"/>
      <c r="BB12" s="33"/>
      <c r="BC12" s="34"/>
      <c r="BD12" s="35" t="str">
        <f t="shared" si="20"/>
        <v/>
      </c>
      <c r="BE12" s="36" t="str">
        <f t="shared" si="21"/>
        <v/>
      </c>
      <c r="BF12" s="37"/>
      <c r="BG12" s="33"/>
      <c r="BH12" s="34"/>
      <c r="BI12" s="35" t="str">
        <f t="shared" si="22"/>
        <v/>
      </c>
      <c r="BJ12" s="36" t="str">
        <f t="shared" si="23"/>
        <v/>
      </c>
      <c r="BK12" s="37"/>
      <c r="BL12" s="33"/>
      <c r="BM12" s="34"/>
      <c r="BN12" s="35" t="str">
        <f t="shared" si="24"/>
        <v/>
      </c>
      <c r="BO12" s="36" t="str">
        <f t="shared" si="25"/>
        <v/>
      </c>
      <c r="BP12" s="37"/>
      <c r="BQ12" s="33"/>
      <c r="BR12" s="34"/>
      <c r="BS12" s="35" t="str">
        <f t="shared" si="26"/>
        <v/>
      </c>
      <c r="BT12" s="36" t="str">
        <f t="shared" si="27"/>
        <v/>
      </c>
      <c r="BU12" s="37"/>
      <c r="BV12" s="33"/>
      <c r="BW12" s="34"/>
      <c r="BX12" s="35" t="str">
        <f t="shared" si="28"/>
        <v/>
      </c>
      <c r="BY12" s="36" t="str">
        <f t="shared" si="29"/>
        <v/>
      </c>
      <c r="BZ12" s="37"/>
      <c r="CA12" s="33"/>
      <c r="CB12" s="34"/>
      <c r="CC12" s="35" t="str">
        <f t="shared" si="30"/>
        <v/>
      </c>
      <c r="CD12" s="36" t="str">
        <f t="shared" si="31"/>
        <v/>
      </c>
      <c r="CE12" s="37"/>
      <c r="CF12" s="33"/>
      <c r="CG12" s="34"/>
      <c r="CH12" s="35" t="str">
        <f t="shared" si="32"/>
        <v/>
      </c>
      <c r="CI12" s="36" t="str">
        <f t="shared" si="33"/>
        <v/>
      </c>
      <c r="CJ12" s="37"/>
      <c r="CK12" s="33"/>
      <c r="CL12" s="34"/>
      <c r="CM12" s="35" t="str">
        <f t="shared" si="34"/>
        <v/>
      </c>
      <c r="CN12" s="36" t="str">
        <f t="shared" si="35"/>
        <v/>
      </c>
      <c r="CO12" s="37"/>
      <c r="CP12" s="33"/>
      <c r="CQ12" s="34"/>
      <c r="CR12" s="35" t="str">
        <f t="shared" si="36"/>
        <v/>
      </c>
      <c r="CS12" s="36" t="str">
        <f t="shared" si="37"/>
        <v/>
      </c>
      <c r="CT12" s="37"/>
      <c r="CU12" s="33"/>
      <c r="CV12" s="34"/>
      <c r="CW12" s="35" t="str">
        <f t="shared" si="38"/>
        <v/>
      </c>
      <c r="CX12" s="36" t="str">
        <f t="shared" si="39"/>
        <v/>
      </c>
      <c r="CY12" s="37"/>
      <c r="CZ12" s="33"/>
      <c r="DA12" s="34"/>
      <c r="DB12" s="35" t="str">
        <f t="shared" si="40"/>
        <v/>
      </c>
      <c r="DC12" s="36" t="str">
        <f t="shared" si="41"/>
        <v/>
      </c>
      <c r="DD12" s="37"/>
      <c r="DE12" s="33"/>
      <c r="DF12" s="34"/>
      <c r="DG12" s="35" t="str">
        <f t="shared" si="42"/>
        <v/>
      </c>
      <c r="DH12" s="36" t="str">
        <f t="shared" si="43"/>
        <v/>
      </c>
      <c r="DI12" s="37"/>
      <c r="DJ12" s="33"/>
      <c r="DK12" s="34"/>
      <c r="DL12" s="35" t="str">
        <f t="shared" si="44"/>
        <v/>
      </c>
      <c r="DM12" s="36" t="str">
        <f t="shared" si="45"/>
        <v/>
      </c>
      <c r="DN12" s="37"/>
      <c r="DO12" s="33"/>
      <c r="DP12" s="34"/>
      <c r="DQ12" s="35" t="str">
        <f t="shared" si="46"/>
        <v/>
      </c>
      <c r="DR12" s="36" t="str">
        <f t="shared" si="47"/>
        <v/>
      </c>
      <c r="DS12" s="37"/>
      <c r="DT12" s="33"/>
      <c r="DU12" s="34"/>
      <c r="DV12" s="35" t="str">
        <f t="shared" si="48"/>
        <v/>
      </c>
      <c r="DW12" s="36" t="str">
        <f t="shared" si="49"/>
        <v/>
      </c>
      <c r="DX12" s="37"/>
      <c r="DY12" s="33"/>
      <c r="DZ12" s="34"/>
      <c r="EA12" s="35" t="str">
        <f t="shared" si="50"/>
        <v/>
      </c>
      <c r="EB12" s="36" t="str">
        <f t="shared" si="51"/>
        <v/>
      </c>
      <c r="EC12" s="37"/>
      <c r="ED12" s="33"/>
      <c r="EE12" s="34"/>
      <c r="EF12" s="35" t="str">
        <f t="shared" si="52"/>
        <v/>
      </c>
      <c r="EG12" s="36" t="str">
        <f t="shared" si="53"/>
        <v/>
      </c>
      <c r="EH12" s="37"/>
      <c r="EI12" s="33"/>
      <c r="EJ12" s="34"/>
      <c r="EK12" s="35" t="str">
        <f t="shared" si="54"/>
        <v/>
      </c>
      <c r="EL12" s="36" t="str">
        <f t="shared" si="55"/>
        <v/>
      </c>
      <c r="EM12" s="37"/>
      <c r="EN12" s="33"/>
      <c r="EO12" s="34"/>
      <c r="EP12" s="35" t="str">
        <f t="shared" si="56"/>
        <v/>
      </c>
      <c r="EQ12" s="36" t="str">
        <f t="shared" si="57"/>
        <v/>
      </c>
      <c r="ER12" s="37"/>
      <c r="ES12" s="33"/>
      <c r="ET12" s="34"/>
      <c r="EU12" s="35" t="str">
        <f t="shared" si="58"/>
        <v/>
      </c>
      <c r="EV12" s="36" t="str">
        <f t="shared" si="59"/>
        <v/>
      </c>
      <c r="EW12" s="37"/>
    </row>
    <row r="13" spans="1:153" ht="19.5" customHeight="1">
      <c r="A13" s="32">
        <f>IF(DAY(DATE(対象年度,11,10))&lt;&gt;10,"",10)</f>
        <v>10</v>
      </c>
      <c r="B13" s="32" t="str">
        <f>IF(DAY(DATE(対象年度,11,10))&lt;&gt;10,"",CHOOSE(WEEKDAY(DATE(対象年度,11,10),2),"月","火","水","木","金","土","日"))</f>
        <v>火</v>
      </c>
      <c r="C13" s="32" t="str">
        <f>IF(DAY(DATE(対象年度,11,10))&lt;&gt;10,"",IF(ISNUMBER(MATCH(DATE(対象年度,11,10),祝日リスト,0)),"祝",""))</f>
        <v/>
      </c>
      <c r="D13" s="33"/>
      <c r="E13" s="34"/>
      <c r="F13" s="35" t="str">
        <f t="shared" si="0"/>
        <v/>
      </c>
      <c r="G13" s="36" t="str">
        <f t="shared" si="1"/>
        <v/>
      </c>
      <c r="H13" s="37"/>
      <c r="I13" s="33"/>
      <c r="J13" s="34"/>
      <c r="K13" s="35" t="str">
        <f t="shared" si="2"/>
        <v/>
      </c>
      <c r="L13" s="36" t="str">
        <f t="shared" si="3"/>
        <v/>
      </c>
      <c r="M13" s="37"/>
      <c r="N13" s="33"/>
      <c r="O13" s="34"/>
      <c r="P13" s="35" t="str">
        <f t="shared" si="4"/>
        <v/>
      </c>
      <c r="Q13" s="36" t="str">
        <f t="shared" si="5"/>
        <v/>
      </c>
      <c r="R13" s="37"/>
      <c r="S13" s="33"/>
      <c r="T13" s="34"/>
      <c r="U13" s="35" t="str">
        <f t="shared" si="6"/>
        <v/>
      </c>
      <c r="V13" s="36" t="str">
        <f t="shared" si="7"/>
        <v/>
      </c>
      <c r="W13" s="37"/>
      <c r="X13" s="33"/>
      <c r="Y13" s="34"/>
      <c r="Z13" s="35" t="str">
        <f t="shared" si="8"/>
        <v/>
      </c>
      <c r="AA13" s="36" t="str">
        <f t="shared" si="9"/>
        <v/>
      </c>
      <c r="AB13" s="37"/>
      <c r="AC13" s="33"/>
      <c r="AD13" s="34"/>
      <c r="AE13" s="35" t="str">
        <f t="shared" si="10"/>
        <v/>
      </c>
      <c r="AF13" s="36" t="str">
        <f t="shared" si="11"/>
        <v/>
      </c>
      <c r="AG13" s="37"/>
      <c r="AH13" s="33"/>
      <c r="AI13" s="34"/>
      <c r="AJ13" s="35" t="str">
        <f t="shared" si="12"/>
        <v/>
      </c>
      <c r="AK13" s="36" t="str">
        <f t="shared" si="13"/>
        <v/>
      </c>
      <c r="AL13" s="37"/>
      <c r="AM13" s="33"/>
      <c r="AN13" s="34"/>
      <c r="AO13" s="35" t="str">
        <f t="shared" si="14"/>
        <v/>
      </c>
      <c r="AP13" s="36" t="str">
        <f t="shared" si="15"/>
        <v/>
      </c>
      <c r="AQ13" s="37"/>
      <c r="AR13" s="33"/>
      <c r="AS13" s="34"/>
      <c r="AT13" s="35" t="str">
        <f t="shared" si="16"/>
        <v/>
      </c>
      <c r="AU13" s="36" t="str">
        <f t="shared" si="17"/>
        <v/>
      </c>
      <c r="AV13" s="37"/>
      <c r="AW13" s="33"/>
      <c r="AX13" s="34"/>
      <c r="AY13" s="35" t="str">
        <f t="shared" si="18"/>
        <v/>
      </c>
      <c r="AZ13" s="36" t="str">
        <f t="shared" si="19"/>
        <v/>
      </c>
      <c r="BA13" s="37"/>
      <c r="BB13" s="33"/>
      <c r="BC13" s="34"/>
      <c r="BD13" s="35" t="str">
        <f t="shared" si="20"/>
        <v/>
      </c>
      <c r="BE13" s="36" t="str">
        <f t="shared" si="21"/>
        <v/>
      </c>
      <c r="BF13" s="37"/>
      <c r="BG13" s="33"/>
      <c r="BH13" s="34"/>
      <c r="BI13" s="35" t="str">
        <f t="shared" si="22"/>
        <v/>
      </c>
      <c r="BJ13" s="36" t="str">
        <f t="shared" si="23"/>
        <v/>
      </c>
      <c r="BK13" s="37"/>
      <c r="BL13" s="33"/>
      <c r="BM13" s="34"/>
      <c r="BN13" s="35" t="str">
        <f t="shared" si="24"/>
        <v/>
      </c>
      <c r="BO13" s="36" t="str">
        <f t="shared" si="25"/>
        <v/>
      </c>
      <c r="BP13" s="37"/>
      <c r="BQ13" s="33"/>
      <c r="BR13" s="34"/>
      <c r="BS13" s="35" t="str">
        <f t="shared" si="26"/>
        <v/>
      </c>
      <c r="BT13" s="36" t="str">
        <f t="shared" si="27"/>
        <v/>
      </c>
      <c r="BU13" s="37"/>
      <c r="BV13" s="33"/>
      <c r="BW13" s="34"/>
      <c r="BX13" s="35" t="str">
        <f t="shared" si="28"/>
        <v/>
      </c>
      <c r="BY13" s="36" t="str">
        <f t="shared" si="29"/>
        <v/>
      </c>
      <c r="BZ13" s="37"/>
      <c r="CA13" s="33"/>
      <c r="CB13" s="34"/>
      <c r="CC13" s="35" t="str">
        <f t="shared" si="30"/>
        <v/>
      </c>
      <c r="CD13" s="36" t="str">
        <f t="shared" si="31"/>
        <v/>
      </c>
      <c r="CE13" s="37"/>
      <c r="CF13" s="33"/>
      <c r="CG13" s="34"/>
      <c r="CH13" s="35" t="str">
        <f t="shared" si="32"/>
        <v/>
      </c>
      <c r="CI13" s="36" t="str">
        <f t="shared" si="33"/>
        <v/>
      </c>
      <c r="CJ13" s="37"/>
      <c r="CK13" s="33"/>
      <c r="CL13" s="34"/>
      <c r="CM13" s="35" t="str">
        <f t="shared" si="34"/>
        <v/>
      </c>
      <c r="CN13" s="36" t="str">
        <f t="shared" si="35"/>
        <v/>
      </c>
      <c r="CO13" s="37"/>
      <c r="CP13" s="33"/>
      <c r="CQ13" s="34"/>
      <c r="CR13" s="35" t="str">
        <f t="shared" si="36"/>
        <v/>
      </c>
      <c r="CS13" s="36" t="str">
        <f t="shared" si="37"/>
        <v/>
      </c>
      <c r="CT13" s="37"/>
      <c r="CU13" s="33"/>
      <c r="CV13" s="34"/>
      <c r="CW13" s="35" t="str">
        <f t="shared" si="38"/>
        <v/>
      </c>
      <c r="CX13" s="36" t="str">
        <f t="shared" si="39"/>
        <v/>
      </c>
      <c r="CY13" s="37"/>
      <c r="CZ13" s="33"/>
      <c r="DA13" s="34"/>
      <c r="DB13" s="35" t="str">
        <f t="shared" si="40"/>
        <v/>
      </c>
      <c r="DC13" s="36" t="str">
        <f t="shared" si="41"/>
        <v/>
      </c>
      <c r="DD13" s="37"/>
      <c r="DE13" s="33"/>
      <c r="DF13" s="34"/>
      <c r="DG13" s="35" t="str">
        <f t="shared" si="42"/>
        <v/>
      </c>
      <c r="DH13" s="36" t="str">
        <f t="shared" si="43"/>
        <v/>
      </c>
      <c r="DI13" s="37"/>
      <c r="DJ13" s="33"/>
      <c r="DK13" s="34"/>
      <c r="DL13" s="35" t="str">
        <f t="shared" si="44"/>
        <v/>
      </c>
      <c r="DM13" s="36" t="str">
        <f t="shared" si="45"/>
        <v/>
      </c>
      <c r="DN13" s="37"/>
      <c r="DO13" s="33"/>
      <c r="DP13" s="34"/>
      <c r="DQ13" s="35" t="str">
        <f t="shared" si="46"/>
        <v/>
      </c>
      <c r="DR13" s="36" t="str">
        <f t="shared" si="47"/>
        <v/>
      </c>
      <c r="DS13" s="37"/>
      <c r="DT13" s="33"/>
      <c r="DU13" s="34"/>
      <c r="DV13" s="35" t="str">
        <f t="shared" si="48"/>
        <v/>
      </c>
      <c r="DW13" s="36" t="str">
        <f t="shared" si="49"/>
        <v/>
      </c>
      <c r="DX13" s="37"/>
      <c r="DY13" s="33"/>
      <c r="DZ13" s="34"/>
      <c r="EA13" s="35" t="str">
        <f t="shared" si="50"/>
        <v/>
      </c>
      <c r="EB13" s="36" t="str">
        <f t="shared" si="51"/>
        <v/>
      </c>
      <c r="EC13" s="37"/>
      <c r="ED13" s="33"/>
      <c r="EE13" s="34"/>
      <c r="EF13" s="35" t="str">
        <f t="shared" si="52"/>
        <v/>
      </c>
      <c r="EG13" s="36" t="str">
        <f t="shared" si="53"/>
        <v/>
      </c>
      <c r="EH13" s="37"/>
      <c r="EI13" s="33"/>
      <c r="EJ13" s="34"/>
      <c r="EK13" s="35" t="str">
        <f t="shared" si="54"/>
        <v/>
      </c>
      <c r="EL13" s="36" t="str">
        <f t="shared" si="55"/>
        <v/>
      </c>
      <c r="EM13" s="37"/>
      <c r="EN13" s="33"/>
      <c r="EO13" s="34"/>
      <c r="EP13" s="35" t="str">
        <f t="shared" si="56"/>
        <v/>
      </c>
      <c r="EQ13" s="36" t="str">
        <f t="shared" si="57"/>
        <v/>
      </c>
      <c r="ER13" s="37"/>
      <c r="ES13" s="33"/>
      <c r="ET13" s="34"/>
      <c r="EU13" s="35" t="str">
        <f t="shared" si="58"/>
        <v/>
      </c>
      <c r="EV13" s="36" t="str">
        <f t="shared" si="59"/>
        <v/>
      </c>
      <c r="EW13" s="37"/>
    </row>
    <row r="14" spans="1:153" ht="19.5" customHeight="1">
      <c r="A14" s="32">
        <f>IF(DAY(DATE(対象年度,11,11))&lt;&gt;11,"",11)</f>
        <v>11</v>
      </c>
      <c r="B14" s="32" t="str">
        <f>IF(DAY(DATE(対象年度,11,11))&lt;&gt;11,"",CHOOSE(WEEKDAY(DATE(対象年度,11,11),2),"月","火","水","木","金","土","日"))</f>
        <v>水</v>
      </c>
      <c r="C14" s="32" t="str">
        <f>IF(DAY(DATE(対象年度,11,11))&lt;&gt;11,"",IF(ISNUMBER(MATCH(DATE(対象年度,11,11),祝日リスト,0)),"祝",""))</f>
        <v/>
      </c>
      <c r="D14" s="33"/>
      <c r="E14" s="34"/>
      <c r="F14" s="35" t="str">
        <f t="shared" si="0"/>
        <v/>
      </c>
      <c r="G14" s="36" t="str">
        <f t="shared" si="1"/>
        <v/>
      </c>
      <c r="H14" s="37"/>
      <c r="I14" s="33"/>
      <c r="J14" s="34"/>
      <c r="K14" s="35" t="str">
        <f t="shared" si="2"/>
        <v/>
      </c>
      <c r="L14" s="36" t="str">
        <f t="shared" si="3"/>
        <v/>
      </c>
      <c r="M14" s="37"/>
      <c r="N14" s="33"/>
      <c r="O14" s="34"/>
      <c r="P14" s="35" t="str">
        <f t="shared" si="4"/>
        <v/>
      </c>
      <c r="Q14" s="36" t="str">
        <f t="shared" si="5"/>
        <v/>
      </c>
      <c r="R14" s="37"/>
      <c r="S14" s="33"/>
      <c r="T14" s="34"/>
      <c r="U14" s="35" t="str">
        <f t="shared" si="6"/>
        <v/>
      </c>
      <c r="V14" s="36" t="str">
        <f t="shared" si="7"/>
        <v/>
      </c>
      <c r="W14" s="37"/>
      <c r="X14" s="33"/>
      <c r="Y14" s="34"/>
      <c r="Z14" s="35" t="str">
        <f t="shared" si="8"/>
        <v/>
      </c>
      <c r="AA14" s="36" t="str">
        <f t="shared" si="9"/>
        <v/>
      </c>
      <c r="AB14" s="37"/>
      <c r="AC14" s="33"/>
      <c r="AD14" s="34"/>
      <c r="AE14" s="35" t="str">
        <f t="shared" si="10"/>
        <v/>
      </c>
      <c r="AF14" s="36" t="str">
        <f t="shared" si="11"/>
        <v/>
      </c>
      <c r="AG14" s="37"/>
      <c r="AH14" s="33"/>
      <c r="AI14" s="34"/>
      <c r="AJ14" s="35" t="str">
        <f t="shared" si="12"/>
        <v/>
      </c>
      <c r="AK14" s="36" t="str">
        <f t="shared" si="13"/>
        <v/>
      </c>
      <c r="AL14" s="37"/>
      <c r="AM14" s="33"/>
      <c r="AN14" s="34"/>
      <c r="AO14" s="35" t="str">
        <f t="shared" si="14"/>
        <v/>
      </c>
      <c r="AP14" s="36" t="str">
        <f t="shared" si="15"/>
        <v/>
      </c>
      <c r="AQ14" s="37"/>
      <c r="AR14" s="33"/>
      <c r="AS14" s="34"/>
      <c r="AT14" s="35" t="str">
        <f t="shared" si="16"/>
        <v/>
      </c>
      <c r="AU14" s="36" t="str">
        <f t="shared" si="17"/>
        <v/>
      </c>
      <c r="AV14" s="37"/>
      <c r="AW14" s="33"/>
      <c r="AX14" s="34"/>
      <c r="AY14" s="35" t="str">
        <f t="shared" si="18"/>
        <v/>
      </c>
      <c r="AZ14" s="36" t="str">
        <f t="shared" si="19"/>
        <v/>
      </c>
      <c r="BA14" s="37"/>
      <c r="BB14" s="33"/>
      <c r="BC14" s="34"/>
      <c r="BD14" s="35" t="str">
        <f t="shared" si="20"/>
        <v/>
      </c>
      <c r="BE14" s="36" t="str">
        <f t="shared" si="21"/>
        <v/>
      </c>
      <c r="BF14" s="37"/>
      <c r="BG14" s="33"/>
      <c r="BH14" s="34"/>
      <c r="BI14" s="35" t="str">
        <f t="shared" si="22"/>
        <v/>
      </c>
      <c r="BJ14" s="36" t="str">
        <f t="shared" si="23"/>
        <v/>
      </c>
      <c r="BK14" s="37"/>
      <c r="BL14" s="33"/>
      <c r="BM14" s="34"/>
      <c r="BN14" s="35" t="str">
        <f t="shared" si="24"/>
        <v/>
      </c>
      <c r="BO14" s="36" t="str">
        <f t="shared" si="25"/>
        <v/>
      </c>
      <c r="BP14" s="37"/>
      <c r="BQ14" s="33"/>
      <c r="BR14" s="34"/>
      <c r="BS14" s="35" t="str">
        <f t="shared" si="26"/>
        <v/>
      </c>
      <c r="BT14" s="36" t="str">
        <f t="shared" si="27"/>
        <v/>
      </c>
      <c r="BU14" s="37"/>
      <c r="BV14" s="33"/>
      <c r="BW14" s="34"/>
      <c r="BX14" s="35" t="str">
        <f t="shared" si="28"/>
        <v/>
      </c>
      <c r="BY14" s="36" t="str">
        <f t="shared" si="29"/>
        <v/>
      </c>
      <c r="BZ14" s="37"/>
      <c r="CA14" s="33"/>
      <c r="CB14" s="34"/>
      <c r="CC14" s="35" t="str">
        <f t="shared" si="30"/>
        <v/>
      </c>
      <c r="CD14" s="36" t="str">
        <f t="shared" si="31"/>
        <v/>
      </c>
      <c r="CE14" s="37"/>
      <c r="CF14" s="33"/>
      <c r="CG14" s="34"/>
      <c r="CH14" s="35" t="str">
        <f t="shared" si="32"/>
        <v/>
      </c>
      <c r="CI14" s="36" t="str">
        <f t="shared" si="33"/>
        <v/>
      </c>
      <c r="CJ14" s="37"/>
      <c r="CK14" s="33"/>
      <c r="CL14" s="34"/>
      <c r="CM14" s="35" t="str">
        <f t="shared" si="34"/>
        <v/>
      </c>
      <c r="CN14" s="36" t="str">
        <f t="shared" si="35"/>
        <v/>
      </c>
      <c r="CO14" s="37"/>
      <c r="CP14" s="33"/>
      <c r="CQ14" s="34"/>
      <c r="CR14" s="35" t="str">
        <f t="shared" si="36"/>
        <v/>
      </c>
      <c r="CS14" s="36" t="str">
        <f t="shared" si="37"/>
        <v/>
      </c>
      <c r="CT14" s="37"/>
      <c r="CU14" s="33"/>
      <c r="CV14" s="34"/>
      <c r="CW14" s="35" t="str">
        <f t="shared" si="38"/>
        <v/>
      </c>
      <c r="CX14" s="36" t="str">
        <f t="shared" si="39"/>
        <v/>
      </c>
      <c r="CY14" s="37"/>
      <c r="CZ14" s="33"/>
      <c r="DA14" s="34"/>
      <c r="DB14" s="35" t="str">
        <f t="shared" si="40"/>
        <v/>
      </c>
      <c r="DC14" s="36" t="str">
        <f t="shared" si="41"/>
        <v/>
      </c>
      <c r="DD14" s="37"/>
      <c r="DE14" s="33"/>
      <c r="DF14" s="34"/>
      <c r="DG14" s="35" t="str">
        <f t="shared" si="42"/>
        <v/>
      </c>
      <c r="DH14" s="36" t="str">
        <f t="shared" si="43"/>
        <v/>
      </c>
      <c r="DI14" s="37"/>
      <c r="DJ14" s="33"/>
      <c r="DK14" s="34"/>
      <c r="DL14" s="35" t="str">
        <f t="shared" si="44"/>
        <v/>
      </c>
      <c r="DM14" s="36" t="str">
        <f t="shared" si="45"/>
        <v/>
      </c>
      <c r="DN14" s="37"/>
      <c r="DO14" s="33"/>
      <c r="DP14" s="34"/>
      <c r="DQ14" s="35" t="str">
        <f t="shared" si="46"/>
        <v/>
      </c>
      <c r="DR14" s="36" t="str">
        <f t="shared" si="47"/>
        <v/>
      </c>
      <c r="DS14" s="37"/>
      <c r="DT14" s="33"/>
      <c r="DU14" s="34"/>
      <c r="DV14" s="35" t="str">
        <f t="shared" si="48"/>
        <v/>
      </c>
      <c r="DW14" s="36" t="str">
        <f t="shared" si="49"/>
        <v/>
      </c>
      <c r="DX14" s="37"/>
      <c r="DY14" s="33"/>
      <c r="DZ14" s="34"/>
      <c r="EA14" s="35" t="str">
        <f t="shared" si="50"/>
        <v/>
      </c>
      <c r="EB14" s="36" t="str">
        <f t="shared" si="51"/>
        <v/>
      </c>
      <c r="EC14" s="37"/>
      <c r="ED14" s="33"/>
      <c r="EE14" s="34"/>
      <c r="EF14" s="35" t="str">
        <f t="shared" si="52"/>
        <v/>
      </c>
      <c r="EG14" s="36" t="str">
        <f t="shared" si="53"/>
        <v/>
      </c>
      <c r="EH14" s="37"/>
      <c r="EI14" s="33"/>
      <c r="EJ14" s="34"/>
      <c r="EK14" s="35" t="str">
        <f t="shared" si="54"/>
        <v/>
      </c>
      <c r="EL14" s="36" t="str">
        <f t="shared" si="55"/>
        <v/>
      </c>
      <c r="EM14" s="37"/>
      <c r="EN14" s="33"/>
      <c r="EO14" s="34"/>
      <c r="EP14" s="35" t="str">
        <f t="shared" si="56"/>
        <v/>
      </c>
      <c r="EQ14" s="36" t="str">
        <f t="shared" si="57"/>
        <v/>
      </c>
      <c r="ER14" s="37"/>
      <c r="ES14" s="33"/>
      <c r="ET14" s="34"/>
      <c r="EU14" s="35" t="str">
        <f t="shared" si="58"/>
        <v/>
      </c>
      <c r="EV14" s="36" t="str">
        <f t="shared" si="59"/>
        <v/>
      </c>
      <c r="EW14" s="37"/>
    </row>
    <row r="15" spans="1:153" ht="19.5" customHeight="1">
      <c r="A15" s="32">
        <f>IF(DAY(DATE(対象年度,11,12))&lt;&gt;12,"",12)</f>
        <v>12</v>
      </c>
      <c r="B15" s="32" t="str">
        <f>IF(DAY(DATE(対象年度,11,12))&lt;&gt;12,"",CHOOSE(WEEKDAY(DATE(対象年度,11,12),2),"月","火","水","木","金","土","日"))</f>
        <v>木</v>
      </c>
      <c r="C15" s="32" t="str">
        <f>IF(DAY(DATE(対象年度,11,12))&lt;&gt;12,"",IF(ISNUMBER(MATCH(DATE(対象年度,11,12),祝日リスト,0)),"祝",""))</f>
        <v/>
      </c>
      <c r="D15" s="33"/>
      <c r="E15" s="34"/>
      <c r="F15" s="35" t="str">
        <f t="shared" si="0"/>
        <v/>
      </c>
      <c r="G15" s="36" t="str">
        <f t="shared" si="1"/>
        <v/>
      </c>
      <c r="H15" s="37"/>
      <c r="I15" s="33"/>
      <c r="J15" s="34"/>
      <c r="K15" s="35" t="str">
        <f t="shared" si="2"/>
        <v/>
      </c>
      <c r="L15" s="36" t="str">
        <f t="shared" si="3"/>
        <v/>
      </c>
      <c r="M15" s="37"/>
      <c r="N15" s="33"/>
      <c r="O15" s="34"/>
      <c r="P15" s="35" t="str">
        <f t="shared" si="4"/>
        <v/>
      </c>
      <c r="Q15" s="36" t="str">
        <f t="shared" si="5"/>
        <v/>
      </c>
      <c r="R15" s="37"/>
      <c r="S15" s="33"/>
      <c r="T15" s="34"/>
      <c r="U15" s="35" t="str">
        <f t="shared" si="6"/>
        <v/>
      </c>
      <c r="V15" s="36" t="str">
        <f t="shared" si="7"/>
        <v/>
      </c>
      <c r="W15" s="37"/>
      <c r="X15" s="33"/>
      <c r="Y15" s="34"/>
      <c r="Z15" s="35" t="str">
        <f t="shared" si="8"/>
        <v/>
      </c>
      <c r="AA15" s="36" t="str">
        <f t="shared" si="9"/>
        <v/>
      </c>
      <c r="AB15" s="37"/>
      <c r="AC15" s="33"/>
      <c r="AD15" s="34"/>
      <c r="AE15" s="35" t="str">
        <f t="shared" si="10"/>
        <v/>
      </c>
      <c r="AF15" s="36" t="str">
        <f t="shared" si="11"/>
        <v/>
      </c>
      <c r="AG15" s="37"/>
      <c r="AH15" s="33"/>
      <c r="AI15" s="34"/>
      <c r="AJ15" s="35" t="str">
        <f t="shared" si="12"/>
        <v/>
      </c>
      <c r="AK15" s="36" t="str">
        <f t="shared" si="13"/>
        <v/>
      </c>
      <c r="AL15" s="37"/>
      <c r="AM15" s="33"/>
      <c r="AN15" s="34"/>
      <c r="AO15" s="35" t="str">
        <f t="shared" si="14"/>
        <v/>
      </c>
      <c r="AP15" s="36" t="str">
        <f t="shared" si="15"/>
        <v/>
      </c>
      <c r="AQ15" s="37"/>
      <c r="AR15" s="33"/>
      <c r="AS15" s="34"/>
      <c r="AT15" s="35" t="str">
        <f t="shared" si="16"/>
        <v/>
      </c>
      <c r="AU15" s="36" t="str">
        <f t="shared" si="17"/>
        <v/>
      </c>
      <c r="AV15" s="37"/>
      <c r="AW15" s="33"/>
      <c r="AX15" s="34"/>
      <c r="AY15" s="35" t="str">
        <f t="shared" si="18"/>
        <v/>
      </c>
      <c r="AZ15" s="36" t="str">
        <f t="shared" si="19"/>
        <v/>
      </c>
      <c r="BA15" s="37"/>
      <c r="BB15" s="33"/>
      <c r="BC15" s="34"/>
      <c r="BD15" s="35" t="str">
        <f t="shared" si="20"/>
        <v/>
      </c>
      <c r="BE15" s="36" t="str">
        <f t="shared" si="21"/>
        <v/>
      </c>
      <c r="BF15" s="37"/>
      <c r="BG15" s="33"/>
      <c r="BH15" s="34"/>
      <c r="BI15" s="35" t="str">
        <f t="shared" si="22"/>
        <v/>
      </c>
      <c r="BJ15" s="36" t="str">
        <f t="shared" si="23"/>
        <v/>
      </c>
      <c r="BK15" s="37"/>
      <c r="BL15" s="33"/>
      <c r="BM15" s="34"/>
      <c r="BN15" s="35" t="str">
        <f t="shared" si="24"/>
        <v/>
      </c>
      <c r="BO15" s="36" t="str">
        <f t="shared" si="25"/>
        <v/>
      </c>
      <c r="BP15" s="37"/>
      <c r="BQ15" s="33"/>
      <c r="BR15" s="34"/>
      <c r="BS15" s="35" t="str">
        <f t="shared" si="26"/>
        <v/>
      </c>
      <c r="BT15" s="36" t="str">
        <f t="shared" si="27"/>
        <v/>
      </c>
      <c r="BU15" s="37"/>
      <c r="BV15" s="33"/>
      <c r="BW15" s="34"/>
      <c r="BX15" s="35" t="str">
        <f t="shared" si="28"/>
        <v/>
      </c>
      <c r="BY15" s="36" t="str">
        <f t="shared" si="29"/>
        <v/>
      </c>
      <c r="BZ15" s="37"/>
      <c r="CA15" s="33"/>
      <c r="CB15" s="34"/>
      <c r="CC15" s="35" t="str">
        <f t="shared" si="30"/>
        <v/>
      </c>
      <c r="CD15" s="36" t="str">
        <f t="shared" si="31"/>
        <v/>
      </c>
      <c r="CE15" s="37"/>
      <c r="CF15" s="33"/>
      <c r="CG15" s="34"/>
      <c r="CH15" s="35" t="str">
        <f t="shared" si="32"/>
        <v/>
      </c>
      <c r="CI15" s="36" t="str">
        <f t="shared" si="33"/>
        <v/>
      </c>
      <c r="CJ15" s="37"/>
      <c r="CK15" s="33"/>
      <c r="CL15" s="34"/>
      <c r="CM15" s="35" t="str">
        <f t="shared" si="34"/>
        <v/>
      </c>
      <c r="CN15" s="36" t="str">
        <f t="shared" si="35"/>
        <v/>
      </c>
      <c r="CO15" s="37"/>
      <c r="CP15" s="33"/>
      <c r="CQ15" s="34"/>
      <c r="CR15" s="35" t="str">
        <f t="shared" si="36"/>
        <v/>
      </c>
      <c r="CS15" s="36" t="str">
        <f t="shared" si="37"/>
        <v/>
      </c>
      <c r="CT15" s="37"/>
      <c r="CU15" s="33"/>
      <c r="CV15" s="34"/>
      <c r="CW15" s="35" t="str">
        <f t="shared" si="38"/>
        <v/>
      </c>
      <c r="CX15" s="36" t="str">
        <f t="shared" si="39"/>
        <v/>
      </c>
      <c r="CY15" s="37"/>
      <c r="CZ15" s="33"/>
      <c r="DA15" s="34"/>
      <c r="DB15" s="35" t="str">
        <f t="shared" si="40"/>
        <v/>
      </c>
      <c r="DC15" s="36" t="str">
        <f t="shared" si="41"/>
        <v/>
      </c>
      <c r="DD15" s="37"/>
      <c r="DE15" s="33"/>
      <c r="DF15" s="34"/>
      <c r="DG15" s="35" t="str">
        <f t="shared" si="42"/>
        <v/>
      </c>
      <c r="DH15" s="36" t="str">
        <f t="shared" si="43"/>
        <v/>
      </c>
      <c r="DI15" s="37"/>
      <c r="DJ15" s="33"/>
      <c r="DK15" s="34"/>
      <c r="DL15" s="35" t="str">
        <f t="shared" si="44"/>
        <v/>
      </c>
      <c r="DM15" s="36" t="str">
        <f t="shared" si="45"/>
        <v/>
      </c>
      <c r="DN15" s="37"/>
      <c r="DO15" s="33"/>
      <c r="DP15" s="34"/>
      <c r="DQ15" s="35" t="str">
        <f t="shared" si="46"/>
        <v/>
      </c>
      <c r="DR15" s="36" t="str">
        <f t="shared" si="47"/>
        <v/>
      </c>
      <c r="DS15" s="37"/>
      <c r="DT15" s="33"/>
      <c r="DU15" s="34"/>
      <c r="DV15" s="35" t="str">
        <f t="shared" si="48"/>
        <v/>
      </c>
      <c r="DW15" s="36" t="str">
        <f t="shared" si="49"/>
        <v/>
      </c>
      <c r="DX15" s="37"/>
      <c r="DY15" s="33"/>
      <c r="DZ15" s="34"/>
      <c r="EA15" s="35" t="str">
        <f t="shared" si="50"/>
        <v/>
      </c>
      <c r="EB15" s="36" t="str">
        <f t="shared" si="51"/>
        <v/>
      </c>
      <c r="EC15" s="37"/>
      <c r="ED15" s="33"/>
      <c r="EE15" s="34"/>
      <c r="EF15" s="35" t="str">
        <f t="shared" si="52"/>
        <v/>
      </c>
      <c r="EG15" s="36" t="str">
        <f t="shared" si="53"/>
        <v/>
      </c>
      <c r="EH15" s="37"/>
      <c r="EI15" s="33"/>
      <c r="EJ15" s="34"/>
      <c r="EK15" s="35" t="str">
        <f t="shared" si="54"/>
        <v/>
      </c>
      <c r="EL15" s="36" t="str">
        <f t="shared" si="55"/>
        <v/>
      </c>
      <c r="EM15" s="37"/>
      <c r="EN15" s="33"/>
      <c r="EO15" s="34"/>
      <c r="EP15" s="35" t="str">
        <f t="shared" si="56"/>
        <v/>
      </c>
      <c r="EQ15" s="36" t="str">
        <f t="shared" si="57"/>
        <v/>
      </c>
      <c r="ER15" s="37"/>
      <c r="ES15" s="33"/>
      <c r="ET15" s="34"/>
      <c r="EU15" s="35" t="str">
        <f t="shared" si="58"/>
        <v/>
      </c>
      <c r="EV15" s="36" t="str">
        <f t="shared" si="59"/>
        <v/>
      </c>
      <c r="EW15" s="37"/>
    </row>
    <row r="16" spans="1:153" ht="19.5" customHeight="1">
      <c r="A16" s="32">
        <f>IF(DAY(DATE(対象年度,11,13))&lt;&gt;13,"",13)</f>
        <v>13</v>
      </c>
      <c r="B16" s="32" t="str">
        <f>IF(DAY(DATE(対象年度,11,13))&lt;&gt;13,"",CHOOSE(WEEKDAY(DATE(対象年度,11,13),2),"月","火","水","木","金","土","日"))</f>
        <v>金</v>
      </c>
      <c r="C16" s="32" t="str">
        <f>IF(DAY(DATE(対象年度,11,13))&lt;&gt;13,"",IF(ISNUMBER(MATCH(DATE(対象年度,11,13),祝日リスト,0)),"祝",""))</f>
        <v/>
      </c>
      <c r="D16" s="33"/>
      <c r="E16" s="34"/>
      <c r="F16" s="35" t="str">
        <f t="shared" si="0"/>
        <v/>
      </c>
      <c r="G16" s="36" t="str">
        <f t="shared" si="1"/>
        <v/>
      </c>
      <c r="H16" s="37"/>
      <c r="I16" s="33"/>
      <c r="J16" s="34"/>
      <c r="K16" s="35" t="str">
        <f t="shared" si="2"/>
        <v/>
      </c>
      <c r="L16" s="36" t="str">
        <f t="shared" si="3"/>
        <v/>
      </c>
      <c r="M16" s="37"/>
      <c r="N16" s="33"/>
      <c r="O16" s="34"/>
      <c r="P16" s="35" t="str">
        <f t="shared" si="4"/>
        <v/>
      </c>
      <c r="Q16" s="36" t="str">
        <f t="shared" si="5"/>
        <v/>
      </c>
      <c r="R16" s="37"/>
      <c r="S16" s="33"/>
      <c r="T16" s="34"/>
      <c r="U16" s="35" t="str">
        <f t="shared" si="6"/>
        <v/>
      </c>
      <c r="V16" s="36" t="str">
        <f t="shared" si="7"/>
        <v/>
      </c>
      <c r="W16" s="37"/>
      <c r="X16" s="33"/>
      <c r="Y16" s="34"/>
      <c r="Z16" s="35" t="str">
        <f t="shared" si="8"/>
        <v/>
      </c>
      <c r="AA16" s="36" t="str">
        <f t="shared" si="9"/>
        <v/>
      </c>
      <c r="AB16" s="37"/>
      <c r="AC16" s="33"/>
      <c r="AD16" s="34"/>
      <c r="AE16" s="35" t="str">
        <f t="shared" si="10"/>
        <v/>
      </c>
      <c r="AF16" s="36" t="str">
        <f t="shared" si="11"/>
        <v/>
      </c>
      <c r="AG16" s="37"/>
      <c r="AH16" s="33"/>
      <c r="AI16" s="34"/>
      <c r="AJ16" s="35" t="str">
        <f t="shared" si="12"/>
        <v/>
      </c>
      <c r="AK16" s="36" t="str">
        <f t="shared" si="13"/>
        <v/>
      </c>
      <c r="AL16" s="37"/>
      <c r="AM16" s="33"/>
      <c r="AN16" s="34"/>
      <c r="AO16" s="35" t="str">
        <f t="shared" si="14"/>
        <v/>
      </c>
      <c r="AP16" s="36" t="str">
        <f t="shared" si="15"/>
        <v/>
      </c>
      <c r="AQ16" s="37"/>
      <c r="AR16" s="33"/>
      <c r="AS16" s="34"/>
      <c r="AT16" s="35" t="str">
        <f t="shared" si="16"/>
        <v/>
      </c>
      <c r="AU16" s="36" t="str">
        <f t="shared" si="17"/>
        <v/>
      </c>
      <c r="AV16" s="37"/>
      <c r="AW16" s="33"/>
      <c r="AX16" s="34"/>
      <c r="AY16" s="35" t="str">
        <f t="shared" si="18"/>
        <v/>
      </c>
      <c r="AZ16" s="36" t="str">
        <f t="shared" si="19"/>
        <v/>
      </c>
      <c r="BA16" s="37"/>
      <c r="BB16" s="33"/>
      <c r="BC16" s="34"/>
      <c r="BD16" s="35" t="str">
        <f t="shared" si="20"/>
        <v/>
      </c>
      <c r="BE16" s="36" t="str">
        <f t="shared" si="21"/>
        <v/>
      </c>
      <c r="BF16" s="37"/>
      <c r="BG16" s="33"/>
      <c r="BH16" s="34"/>
      <c r="BI16" s="35" t="str">
        <f t="shared" si="22"/>
        <v/>
      </c>
      <c r="BJ16" s="36" t="str">
        <f t="shared" si="23"/>
        <v/>
      </c>
      <c r="BK16" s="37"/>
      <c r="BL16" s="33"/>
      <c r="BM16" s="34"/>
      <c r="BN16" s="35" t="str">
        <f t="shared" si="24"/>
        <v/>
      </c>
      <c r="BO16" s="36" t="str">
        <f t="shared" si="25"/>
        <v/>
      </c>
      <c r="BP16" s="37"/>
      <c r="BQ16" s="33"/>
      <c r="BR16" s="34"/>
      <c r="BS16" s="35" t="str">
        <f t="shared" si="26"/>
        <v/>
      </c>
      <c r="BT16" s="36" t="str">
        <f t="shared" si="27"/>
        <v/>
      </c>
      <c r="BU16" s="37"/>
      <c r="BV16" s="33"/>
      <c r="BW16" s="34"/>
      <c r="BX16" s="35" t="str">
        <f t="shared" si="28"/>
        <v/>
      </c>
      <c r="BY16" s="36" t="str">
        <f t="shared" si="29"/>
        <v/>
      </c>
      <c r="BZ16" s="37"/>
      <c r="CA16" s="33"/>
      <c r="CB16" s="34"/>
      <c r="CC16" s="35" t="str">
        <f t="shared" si="30"/>
        <v/>
      </c>
      <c r="CD16" s="36" t="str">
        <f t="shared" si="31"/>
        <v/>
      </c>
      <c r="CE16" s="37"/>
      <c r="CF16" s="33"/>
      <c r="CG16" s="34"/>
      <c r="CH16" s="35" t="str">
        <f t="shared" si="32"/>
        <v/>
      </c>
      <c r="CI16" s="36" t="str">
        <f t="shared" si="33"/>
        <v/>
      </c>
      <c r="CJ16" s="37"/>
      <c r="CK16" s="33"/>
      <c r="CL16" s="34"/>
      <c r="CM16" s="35" t="str">
        <f t="shared" si="34"/>
        <v/>
      </c>
      <c r="CN16" s="36" t="str">
        <f t="shared" si="35"/>
        <v/>
      </c>
      <c r="CO16" s="37"/>
      <c r="CP16" s="33"/>
      <c r="CQ16" s="34"/>
      <c r="CR16" s="35" t="str">
        <f t="shared" si="36"/>
        <v/>
      </c>
      <c r="CS16" s="36" t="str">
        <f t="shared" si="37"/>
        <v/>
      </c>
      <c r="CT16" s="37"/>
      <c r="CU16" s="33"/>
      <c r="CV16" s="34"/>
      <c r="CW16" s="35" t="str">
        <f t="shared" si="38"/>
        <v/>
      </c>
      <c r="CX16" s="36" t="str">
        <f t="shared" si="39"/>
        <v/>
      </c>
      <c r="CY16" s="37"/>
      <c r="CZ16" s="33"/>
      <c r="DA16" s="34"/>
      <c r="DB16" s="35" t="str">
        <f t="shared" si="40"/>
        <v/>
      </c>
      <c r="DC16" s="36" t="str">
        <f t="shared" si="41"/>
        <v/>
      </c>
      <c r="DD16" s="37"/>
      <c r="DE16" s="33"/>
      <c r="DF16" s="34"/>
      <c r="DG16" s="35" t="str">
        <f t="shared" si="42"/>
        <v/>
      </c>
      <c r="DH16" s="36" t="str">
        <f t="shared" si="43"/>
        <v/>
      </c>
      <c r="DI16" s="37"/>
      <c r="DJ16" s="33"/>
      <c r="DK16" s="34"/>
      <c r="DL16" s="35" t="str">
        <f t="shared" si="44"/>
        <v/>
      </c>
      <c r="DM16" s="36" t="str">
        <f t="shared" si="45"/>
        <v/>
      </c>
      <c r="DN16" s="37"/>
      <c r="DO16" s="33"/>
      <c r="DP16" s="34"/>
      <c r="DQ16" s="35" t="str">
        <f t="shared" si="46"/>
        <v/>
      </c>
      <c r="DR16" s="36" t="str">
        <f t="shared" si="47"/>
        <v/>
      </c>
      <c r="DS16" s="37"/>
      <c r="DT16" s="33"/>
      <c r="DU16" s="34"/>
      <c r="DV16" s="35" t="str">
        <f t="shared" si="48"/>
        <v/>
      </c>
      <c r="DW16" s="36" t="str">
        <f t="shared" si="49"/>
        <v/>
      </c>
      <c r="DX16" s="37"/>
      <c r="DY16" s="33"/>
      <c r="DZ16" s="34"/>
      <c r="EA16" s="35" t="str">
        <f t="shared" si="50"/>
        <v/>
      </c>
      <c r="EB16" s="36" t="str">
        <f t="shared" si="51"/>
        <v/>
      </c>
      <c r="EC16" s="37"/>
      <c r="ED16" s="33"/>
      <c r="EE16" s="34"/>
      <c r="EF16" s="35" t="str">
        <f t="shared" si="52"/>
        <v/>
      </c>
      <c r="EG16" s="36" t="str">
        <f t="shared" si="53"/>
        <v/>
      </c>
      <c r="EH16" s="37"/>
      <c r="EI16" s="33"/>
      <c r="EJ16" s="34"/>
      <c r="EK16" s="35" t="str">
        <f t="shared" si="54"/>
        <v/>
      </c>
      <c r="EL16" s="36" t="str">
        <f t="shared" si="55"/>
        <v/>
      </c>
      <c r="EM16" s="37"/>
      <c r="EN16" s="33"/>
      <c r="EO16" s="34"/>
      <c r="EP16" s="35" t="str">
        <f t="shared" si="56"/>
        <v/>
      </c>
      <c r="EQ16" s="36" t="str">
        <f t="shared" si="57"/>
        <v/>
      </c>
      <c r="ER16" s="37"/>
      <c r="ES16" s="33"/>
      <c r="ET16" s="34"/>
      <c r="EU16" s="35" t="str">
        <f t="shared" si="58"/>
        <v/>
      </c>
      <c r="EV16" s="36" t="str">
        <f t="shared" si="59"/>
        <v/>
      </c>
      <c r="EW16" s="37"/>
    </row>
    <row r="17" spans="1:153" ht="19.5" customHeight="1">
      <c r="A17" s="32">
        <f>IF(DAY(DATE(対象年度,11,14))&lt;&gt;14,"",14)</f>
        <v>14</v>
      </c>
      <c r="B17" s="32" t="str">
        <f>IF(DAY(DATE(対象年度,11,14))&lt;&gt;14,"",CHOOSE(WEEKDAY(DATE(対象年度,11,14),2),"月","火","水","木","金","土","日"))</f>
        <v>土</v>
      </c>
      <c r="C17" s="32" t="str">
        <f>IF(DAY(DATE(対象年度,11,14))&lt;&gt;14,"",IF(ISNUMBER(MATCH(DATE(対象年度,11,14),祝日リスト,0)),"祝",""))</f>
        <v/>
      </c>
      <c r="D17" s="33"/>
      <c r="E17" s="34"/>
      <c r="F17" s="35" t="str">
        <f t="shared" si="0"/>
        <v/>
      </c>
      <c r="G17" s="36" t="str">
        <f t="shared" si="1"/>
        <v/>
      </c>
      <c r="H17" s="37"/>
      <c r="I17" s="33"/>
      <c r="J17" s="34"/>
      <c r="K17" s="35" t="str">
        <f t="shared" si="2"/>
        <v/>
      </c>
      <c r="L17" s="36" t="str">
        <f t="shared" si="3"/>
        <v/>
      </c>
      <c r="M17" s="37"/>
      <c r="N17" s="33"/>
      <c r="O17" s="34"/>
      <c r="P17" s="35" t="str">
        <f t="shared" si="4"/>
        <v/>
      </c>
      <c r="Q17" s="36" t="str">
        <f t="shared" si="5"/>
        <v/>
      </c>
      <c r="R17" s="37"/>
      <c r="S17" s="33"/>
      <c r="T17" s="34"/>
      <c r="U17" s="35" t="str">
        <f t="shared" si="6"/>
        <v/>
      </c>
      <c r="V17" s="36" t="str">
        <f t="shared" si="7"/>
        <v/>
      </c>
      <c r="W17" s="37"/>
      <c r="X17" s="33"/>
      <c r="Y17" s="34"/>
      <c r="Z17" s="35" t="str">
        <f t="shared" si="8"/>
        <v/>
      </c>
      <c r="AA17" s="36" t="str">
        <f t="shared" si="9"/>
        <v/>
      </c>
      <c r="AB17" s="37"/>
      <c r="AC17" s="33"/>
      <c r="AD17" s="34"/>
      <c r="AE17" s="35" t="str">
        <f t="shared" si="10"/>
        <v/>
      </c>
      <c r="AF17" s="36" t="str">
        <f t="shared" si="11"/>
        <v/>
      </c>
      <c r="AG17" s="37"/>
      <c r="AH17" s="33"/>
      <c r="AI17" s="34"/>
      <c r="AJ17" s="35" t="str">
        <f t="shared" si="12"/>
        <v/>
      </c>
      <c r="AK17" s="36" t="str">
        <f t="shared" si="13"/>
        <v/>
      </c>
      <c r="AL17" s="37"/>
      <c r="AM17" s="33"/>
      <c r="AN17" s="34"/>
      <c r="AO17" s="35" t="str">
        <f t="shared" si="14"/>
        <v/>
      </c>
      <c r="AP17" s="36" t="str">
        <f t="shared" si="15"/>
        <v/>
      </c>
      <c r="AQ17" s="37"/>
      <c r="AR17" s="33"/>
      <c r="AS17" s="34"/>
      <c r="AT17" s="35" t="str">
        <f t="shared" si="16"/>
        <v/>
      </c>
      <c r="AU17" s="36" t="str">
        <f t="shared" si="17"/>
        <v/>
      </c>
      <c r="AV17" s="37"/>
      <c r="AW17" s="33"/>
      <c r="AX17" s="34"/>
      <c r="AY17" s="35" t="str">
        <f t="shared" si="18"/>
        <v/>
      </c>
      <c r="AZ17" s="36" t="str">
        <f t="shared" si="19"/>
        <v/>
      </c>
      <c r="BA17" s="37"/>
      <c r="BB17" s="33"/>
      <c r="BC17" s="34"/>
      <c r="BD17" s="35" t="str">
        <f t="shared" si="20"/>
        <v/>
      </c>
      <c r="BE17" s="36" t="str">
        <f t="shared" si="21"/>
        <v/>
      </c>
      <c r="BF17" s="37"/>
      <c r="BG17" s="33"/>
      <c r="BH17" s="34"/>
      <c r="BI17" s="35" t="str">
        <f t="shared" si="22"/>
        <v/>
      </c>
      <c r="BJ17" s="36" t="str">
        <f t="shared" si="23"/>
        <v/>
      </c>
      <c r="BK17" s="37"/>
      <c r="BL17" s="33"/>
      <c r="BM17" s="34"/>
      <c r="BN17" s="35" t="str">
        <f t="shared" si="24"/>
        <v/>
      </c>
      <c r="BO17" s="36" t="str">
        <f t="shared" si="25"/>
        <v/>
      </c>
      <c r="BP17" s="37"/>
      <c r="BQ17" s="33"/>
      <c r="BR17" s="34"/>
      <c r="BS17" s="35" t="str">
        <f t="shared" si="26"/>
        <v/>
      </c>
      <c r="BT17" s="36" t="str">
        <f t="shared" si="27"/>
        <v/>
      </c>
      <c r="BU17" s="37"/>
      <c r="BV17" s="33"/>
      <c r="BW17" s="34"/>
      <c r="BX17" s="35" t="str">
        <f t="shared" si="28"/>
        <v/>
      </c>
      <c r="BY17" s="36" t="str">
        <f t="shared" si="29"/>
        <v/>
      </c>
      <c r="BZ17" s="37"/>
      <c r="CA17" s="33"/>
      <c r="CB17" s="34"/>
      <c r="CC17" s="35" t="str">
        <f t="shared" si="30"/>
        <v/>
      </c>
      <c r="CD17" s="36" t="str">
        <f t="shared" si="31"/>
        <v/>
      </c>
      <c r="CE17" s="37"/>
      <c r="CF17" s="33"/>
      <c r="CG17" s="34"/>
      <c r="CH17" s="35" t="str">
        <f t="shared" si="32"/>
        <v/>
      </c>
      <c r="CI17" s="36" t="str">
        <f t="shared" si="33"/>
        <v/>
      </c>
      <c r="CJ17" s="37"/>
      <c r="CK17" s="33"/>
      <c r="CL17" s="34"/>
      <c r="CM17" s="35" t="str">
        <f t="shared" si="34"/>
        <v/>
      </c>
      <c r="CN17" s="36" t="str">
        <f t="shared" si="35"/>
        <v/>
      </c>
      <c r="CO17" s="37"/>
      <c r="CP17" s="33"/>
      <c r="CQ17" s="34"/>
      <c r="CR17" s="35" t="str">
        <f t="shared" si="36"/>
        <v/>
      </c>
      <c r="CS17" s="36" t="str">
        <f t="shared" si="37"/>
        <v/>
      </c>
      <c r="CT17" s="37"/>
      <c r="CU17" s="33"/>
      <c r="CV17" s="34"/>
      <c r="CW17" s="35" t="str">
        <f t="shared" si="38"/>
        <v/>
      </c>
      <c r="CX17" s="36" t="str">
        <f t="shared" si="39"/>
        <v/>
      </c>
      <c r="CY17" s="37"/>
      <c r="CZ17" s="33"/>
      <c r="DA17" s="34"/>
      <c r="DB17" s="35" t="str">
        <f t="shared" si="40"/>
        <v/>
      </c>
      <c r="DC17" s="36" t="str">
        <f t="shared" si="41"/>
        <v/>
      </c>
      <c r="DD17" s="37"/>
      <c r="DE17" s="33"/>
      <c r="DF17" s="34"/>
      <c r="DG17" s="35" t="str">
        <f t="shared" si="42"/>
        <v/>
      </c>
      <c r="DH17" s="36" t="str">
        <f t="shared" si="43"/>
        <v/>
      </c>
      <c r="DI17" s="37"/>
      <c r="DJ17" s="33"/>
      <c r="DK17" s="34"/>
      <c r="DL17" s="35" t="str">
        <f t="shared" si="44"/>
        <v/>
      </c>
      <c r="DM17" s="36" t="str">
        <f t="shared" si="45"/>
        <v/>
      </c>
      <c r="DN17" s="37"/>
      <c r="DO17" s="33"/>
      <c r="DP17" s="34"/>
      <c r="DQ17" s="35" t="str">
        <f t="shared" si="46"/>
        <v/>
      </c>
      <c r="DR17" s="36" t="str">
        <f t="shared" si="47"/>
        <v/>
      </c>
      <c r="DS17" s="37"/>
      <c r="DT17" s="33"/>
      <c r="DU17" s="34"/>
      <c r="DV17" s="35" t="str">
        <f t="shared" si="48"/>
        <v/>
      </c>
      <c r="DW17" s="36" t="str">
        <f t="shared" si="49"/>
        <v/>
      </c>
      <c r="DX17" s="37"/>
      <c r="DY17" s="33"/>
      <c r="DZ17" s="34"/>
      <c r="EA17" s="35" t="str">
        <f t="shared" si="50"/>
        <v/>
      </c>
      <c r="EB17" s="36" t="str">
        <f t="shared" si="51"/>
        <v/>
      </c>
      <c r="EC17" s="37"/>
      <c r="ED17" s="33"/>
      <c r="EE17" s="34"/>
      <c r="EF17" s="35" t="str">
        <f t="shared" si="52"/>
        <v/>
      </c>
      <c r="EG17" s="36" t="str">
        <f t="shared" si="53"/>
        <v/>
      </c>
      <c r="EH17" s="37"/>
      <c r="EI17" s="33"/>
      <c r="EJ17" s="34"/>
      <c r="EK17" s="35" t="str">
        <f t="shared" si="54"/>
        <v/>
      </c>
      <c r="EL17" s="36" t="str">
        <f t="shared" si="55"/>
        <v/>
      </c>
      <c r="EM17" s="37"/>
      <c r="EN17" s="33"/>
      <c r="EO17" s="34"/>
      <c r="EP17" s="35" t="str">
        <f t="shared" si="56"/>
        <v/>
      </c>
      <c r="EQ17" s="36" t="str">
        <f t="shared" si="57"/>
        <v/>
      </c>
      <c r="ER17" s="37"/>
      <c r="ES17" s="33"/>
      <c r="ET17" s="34"/>
      <c r="EU17" s="35" t="str">
        <f t="shared" si="58"/>
        <v/>
      </c>
      <c r="EV17" s="36" t="str">
        <f t="shared" si="59"/>
        <v/>
      </c>
      <c r="EW17" s="37"/>
    </row>
    <row r="18" spans="1:153" ht="19.5" customHeight="1">
      <c r="A18" s="32">
        <f>IF(DAY(DATE(対象年度,11,15))&lt;&gt;15,"",15)</f>
        <v>15</v>
      </c>
      <c r="B18" s="32" t="str">
        <f>IF(DAY(DATE(対象年度,11,15))&lt;&gt;15,"",CHOOSE(WEEKDAY(DATE(対象年度,11,15),2),"月","火","水","木","金","土","日"))</f>
        <v>日</v>
      </c>
      <c r="C18" s="32" t="str">
        <f>IF(DAY(DATE(対象年度,11,15))&lt;&gt;15,"",IF(ISNUMBER(MATCH(DATE(対象年度,11,15),祝日リスト,0)),"祝",""))</f>
        <v/>
      </c>
      <c r="D18" s="33"/>
      <c r="E18" s="34"/>
      <c r="F18" s="35" t="str">
        <f t="shared" si="0"/>
        <v/>
      </c>
      <c r="G18" s="36" t="str">
        <f t="shared" si="1"/>
        <v/>
      </c>
      <c r="H18" s="37"/>
      <c r="I18" s="33"/>
      <c r="J18" s="34"/>
      <c r="K18" s="35" t="str">
        <f t="shared" si="2"/>
        <v/>
      </c>
      <c r="L18" s="36" t="str">
        <f t="shared" si="3"/>
        <v/>
      </c>
      <c r="M18" s="37"/>
      <c r="N18" s="33"/>
      <c r="O18" s="34"/>
      <c r="P18" s="35" t="str">
        <f t="shared" si="4"/>
        <v/>
      </c>
      <c r="Q18" s="36" t="str">
        <f t="shared" si="5"/>
        <v/>
      </c>
      <c r="R18" s="37"/>
      <c r="S18" s="33"/>
      <c r="T18" s="34"/>
      <c r="U18" s="35" t="str">
        <f t="shared" si="6"/>
        <v/>
      </c>
      <c r="V18" s="36" t="str">
        <f t="shared" si="7"/>
        <v/>
      </c>
      <c r="W18" s="37"/>
      <c r="X18" s="33"/>
      <c r="Y18" s="34"/>
      <c r="Z18" s="35" t="str">
        <f t="shared" si="8"/>
        <v/>
      </c>
      <c r="AA18" s="36" t="str">
        <f t="shared" si="9"/>
        <v/>
      </c>
      <c r="AB18" s="37"/>
      <c r="AC18" s="33"/>
      <c r="AD18" s="34"/>
      <c r="AE18" s="35" t="str">
        <f t="shared" si="10"/>
        <v/>
      </c>
      <c r="AF18" s="36" t="str">
        <f t="shared" si="11"/>
        <v/>
      </c>
      <c r="AG18" s="37"/>
      <c r="AH18" s="33"/>
      <c r="AI18" s="34"/>
      <c r="AJ18" s="35" t="str">
        <f t="shared" si="12"/>
        <v/>
      </c>
      <c r="AK18" s="36" t="str">
        <f t="shared" si="13"/>
        <v/>
      </c>
      <c r="AL18" s="37"/>
      <c r="AM18" s="33"/>
      <c r="AN18" s="34"/>
      <c r="AO18" s="35" t="str">
        <f t="shared" si="14"/>
        <v/>
      </c>
      <c r="AP18" s="36" t="str">
        <f t="shared" si="15"/>
        <v/>
      </c>
      <c r="AQ18" s="37"/>
      <c r="AR18" s="33"/>
      <c r="AS18" s="34"/>
      <c r="AT18" s="35" t="str">
        <f t="shared" si="16"/>
        <v/>
      </c>
      <c r="AU18" s="36" t="str">
        <f t="shared" si="17"/>
        <v/>
      </c>
      <c r="AV18" s="37"/>
      <c r="AW18" s="33"/>
      <c r="AX18" s="34"/>
      <c r="AY18" s="35" t="str">
        <f t="shared" si="18"/>
        <v/>
      </c>
      <c r="AZ18" s="36" t="str">
        <f t="shared" si="19"/>
        <v/>
      </c>
      <c r="BA18" s="37"/>
      <c r="BB18" s="33"/>
      <c r="BC18" s="34"/>
      <c r="BD18" s="35" t="str">
        <f t="shared" si="20"/>
        <v/>
      </c>
      <c r="BE18" s="36" t="str">
        <f t="shared" si="21"/>
        <v/>
      </c>
      <c r="BF18" s="37"/>
      <c r="BG18" s="33"/>
      <c r="BH18" s="34"/>
      <c r="BI18" s="35" t="str">
        <f t="shared" si="22"/>
        <v/>
      </c>
      <c r="BJ18" s="36" t="str">
        <f t="shared" si="23"/>
        <v/>
      </c>
      <c r="BK18" s="37"/>
      <c r="BL18" s="33"/>
      <c r="BM18" s="34"/>
      <c r="BN18" s="35" t="str">
        <f t="shared" si="24"/>
        <v/>
      </c>
      <c r="BO18" s="36" t="str">
        <f t="shared" si="25"/>
        <v/>
      </c>
      <c r="BP18" s="37"/>
      <c r="BQ18" s="33"/>
      <c r="BR18" s="34"/>
      <c r="BS18" s="35" t="str">
        <f t="shared" si="26"/>
        <v/>
      </c>
      <c r="BT18" s="36" t="str">
        <f t="shared" si="27"/>
        <v/>
      </c>
      <c r="BU18" s="37"/>
      <c r="BV18" s="33"/>
      <c r="BW18" s="34"/>
      <c r="BX18" s="35" t="str">
        <f t="shared" si="28"/>
        <v/>
      </c>
      <c r="BY18" s="36" t="str">
        <f t="shared" si="29"/>
        <v/>
      </c>
      <c r="BZ18" s="37"/>
      <c r="CA18" s="33"/>
      <c r="CB18" s="34"/>
      <c r="CC18" s="35" t="str">
        <f t="shared" si="30"/>
        <v/>
      </c>
      <c r="CD18" s="36" t="str">
        <f t="shared" si="31"/>
        <v/>
      </c>
      <c r="CE18" s="37"/>
      <c r="CF18" s="33"/>
      <c r="CG18" s="34"/>
      <c r="CH18" s="35" t="str">
        <f t="shared" si="32"/>
        <v/>
      </c>
      <c r="CI18" s="36" t="str">
        <f t="shared" si="33"/>
        <v/>
      </c>
      <c r="CJ18" s="37"/>
      <c r="CK18" s="33"/>
      <c r="CL18" s="34"/>
      <c r="CM18" s="35" t="str">
        <f t="shared" si="34"/>
        <v/>
      </c>
      <c r="CN18" s="36" t="str">
        <f t="shared" si="35"/>
        <v/>
      </c>
      <c r="CO18" s="37"/>
      <c r="CP18" s="33"/>
      <c r="CQ18" s="34"/>
      <c r="CR18" s="35" t="str">
        <f t="shared" si="36"/>
        <v/>
      </c>
      <c r="CS18" s="36" t="str">
        <f t="shared" si="37"/>
        <v/>
      </c>
      <c r="CT18" s="37"/>
      <c r="CU18" s="33"/>
      <c r="CV18" s="34"/>
      <c r="CW18" s="35" t="str">
        <f t="shared" si="38"/>
        <v/>
      </c>
      <c r="CX18" s="36" t="str">
        <f t="shared" si="39"/>
        <v/>
      </c>
      <c r="CY18" s="37"/>
      <c r="CZ18" s="33"/>
      <c r="DA18" s="34"/>
      <c r="DB18" s="35" t="str">
        <f t="shared" si="40"/>
        <v/>
      </c>
      <c r="DC18" s="36" t="str">
        <f t="shared" si="41"/>
        <v/>
      </c>
      <c r="DD18" s="37"/>
      <c r="DE18" s="33"/>
      <c r="DF18" s="34"/>
      <c r="DG18" s="35" t="str">
        <f t="shared" si="42"/>
        <v/>
      </c>
      <c r="DH18" s="36" t="str">
        <f t="shared" si="43"/>
        <v/>
      </c>
      <c r="DI18" s="37"/>
      <c r="DJ18" s="33"/>
      <c r="DK18" s="34"/>
      <c r="DL18" s="35" t="str">
        <f t="shared" si="44"/>
        <v/>
      </c>
      <c r="DM18" s="36" t="str">
        <f t="shared" si="45"/>
        <v/>
      </c>
      <c r="DN18" s="37"/>
      <c r="DO18" s="33"/>
      <c r="DP18" s="34"/>
      <c r="DQ18" s="35" t="str">
        <f t="shared" si="46"/>
        <v/>
      </c>
      <c r="DR18" s="36" t="str">
        <f t="shared" si="47"/>
        <v/>
      </c>
      <c r="DS18" s="37"/>
      <c r="DT18" s="33"/>
      <c r="DU18" s="34"/>
      <c r="DV18" s="35" t="str">
        <f t="shared" si="48"/>
        <v/>
      </c>
      <c r="DW18" s="36" t="str">
        <f t="shared" si="49"/>
        <v/>
      </c>
      <c r="DX18" s="37"/>
      <c r="DY18" s="33"/>
      <c r="DZ18" s="34"/>
      <c r="EA18" s="35" t="str">
        <f t="shared" si="50"/>
        <v/>
      </c>
      <c r="EB18" s="36" t="str">
        <f t="shared" si="51"/>
        <v/>
      </c>
      <c r="EC18" s="37"/>
      <c r="ED18" s="33"/>
      <c r="EE18" s="34"/>
      <c r="EF18" s="35" t="str">
        <f t="shared" si="52"/>
        <v/>
      </c>
      <c r="EG18" s="36" t="str">
        <f t="shared" si="53"/>
        <v/>
      </c>
      <c r="EH18" s="37"/>
      <c r="EI18" s="33"/>
      <c r="EJ18" s="34"/>
      <c r="EK18" s="35" t="str">
        <f t="shared" si="54"/>
        <v/>
      </c>
      <c r="EL18" s="36" t="str">
        <f t="shared" si="55"/>
        <v/>
      </c>
      <c r="EM18" s="37"/>
      <c r="EN18" s="33"/>
      <c r="EO18" s="34"/>
      <c r="EP18" s="35" t="str">
        <f t="shared" si="56"/>
        <v/>
      </c>
      <c r="EQ18" s="36" t="str">
        <f t="shared" si="57"/>
        <v/>
      </c>
      <c r="ER18" s="37"/>
      <c r="ES18" s="33"/>
      <c r="ET18" s="34"/>
      <c r="EU18" s="35" t="str">
        <f t="shared" si="58"/>
        <v/>
      </c>
      <c r="EV18" s="36" t="str">
        <f t="shared" si="59"/>
        <v/>
      </c>
      <c r="EW18" s="37"/>
    </row>
    <row r="19" spans="1:153" ht="19.5" customHeight="1">
      <c r="A19" s="32">
        <f>IF(DAY(DATE(対象年度,11,16))&lt;&gt;16,"",16)</f>
        <v>16</v>
      </c>
      <c r="B19" s="32" t="str">
        <f>IF(DAY(DATE(対象年度,11,16))&lt;&gt;16,"",CHOOSE(WEEKDAY(DATE(対象年度,11,16),2),"月","火","水","木","金","土","日"))</f>
        <v>月</v>
      </c>
      <c r="C19" s="32" t="str">
        <f>IF(DAY(DATE(対象年度,11,16))&lt;&gt;16,"",IF(ISNUMBER(MATCH(DATE(対象年度,11,16),祝日リスト,0)),"祝",""))</f>
        <v/>
      </c>
      <c r="D19" s="33"/>
      <c r="E19" s="34"/>
      <c r="F19" s="35" t="str">
        <f t="shared" si="0"/>
        <v/>
      </c>
      <c r="G19" s="36" t="str">
        <f t="shared" si="1"/>
        <v/>
      </c>
      <c r="H19" s="37"/>
      <c r="I19" s="33"/>
      <c r="J19" s="34"/>
      <c r="K19" s="35" t="str">
        <f t="shared" si="2"/>
        <v/>
      </c>
      <c r="L19" s="36" t="str">
        <f t="shared" si="3"/>
        <v/>
      </c>
      <c r="M19" s="37"/>
      <c r="N19" s="33"/>
      <c r="O19" s="34"/>
      <c r="P19" s="35" t="str">
        <f t="shared" si="4"/>
        <v/>
      </c>
      <c r="Q19" s="36" t="str">
        <f t="shared" si="5"/>
        <v/>
      </c>
      <c r="R19" s="37"/>
      <c r="S19" s="33"/>
      <c r="T19" s="34"/>
      <c r="U19" s="35" t="str">
        <f t="shared" si="6"/>
        <v/>
      </c>
      <c r="V19" s="36" t="str">
        <f t="shared" si="7"/>
        <v/>
      </c>
      <c r="W19" s="37"/>
      <c r="X19" s="33"/>
      <c r="Y19" s="34"/>
      <c r="Z19" s="35" t="str">
        <f t="shared" si="8"/>
        <v/>
      </c>
      <c r="AA19" s="36" t="str">
        <f t="shared" si="9"/>
        <v/>
      </c>
      <c r="AB19" s="37"/>
      <c r="AC19" s="33"/>
      <c r="AD19" s="34"/>
      <c r="AE19" s="35" t="str">
        <f t="shared" si="10"/>
        <v/>
      </c>
      <c r="AF19" s="36" t="str">
        <f t="shared" si="11"/>
        <v/>
      </c>
      <c r="AG19" s="37"/>
      <c r="AH19" s="33"/>
      <c r="AI19" s="34"/>
      <c r="AJ19" s="35" t="str">
        <f t="shared" si="12"/>
        <v/>
      </c>
      <c r="AK19" s="36" t="str">
        <f t="shared" si="13"/>
        <v/>
      </c>
      <c r="AL19" s="37"/>
      <c r="AM19" s="33"/>
      <c r="AN19" s="34"/>
      <c r="AO19" s="35" t="str">
        <f t="shared" si="14"/>
        <v/>
      </c>
      <c r="AP19" s="36" t="str">
        <f t="shared" si="15"/>
        <v/>
      </c>
      <c r="AQ19" s="37"/>
      <c r="AR19" s="33"/>
      <c r="AS19" s="34"/>
      <c r="AT19" s="35" t="str">
        <f t="shared" si="16"/>
        <v/>
      </c>
      <c r="AU19" s="36" t="str">
        <f t="shared" si="17"/>
        <v/>
      </c>
      <c r="AV19" s="37"/>
      <c r="AW19" s="33"/>
      <c r="AX19" s="34"/>
      <c r="AY19" s="35" t="str">
        <f t="shared" si="18"/>
        <v/>
      </c>
      <c r="AZ19" s="36" t="str">
        <f t="shared" si="19"/>
        <v/>
      </c>
      <c r="BA19" s="37"/>
      <c r="BB19" s="33"/>
      <c r="BC19" s="34"/>
      <c r="BD19" s="35" t="str">
        <f t="shared" si="20"/>
        <v/>
      </c>
      <c r="BE19" s="36" t="str">
        <f t="shared" si="21"/>
        <v/>
      </c>
      <c r="BF19" s="37"/>
      <c r="BG19" s="33"/>
      <c r="BH19" s="34"/>
      <c r="BI19" s="35" t="str">
        <f t="shared" si="22"/>
        <v/>
      </c>
      <c r="BJ19" s="36" t="str">
        <f t="shared" si="23"/>
        <v/>
      </c>
      <c r="BK19" s="37"/>
      <c r="BL19" s="33"/>
      <c r="BM19" s="34"/>
      <c r="BN19" s="35" t="str">
        <f t="shared" si="24"/>
        <v/>
      </c>
      <c r="BO19" s="36" t="str">
        <f t="shared" si="25"/>
        <v/>
      </c>
      <c r="BP19" s="37"/>
      <c r="BQ19" s="33"/>
      <c r="BR19" s="34"/>
      <c r="BS19" s="35" t="str">
        <f t="shared" si="26"/>
        <v/>
      </c>
      <c r="BT19" s="36" t="str">
        <f t="shared" si="27"/>
        <v/>
      </c>
      <c r="BU19" s="37"/>
      <c r="BV19" s="33"/>
      <c r="BW19" s="34"/>
      <c r="BX19" s="35" t="str">
        <f t="shared" si="28"/>
        <v/>
      </c>
      <c r="BY19" s="36" t="str">
        <f t="shared" si="29"/>
        <v/>
      </c>
      <c r="BZ19" s="37"/>
      <c r="CA19" s="33"/>
      <c r="CB19" s="34"/>
      <c r="CC19" s="35" t="str">
        <f t="shared" si="30"/>
        <v/>
      </c>
      <c r="CD19" s="36" t="str">
        <f t="shared" si="31"/>
        <v/>
      </c>
      <c r="CE19" s="37"/>
      <c r="CF19" s="33"/>
      <c r="CG19" s="34"/>
      <c r="CH19" s="35" t="str">
        <f t="shared" si="32"/>
        <v/>
      </c>
      <c r="CI19" s="36" t="str">
        <f t="shared" si="33"/>
        <v/>
      </c>
      <c r="CJ19" s="37"/>
      <c r="CK19" s="33"/>
      <c r="CL19" s="34"/>
      <c r="CM19" s="35" t="str">
        <f t="shared" si="34"/>
        <v/>
      </c>
      <c r="CN19" s="36" t="str">
        <f t="shared" si="35"/>
        <v/>
      </c>
      <c r="CO19" s="37"/>
      <c r="CP19" s="33"/>
      <c r="CQ19" s="34"/>
      <c r="CR19" s="35" t="str">
        <f t="shared" si="36"/>
        <v/>
      </c>
      <c r="CS19" s="36" t="str">
        <f t="shared" si="37"/>
        <v/>
      </c>
      <c r="CT19" s="37"/>
      <c r="CU19" s="33"/>
      <c r="CV19" s="34"/>
      <c r="CW19" s="35" t="str">
        <f t="shared" si="38"/>
        <v/>
      </c>
      <c r="CX19" s="36" t="str">
        <f t="shared" si="39"/>
        <v/>
      </c>
      <c r="CY19" s="37"/>
      <c r="CZ19" s="33"/>
      <c r="DA19" s="34"/>
      <c r="DB19" s="35" t="str">
        <f t="shared" si="40"/>
        <v/>
      </c>
      <c r="DC19" s="36" t="str">
        <f t="shared" si="41"/>
        <v/>
      </c>
      <c r="DD19" s="37"/>
      <c r="DE19" s="33"/>
      <c r="DF19" s="34"/>
      <c r="DG19" s="35" t="str">
        <f t="shared" si="42"/>
        <v/>
      </c>
      <c r="DH19" s="36" t="str">
        <f t="shared" si="43"/>
        <v/>
      </c>
      <c r="DI19" s="37"/>
      <c r="DJ19" s="33"/>
      <c r="DK19" s="34"/>
      <c r="DL19" s="35" t="str">
        <f t="shared" si="44"/>
        <v/>
      </c>
      <c r="DM19" s="36" t="str">
        <f t="shared" si="45"/>
        <v/>
      </c>
      <c r="DN19" s="37"/>
      <c r="DO19" s="33"/>
      <c r="DP19" s="34"/>
      <c r="DQ19" s="35" t="str">
        <f t="shared" si="46"/>
        <v/>
      </c>
      <c r="DR19" s="36" t="str">
        <f t="shared" si="47"/>
        <v/>
      </c>
      <c r="DS19" s="37"/>
      <c r="DT19" s="33"/>
      <c r="DU19" s="34"/>
      <c r="DV19" s="35" t="str">
        <f t="shared" si="48"/>
        <v/>
      </c>
      <c r="DW19" s="36" t="str">
        <f t="shared" si="49"/>
        <v/>
      </c>
      <c r="DX19" s="37"/>
      <c r="DY19" s="33"/>
      <c r="DZ19" s="34"/>
      <c r="EA19" s="35" t="str">
        <f t="shared" si="50"/>
        <v/>
      </c>
      <c r="EB19" s="36" t="str">
        <f t="shared" si="51"/>
        <v/>
      </c>
      <c r="EC19" s="37"/>
      <c r="ED19" s="33"/>
      <c r="EE19" s="34"/>
      <c r="EF19" s="35" t="str">
        <f t="shared" si="52"/>
        <v/>
      </c>
      <c r="EG19" s="36" t="str">
        <f t="shared" si="53"/>
        <v/>
      </c>
      <c r="EH19" s="37"/>
      <c r="EI19" s="33"/>
      <c r="EJ19" s="34"/>
      <c r="EK19" s="35" t="str">
        <f t="shared" si="54"/>
        <v/>
      </c>
      <c r="EL19" s="36" t="str">
        <f t="shared" si="55"/>
        <v/>
      </c>
      <c r="EM19" s="37"/>
      <c r="EN19" s="33"/>
      <c r="EO19" s="34"/>
      <c r="EP19" s="35" t="str">
        <f t="shared" si="56"/>
        <v/>
      </c>
      <c r="EQ19" s="36" t="str">
        <f t="shared" si="57"/>
        <v/>
      </c>
      <c r="ER19" s="37"/>
      <c r="ES19" s="33"/>
      <c r="ET19" s="34"/>
      <c r="EU19" s="35" t="str">
        <f t="shared" si="58"/>
        <v/>
      </c>
      <c r="EV19" s="36" t="str">
        <f t="shared" si="59"/>
        <v/>
      </c>
      <c r="EW19" s="37"/>
    </row>
    <row r="20" spans="1:153" ht="19.5" customHeight="1">
      <c r="A20" s="32">
        <f>IF(DAY(DATE(対象年度,11,17))&lt;&gt;17,"",17)</f>
        <v>17</v>
      </c>
      <c r="B20" s="32" t="str">
        <f>IF(DAY(DATE(対象年度,11,17))&lt;&gt;17,"",CHOOSE(WEEKDAY(DATE(対象年度,11,17),2),"月","火","水","木","金","土","日"))</f>
        <v>火</v>
      </c>
      <c r="C20" s="32" t="str">
        <f>IF(DAY(DATE(対象年度,11,17))&lt;&gt;17,"",IF(ISNUMBER(MATCH(DATE(対象年度,11,17),祝日リスト,0)),"祝",""))</f>
        <v/>
      </c>
      <c r="D20" s="33"/>
      <c r="E20" s="34"/>
      <c r="F20" s="35" t="str">
        <f t="shared" si="0"/>
        <v/>
      </c>
      <c r="G20" s="36" t="str">
        <f t="shared" si="1"/>
        <v/>
      </c>
      <c r="H20" s="37"/>
      <c r="I20" s="33"/>
      <c r="J20" s="34"/>
      <c r="K20" s="35" t="str">
        <f t="shared" si="2"/>
        <v/>
      </c>
      <c r="L20" s="36" t="str">
        <f t="shared" si="3"/>
        <v/>
      </c>
      <c r="M20" s="37"/>
      <c r="N20" s="33"/>
      <c r="O20" s="34"/>
      <c r="P20" s="35" t="str">
        <f t="shared" si="4"/>
        <v/>
      </c>
      <c r="Q20" s="36" t="str">
        <f t="shared" si="5"/>
        <v/>
      </c>
      <c r="R20" s="37"/>
      <c r="S20" s="33"/>
      <c r="T20" s="34"/>
      <c r="U20" s="35" t="str">
        <f t="shared" si="6"/>
        <v/>
      </c>
      <c r="V20" s="36" t="str">
        <f t="shared" si="7"/>
        <v/>
      </c>
      <c r="W20" s="37"/>
      <c r="X20" s="33"/>
      <c r="Y20" s="34"/>
      <c r="Z20" s="35" t="str">
        <f t="shared" si="8"/>
        <v/>
      </c>
      <c r="AA20" s="36" t="str">
        <f t="shared" si="9"/>
        <v/>
      </c>
      <c r="AB20" s="37"/>
      <c r="AC20" s="33"/>
      <c r="AD20" s="34"/>
      <c r="AE20" s="35" t="str">
        <f t="shared" si="10"/>
        <v/>
      </c>
      <c r="AF20" s="36" t="str">
        <f t="shared" si="11"/>
        <v/>
      </c>
      <c r="AG20" s="37"/>
      <c r="AH20" s="33"/>
      <c r="AI20" s="34"/>
      <c r="AJ20" s="35" t="str">
        <f t="shared" si="12"/>
        <v/>
      </c>
      <c r="AK20" s="36" t="str">
        <f t="shared" si="13"/>
        <v/>
      </c>
      <c r="AL20" s="37"/>
      <c r="AM20" s="33"/>
      <c r="AN20" s="34"/>
      <c r="AO20" s="35" t="str">
        <f t="shared" si="14"/>
        <v/>
      </c>
      <c r="AP20" s="36" t="str">
        <f t="shared" si="15"/>
        <v/>
      </c>
      <c r="AQ20" s="37"/>
      <c r="AR20" s="33"/>
      <c r="AS20" s="34"/>
      <c r="AT20" s="35" t="str">
        <f t="shared" si="16"/>
        <v/>
      </c>
      <c r="AU20" s="36" t="str">
        <f t="shared" si="17"/>
        <v/>
      </c>
      <c r="AV20" s="37"/>
      <c r="AW20" s="33"/>
      <c r="AX20" s="34"/>
      <c r="AY20" s="35" t="str">
        <f t="shared" si="18"/>
        <v/>
      </c>
      <c r="AZ20" s="36" t="str">
        <f t="shared" si="19"/>
        <v/>
      </c>
      <c r="BA20" s="37"/>
      <c r="BB20" s="33"/>
      <c r="BC20" s="34"/>
      <c r="BD20" s="35" t="str">
        <f t="shared" si="20"/>
        <v/>
      </c>
      <c r="BE20" s="36" t="str">
        <f t="shared" si="21"/>
        <v/>
      </c>
      <c r="BF20" s="37"/>
      <c r="BG20" s="33"/>
      <c r="BH20" s="34"/>
      <c r="BI20" s="35" t="str">
        <f t="shared" si="22"/>
        <v/>
      </c>
      <c r="BJ20" s="36" t="str">
        <f t="shared" si="23"/>
        <v/>
      </c>
      <c r="BK20" s="37"/>
      <c r="BL20" s="33"/>
      <c r="BM20" s="34"/>
      <c r="BN20" s="35" t="str">
        <f t="shared" si="24"/>
        <v/>
      </c>
      <c r="BO20" s="36" t="str">
        <f t="shared" si="25"/>
        <v/>
      </c>
      <c r="BP20" s="37"/>
      <c r="BQ20" s="33"/>
      <c r="BR20" s="34"/>
      <c r="BS20" s="35" t="str">
        <f t="shared" si="26"/>
        <v/>
      </c>
      <c r="BT20" s="36" t="str">
        <f t="shared" si="27"/>
        <v/>
      </c>
      <c r="BU20" s="37"/>
      <c r="BV20" s="33"/>
      <c r="BW20" s="34"/>
      <c r="BX20" s="35" t="str">
        <f t="shared" si="28"/>
        <v/>
      </c>
      <c r="BY20" s="36" t="str">
        <f t="shared" si="29"/>
        <v/>
      </c>
      <c r="BZ20" s="37"/>
      <c r="CA20" s="33"/>
      <c r="CB20" s="34"/>
      <c r="CC20" s="35" t="str">
        <f t="shared" si="30"/>
        <v/>
      </c>
      <c r="CD20" s="36" t="str">
        <f t="shared" si="31"/>
        <v/>
      </c>
      <c r="CE20" s="37"/>
      <c r="CF20" s="33"/>
      <c r="CG20" s="34"/>
      <c r="CH20" s="35" t="str">
        <f t="shared" si="32"/>
        <v/>
      </c>
      <c r="CI20" s="36" t="str">
        <f t="shared" si="33"/>
        <v/>
      </c>
      <c r="CJ20" s="37"/>
      <c r="CK20" s="33"/>
      <c r="CL20" s="34"/>
      <c r="CM20" s="35" t="str">
        <f t="shared" si="34"/>
        <v/>
      </c>
      <c r="CN20" s="36" t="str">
        <f t="shared" si="35"/>
        <v/>
      </c>
      <c r="CO20" s="37"/>
      <c r="CP20" s="33"/>
      <c r="CQ20" s="34"/>
      <c r="CR20" s="35" t="str">
        <f t="shared" si="36"/>
        <v/>
      </c>
      <c r="CS20" s="36" t="str">
        <f t="shared" si="37"/>
        <v/>
      </c>
      <c r="CT20" s="37"/>
      <c r="CU20" s="33"/>
      <c r="CV20" s="34"/>
      <c r="CW20" s="35" t="str">
        <f t="shared" si="38"/>
        <v/>
      </c>
      <c r="CX20" s="36" t="str">
        <f t="shared" si="39"/>
        <v/>
      </c>
      <c r="CY20" s="37"/>
      <c r="CZ20" s="33"/>
      <c r="DA20" s="34"/>
      <c r="DB20" s="35" t="str">
        <f t="shared" si="40"/>
        <v/>
      </c>
      <c r="DC20" s="36" t="str">
        <f t="shared" si="41"/>
        <v/>
      </c>
      <c r="DD20" s="37"/>
      <c r="DE20" s="33"/>
      <c r="DF20" s="34"/>
      <c r="DG20" s="35" t="str">
        <f t="shared" si="42"/>
        <v/>
      </c>
      <c r="DH20" s="36" t="str">
        <f t="shared" si="43"/>
        <v/>
      </c>
      <c r="DI20" s="37"/>
      <c r="DJ20" s="33"/>
      <c r="DK20" s="34"/>
      <c r="DL20" s="35" t="str">
        <f t="shared" si="44"/>
        <v/>
      </c>
      <c r="DM20" s="36" t="str">
        <f t="shared" si="45"/>
        <v/>
      </c>
      <c r="DN20" s="37"/>
      <c r="DO20" s="33"/>
      <c r="DP20" s="34"/>
      <c r="DQ20" s="35" t="str">
        <f t="shared" si="46"/>
        <v/>
      </c>
      <c r="DR20" s="36" t="str">
        <f t="shared" si="47"/>
        <v/>
      </c>
      <c r="DS20" s="37"/>
      <c r="DT20" s="33"/>
      <c r="DU20" s="34"/>
      <c r="DV20" s="35" t="str">
        <f t="shared" si="48"/>
        <v/>
      </c>
      <c r="DW20" s="36" t="str">
        <f t="shared" si="49"/>
        <v/>
      </c>
      <c r="DX20" s="37"/>
      <c r="DY20" s="33"/>
      <c r="DZ20" s="34"/>
      <c r="EA20" s="35" t="str">
        <f t="shared" si="50"/>
        <v/>
      </c>
      <c r="EB20" s="36" t="str">
        <f t="shared" si="51"/>
        <v/>
      </c>
      <c r="EC20" s="37"/>
      <c r="ED20" s="33"/>
      <c r="EE20" s="34"/>
      <c r="EF20" s="35" t="str">
        <f t="shared" si="52"/>
        <v/>
      </c>
      <c r="EG20" s="36" t="str">
        <f t="shared" si="53"/>
        <v/>
      </c>
      <c r="EH20" s="37"/>
      <c r="EI20" s="33"/>
      <c r="EJ20" s="34"/>
      <c r="EK20" s="35" t="str">
        <f t="shared" si="54"/>
        <v/>
      </c>
      <c r="EL20" s="36" t="str">
        <f t="shared" si="55"/>
        <v/>
      </c>
      <c r="EM20" s="37"/>
      <c r="EN20" s="33"/>
      <c r="EO20" s="34"/>
      <c r="EP20" s="35" t="str">
        <f t="shared" si="56"/>
        <v/>
      </c>
      <c r="EQ20" s="36" t="str">
        <f t="shared" si="57"/>
        <v/>
      </c>
      <c r="ER20" s="37"/>
      <c r="ES20" s="33"/>
      <c r="ET20" s="34"/>
      <c r="EU20" s="35" t="str">
        <f t="shared" si="58"/>
        <v/>
      </c>
      <c r="EV20" s="36" t="str">
        <f t="shared" si="59"/>
        <v/>
      </c>
      <c r="EW20" s="37"/>
    </row>
    <row r="21" spans="1:153" ht="19.5" customHeight="1">
      <c r="A21" s="32">
        <f>IF(DAY(DATE(対象年度,11,18))&lt;&gt;18,"",18)</f>
        <v>18</v>
      </c>
      <c r="B21" s="32" t="str">
        <f>IF(DAY(DATE(対象年度,11,18))&lt;&gt;18,"",CHOOSE(WEEKDAY(DATE(対象年度,11,18),2),"月","火","水","木","金","土","日"))</f>
        <v>水</v>
      </c>
      <c r="C21" s="32" t="str">
        <f>IF(DAY(DATE(対象年度,11,18))&lt;&gt;18,"",IF(ISNUMBER(MATCH(DATE(対象年度,11,18),祝日リスト,0)),"祝",""))</f>
        <v/>
      </c>
      <c r="D21" s="33"/>
      <c r="E21" s="34"/>
      <c r="F21" s="35" t="str">
        <f t="shared" si="0"/>
        <v/>
      </c>
      <c r="G21" s="36" t="str">
        <f t="shared" si="1"/>
        <v/>
      </c>
      <c r="H21" s="37"/>
      <c r="I21" s="33"/>
      <c r="J21" s="34"/>
      <c r="K21" s="35" t="str">
        <f t="shared" si="2"/>
        <v/>
      </c>
      <c r="L21" s="36" t="str">
        <f t="shared" si="3"/>
        <v/>
      </c>
      <c r="M21" s="37"/>
      <c r="N21" s="33"/>
      <c r="O21" s="34"/>
      <c r="P21" s="35" t="str">
        <f t="shared" si="4"/>
        <v/>
      </c>
      <c r="Q21" s="36" t="str">
        <f t="shared" si="5"/>
        <v/>
      </c>
      <c r="R21" s="37"/>
      <c r="S21" s="33"/>
      <c r="T21" s="34"/>
      <c r="U21" s="35" t="str">
        <f t="shared" si="6"/>
        <v/>
      </c>
      <c r="V21" s="36" t="str">
        <f t="shared" si="7"/>
        <v/>
      </c>
      <c r="W21" s="37"/>
      <c r="X21" s="33"/>
      <c r="Y21" s="34"/>
      <c r="Z21" s="35" t="str">
        <f t="shared" si="8"/>
        <v/>
      </c>
      <c r="AA21" s="36" t="str">
        <f t="shared" si="9"/>
        <v/>
      </c>
      <c r="AB21" s="37"/>
      <c r="AC21" s="33"/>
      <c r="AD21" s="34"/>
      <c r="AE21" s="35" t="str">
        <f t="shared" si="10"/>
        <v/>
      </c>
      <c r="AF21" s="36" t="str">
        <f t="shared" si="11"/>
        <v/>
      </c>
      <c r="AG21" s="37"/>
      <c r="AH21" s="33"/>
      <c r="AI21" s="34"/>
      <c r="AJ21" s="35" t="str">
        <f t="shared" si="12"/>
        <v/>
      </c>
      <c r="AK21" s="36" t="str">
        <f t="shared" si="13"/>
        <v/>
      </c>
      <c r="AL21" s="37"/>
      <c r="AM21" s="33"/>
      <c r="AN21" s="34"/>
      <c r="AO21" s="35" t="str">
        <f t="shared" si="14"/>
        <v/>
      </c>
      <c r="AP21" s="36" t="str">
        <f t="shared" si="15"/>
        <v/>
      </c>
      <c r="AQ21" s="37"/>
      <c r="AR21" s="33"/>
      <c r="AS21" s="34"/>
      <c r="AT21" s="35" t="str">
        <f t="shared" si="16"/>
        <v/>
      </c>
      <c r="AU21" s="36" t="str">
        <f t="shared" si="17"/>
        <v/>
      </c>
      <c r="AV21" s="37"/>
      <c r="AW21" s="33"/>
      <c r="AX21" s="34"/>
      <c r="AY21" s="35" t="str">
        <f t="shared" si="18"/>
        <v/>
      </c>
      <c r="AZ21" s="36" t="str">
        <f t="shared" si="19"/>
        <v/>
      </c>
      <c r="BA21" s="37"/>
      <c r="BB21" s="33"/>
      <c r="BC21" s="34"/>
      <c r="BD21" s="35" t="str">
        <f t="shared" si="20"/>
        <v/>
      </c>
      <c r="BE21" s="36" t="str">
        <f t="shared" si="21"/>
        <v/>
      </c>
      <c r="BF21" s="37"/>
      <c r="BG21" s="33"/>
      <c r="BH21" s="34"/>
      <c r="BI21" s="35" t="str">
        <f t="shared" si="22"/>
        <v/>
      </c>
      <c r="BJ21" s="36" t="str">
        <f t="shared" si="23"/>
        <v/>
      </c>
      <c r="BK21" s="37"/>
      <c r="BL21" s="33"/>
      <c r="BM21" s="34"/>
      <c r="BN21" s="35" t="str">
        <f t="shared" si="24"/>
        <v/>
      </c>
      <c r="BO21" s="36" t="str">
        <f t="shared" si="25"/>
        <v/>
      </c>
      <c r="BP21" s="37"/>
      <c r="BQ21" s="33"/>
      <c r="BR21" s="34"/>
      <c r="BS21" s="35" t="str">
        <f t="shared" si="26"/>
        <v/>
      </c>
      <c r="BT21" s="36" t="str">
        <f t="shared" si="27"/>
        <v/>
      </c>
      <c r="BU21" s="37"/>
      <c r="BV21" s="33"/>
      <c r="BW21" s="34"/>
      <c r="BX21" s="35" t="str">
        <f t="shared" si="28"/>
        <v/>
      </c>
      <c r="BY21" s="36" t="str">
        <f t="shared" si="29"/>
        <v/>
      </c>
      <c r="BZ21" s="37"/>
      <c r="CA21" s="33"/>
      <c r="CB21" s="34"/>
      <c r="CC21" s="35" t="str">
        <f t="shared" si="30"/>
        <v/>
      </c>
      <c r="CD21" s="36" t="str">
        <f t="shared" si="31"/>
        <v/>
      </c>
      <c r="CE21" s="37"/>
      <c r="CF21" s="33"/>
      <c r="CG21" s="34"/>
      <c r="CH21" s="35" t="str">
        <f t="shared" si="32"/>
        <v/>
      </c>
      <c r="CI21" s="36" t="str">
        <f t="shared" si="33"/>
        <v/>
      </c>
      <c r="CJ21" s="37"/>
      <c r="CK21" s="33"/>
      <c r="CL21" s="34"/>
      <c r="CM21" s="35" t="str">
        <f t="shared" si="34"/>
        <v/>
      </c>
      <c r="CN21" s="36" t="str">
        <f t="shared" si="35"/>
        <v/>
      </c>
      <c r="CO21" s="37"/>
      <c r="CP21" s="33"/>
      <c r="CQ21" s="34"/>
      <c r="CR21" s="35" t="str">
        <f t="shared" si="36"/>
        <v/>
      </c>
      <c r="CS21" s="36" t="str">
        <f t="shared" si="37"/>
        <v/>
      </c>
      <c r="CT21" s="37"/>
      <c r="CU21" s="33"/>
      <c r="CV21" s="34"/>
      <c r="CW21" s="35" t="str">
        <f t="shared" si="38"/>
        <v/>
      </c>
      <c r="CX21" s="36" t="str">
        <f t="shared" si="39"/>
        <v/>
      </c>
      <c r="CY21" s="37"/>
      <c r="CZ21" s="33"/>
      <c r="DA21" s="34"/>
      <c r="DB21" s="35" t="str">
        <f t="shared" si="40"/>
        <v/>
      </c>
      <c r="DC21" s="36" t="str">
        <f t="shared" si="41"/>
        <v/>
      </c>
      <c r="DD21" s="37"/>
      <c r="DE21" s="33"/>
      <c r="DF21" s="34"/>
      <c r="DG21" s="35" t="str">
        <f t="shared" si="42"/>
        <v/>
      </c>
      <c r="DH21" s="36" t="str">
        <f t="shared" si="43"/>
        <v/>
      </c>
      <c r="DI21" s="37"/>
      <c r="DJ21" s="33"/>
      <c r="DK21" s="34"/>
      <c r="DL21" s="35" t="str">
        <f t="shared" si="44"/>
        <v/>
      </c>
      <c r="DM21" s="36" t="str">
        <f t="shared" si="45"/>
        <v/>
      </c>
      <c r="DN21" s="37"/>
      <c r="DO21" s="33"/>
      <c r="DP21" s="34"/>
      <c r="DQ21" s="35" t="str">
        <f t="shared" si="46"/>
        <v/>
      </c>
      <c r="DR21" s="36" t="str">
        <f t="shared" si="47"/>
        <v/>
      </c>
      <c r="DS21" s="37"/>
      <c r="DT21" s="33"/>
      <c r="DU21" s="34"/>
      <c r="DV21" s="35" t="str">
        <f t="shared" si="48"/>
        <v/>
      </c>
      <c r="DW21" s="36" t="str">
        <f t="shared" si="49"/>
        <v/>
      </c>
      <c r="DX21" s="37"/>
      <c r="DY21" s="33"/>
      <c r="DZ21" s="34"/>
      <c r="EA21" s="35" t="str">
        <f t="shared" si="50"/>
        <v/>
      </c>
      <c r="EB21" s="36" t="str">
        <f t="shared" si="51"/>
        <v/>
      </c>
      <c r="EC21" s="37"/>
      <c r="ED21" s="33"/>
      <c r="EE21" s="34"/>
      <c r="EF21" s="35" t="str">
        <f t="shared" si="52"/>
        <v/>
      </c>
      <c r="EG21" s="36" t="str">
        <f t="shared" si="53"/>
        <v/>
      </c>
      <c r="EH21" s="37"/>
      <c r="EI21" s="33"/>
      <c r="EJ21" s="34"/>
      <c r="EK21" s="35" t="str">
        <f t="shared" si="54"/>
        <v/>
      </c>
      <c r="EL21" s="36" t="str">
        <f t="shared" si="55"/>
        <v/>
      </c>
      <c r="EM21" s="37"/>
      <c r="EN21" s="33"/>
      <c r="EO21" s="34"/>
      <c r="EP21" s="35" t="str">
        <f t="shared" si="56"/>
        <v/>
      </c>
      <c r="EQ21" s="36" t="str">
        <f t="shared" si="57"/>
        <v/>
      </c>
      <c r="ER21" s="37"/>
      <c r="ES21" s="33"/>
      <c r="ET21" s="34"/>
      <c r="EU21" s="35" t="str">
        <f t="shared" si="58"/>
        <v/>
      </c>
      <c r="EV21" s="36" t="str">
        <f t="shared" si="59"/>
        <v/>
      </c>
      <c r="EW21" s="37"/>
    </row>
    <row r="22" spans="1:153" ht="19.5" customHeight="1">
      <c r="A22" s="32">
        <f>IF(DAY(DATE(対象年度,11,19))&lt;&gt;19,"",19)</f>
        <v>19</v>
      </c>
      <c r="B22" s="32" t="str">
        <f>IF(DAY(DATE(対象年度,11,19))&lt;&gt;19,"",CHOOSE(WEEKDAY(DATE(対象年度,11,19),2),"月","火","水","木","金","土","日"))</f>
        <v>木</v>
      </c>
      <c r="C22" s="32" t="str">
        <f>IF(DAY(DATE(対象年度,11,19))&lt;&gt;19,"",IF(ISNUMBER(MATCH(DATE(対象年度,11,19),祝日リスト,0)),"祝",""))</f>
        <v/>
      </c>
      <c r="D22" s="33"/>
      <c r="E22" s="34"/>
      <c r="F22" s="35" t="str">
        <f t="shared" si="0"/>
        <v/>
      </c>
      <c r="G22" s="36" t="str">
        <f t="shared" si="1"/>
        <v/>
      </c>
      <c r="H22" s="37"/>
      <c r="I22" s="33"/>
      <c r="J22" s="34"/>
      <c r="K22" s="35" t="str">
        <f t="shared" si="2"/>
        <v/>
      </c>
      <c r="L22" s="36" t="str">
        <f t="shared" si="3"/>
        <v/>
      </c>
      <c r="M22" s="37"/>
      <c r="N22" s="33"/>
      <c r="O22" s="34"/>
      <c r="P22" s="35" t="str">
        <f t="shared" si="4"/>
        <v/>
      </c>
      <c r="Q22" s="36" t="str">
        <f t="shared" si="5"/>
        <v/>
      </c>
      <c r="R22" s="37"/>
      <c r="S22" s="33"/>
      <c r="T22" s="34"/>
      <c r="U22" s="35" t="str">
        <f t="shared" si="6"/>
        <v/>
      </c>
      <c r="V22" s="36" t="str">
        <f t="shared" si="7"/>
        <v/>
      </c>
      <c r="W22" s="37"/>
      <c r="X22" s="33"/>
      <c r="Y22" s="34"/>
      <c r="Z22" s="35" t="str">
        <f t="shared" si="8"/>
        <v/>
      </c>
      <c r="AA22" s="36" t="str">
        <f t="shared" si="9"/>
        <v/>
      </c>
      <c r="AB22" s="37"/>
      <c r="AC22" s="33"/>
      <c r="AD22" s="34"/>
      <c r="AE22" s="35" t="str">
        <f t="shared" si="10"/>
        <v/>
      </c>
      <c r="AF22" s="36" t="str">
        <f t="shared" si="11"/>
        <v/>
      </c>
      <c r="AG22" s="37"/>
      <c r="AH22" s="33"/>
      <c r="AI22" s="34"/>
      <c r="AJ22" s="35" t="str">
        <f t="shared" si="12"/>
        <v/>
      </c>
      <c r="AK22" s="36" t="str">
        <f t="shared" si="13"/>
        <v/>
      </c>
      <c r="AL22" s="37"/>
      <c r="AM22" s="33"/>
      <c r="AN22" s="34"/>
      <c r="AO22" s="35" t="str">
        <f t="shared" si="14"/>
        <v/>
      </c>
      <c r="AP22" s="36" t="str">
        <f t="shared" si="15"/>
        <v/>
      </c>
      <c r="AQ22" s="37"/>
      <c r="AR22" s="33"/>
      <c r="AS22" s="34"/>
      <c r="AT22" s="35" t="str">
        <f t="shared" si="16"/>
        <v/>
      </c>
      <c r="AU22" s="36" t="str">
        <f t="shared" si="17"/>
        <v/>
      </c>
      <c r="AV22" s="37"/>
      <c r="AW22" s="33"/>
      <c r="AX22" s="34"/>
      <c r="AY22" s="35" t="str">
        <f t="shared" si="18"/>
        <v/>
      </c>
      <c r="AZ22" s="36" t="str">
        <f t="shared" si="19"/>
        <v/>
      </c>
      <c r="BA22" s="37"/>
      <c r="BB22" s="33"/>
      <c r="BC22" s="34"/>
      <c r="BD22" s="35" t="str">
        <f t="shared" si="20"/>
        <v/>
      </c>
      <c r="BE22" s="36" t="str">
        <f t="shared" si="21"/>
        <v/>
      </c>
      <c r="BF22" s="37"/>
      <c r="BG22" s="33"/>
      <c r="BH22" s="34"/>
      <c r="BI22" s="35" t="str">
        <f t="shared" si="22"/>
        <v/>
      </c>
      <c r="BJ22" s="36" t="str">
        <f t="shared" si="23"/>
        <v/>
      </c>
      <c r="BK22" s="37"/>
      <c r="BL22" s="33"/>
      <c r="BM22" s="34"/>
      <c r="BN22" s="35" t="str">
        <f t="shared" si="24"/>
        <v/>
      </c>
      <c r="BO22" s="36" t="str">
        <f t="shared" si="25"/>
        <v/>
      </c>
      <c r="BP22" s="37"/>
      <c r="BQ22" s="33"/>
      <c r="BR22" s="34"/>
      <c r="BS22" s="35" t="str">
        <f t="shared" si="26"/>
        <v/>
      </c>
      <c r="BT22" s="36" t="str">
        <f t="shared" si="27"/>
        <v/>
      </c>
      <c r="BU22" s="37"/>
      <c r="BV22" s="33"/>
      <c r="BW22" s="34"/>
      <c r="BX22" s="35" t="str">
        <f t="shared" si="28"/>
        <v/>
      </c>
      <c r="BY22" s="36" t="str">
        <f t="shared" si="29"/>
        <v/>
      </c>
      <c r="BZ22" s="37"/>
      <c r="CA22" s="33"/>
      <c r="CB22" s="34"/>
      <c r="CC22" s="35" t="str">
        <f t="shared" si="30"/>
        <v/>
      </c>
      <c r="CD22" s="36" t="str">
        <f t="shared" si="31"/>
        <v/>
      </c>
      <c r="CE22" s="37"/>
      <c r="CF22" s="33"/>
      <c r="CG22" s="34"/>
      <c r="CH22" s="35" t="str">
        <f t="shared" si="32"/>
        <v/>
      </c>
      <c r="CI22" s="36" t="str">
        <f t="shared" si="33"/>
        <v/>
      </c>
      <c r="CJ22" s="37"/>
      <c r="CK22" s="33"/>
      <c r="CL22" s="34"/>
      <c r="CM22" s="35" t="str">
        <f t="shared" si="34"/>
        <v/>
      </c>
      <c r="CN22" s="36" t="str">
        <f t="shared" si="35"/>
        <v/>
      </c>
      <c r="CO22" s="37"/>
      <c r="CP22" s="33"/>
      <c r="CQ22" s="34"/>
      <c r="CR22" s="35" t="str">
        <f t="shared" si="36"/>
        <v/>
      </c>
      <c r="CS22" s="36" t="str">
        <f t="shared" si="37"/>
        <v/>
      </c>
      <c r="CT22" s="37"/>
      <c r="CU22" s="33"/>
      <c r="CV22" s="34"/>
      <c r="CW22" s="35" t="str">
        <f t="shared" si="38"/>
        <v/>
      </c>
      <c r="CX22" s="36" t="str">
        <f t="shared" si="39"/>
        <v/>
      </c>
      <c r="CY22" s="37"/>
      <c r="CZ22" s="33"/>
      <c r="DA22" s="34"/>
      <c r="DB22" s="35" t="str">
        <f t="shared" si="40"/>
        <v/>
      </c>
      <c r="DC22" s="36" t="str">
        <f t="shared" si="41"/>
        <v/>
      </c>
      <c r="DD22" s="37"/>
      <c r="DE22" s="33"/>
      <c r="DF22" s="34"/>
      <c r="DG22" s="35" t="str">
        <f t="shared" si="42"/>
        <v/>
      </c>
      <c r="DH22" s="36" t="str">
        <f t="shared" si="43"/>
        <v/>
      </c>
      <c r="DI22" s="37"/>
      <c r="DJ22" s="33"/>
      <c r="DK22" s="34"/>
      <c r="DL22" s="35" t="str">
        <f t="shared" si="44"/>
        <v/>
      </c>
      <c r="DM22" s="36" t="str">
        <f t="shared" si="45"/>
        <v/>
      </c>
      <c r="DN22" s="37"/>
      <c r="DO22" s="33"/>
      <c r="DP22" s="34"/>
      <c r="DQ22" s="35" t="str">
        <f t="shared" si="46"/>
        <v/>
      </c>
      <c r="DR22" s="36" t="str">
        <f t="shared" si="47"/>
        <v/>
      </c>
      <c r="DS22" s="37"/>
      <c r="DT22" s="33"/>
      <c r="DU22" s="34"/>
      <c r="DV22" s="35" t="str">
        <f t="shared" si="48"/>
        <v/>
      </c>
      <c r="DW22" s="36" t="str">
        <f t="shared" si="49"/>
        <v/>
      </c>
      <c r="DX22" s="37"/>
      <c r="DY22" s="33"/>
      <c r="DZ22" s="34"/>
      <c r="EA22" s="35" t="str">
        <f t="shared" si="50"/>
        <v/>
      </c>
      <c r="EB22" s="36" t="str">
        <f t="shared" si="51"/>
        <v/>
      </c>
      <c r="EC22" s="37"/>
      <c r="ED22" s="33"/>
      <c r="EE22" s="34"/>
      <c r="EF22" s="35" t="str">
        <f t="shared" si="52"/>
        <v/>
      </c>
      <c r="EG22" s="36" t="str">
        <f t="shared" si="53"/>
        <v/>
      </c>
      <c r="EH22" s="37"/>
      <c r="EI22" s="33"/>
      <c r="EJ22" s="34"/>
      <c r="EK22" s="35" t="str">
        <f t="shared" si="54"/>
        <v/>
      </c>
      <c r="EL22" s="36" t="str">
        <f t="shared" si="55"/>
        <v/>
      </c>
      <c r="EM22" s="37"/>
      <c r="EN22" s="33"/>
      <c r="EO22" s="34"/>
      <c r="EP22" s="35" t="str">
        <f t="shared" si="56"/>
        <v/>
      </c>
      <c r="EQ22" s="36" t="str">
        <f t="shared" si="57"/>
        <v/>
      </c>
      <c r="ER22" s="37"/>
      <c r="ES22" s="33"/>
      <c r="ET22" s="34"/>
      <c r="EU22" s="35" t="str">
        <f t="shared" si="58"/>
        <v/>
      </c>
      <c r="EV22" s="36" t="str">
        <f t="shared" si="59"/>
        <v/>
      </c>
      <c r="EW22" s="37"/>
    </row>
    <row r="23" spans="1:153" ht="19.5" customHeight="1">
      <c r="A23" s="32">
        <f>IF(DAY(DATE(対象年度,11,20))&lt;&gt;20,"",20)</f>
        <v>20</v>
      </c>
      <c r="B23" s="32" t="str">
        <f>IF(DAY(DATE(対象年度,11,20))&lt;&gt;20,"",CHOOSE(WEEKDAY(DATE(対象年度,11,20),2),"月","火","水","木","金","土","日"))</f>
        <v>金</v>
      </c>
      <c r="C23" s="32" t="str">
        <f>IF(DAY(DATE(対象年度,11,20))&lt;&gt;20,"",IF(ISNUMBER(MATCH(DATE(対象年度,11,20),祝日リスト,0)),"祝",""))</f>
        <v/>
      </c>
      <c r="D23" s="33"/>
      <c r="E23" s="34"/>
      <c r="F23" s="35" t="str">
        <f t="shared" si="0"/>
        <v/>
      </c>
      <c r="G23" s="36" t="str">
        <f t="shared" si="1"/>
        <v/>
      </c>
      <c r="H23" s="37"/>
      <c r="I23" s="33"/>
      <c r="J23" s="34"/>
      <c r="K23" s="35" t="str">
        <f t="shared" si="2"/>
        <v/>
      </c>
      <c r="L23" s="36" t="str">
        <f t="shared" si="3"/>
        <v/>
      </c>
      <c r="M23" s="37"/>
      <c r="N23" s="33"/>
      <c r="O23" s="34"/>
      <c r="P23" s="35" t="str">
        <f t="shared" si="4"/>
        <v/>
      </c>
      <c r="Q23" s="36" t="str">
        <f t="shared" si="5"/>
        <v/>
      </c>
      <c r="R23" s="37"/>
      <c r="S23" s="33"/>
      <c r="T23" s="34"/>
      <c r="U23" s="35" t="str">
        <f t="shared" si="6"/>
        <v/>
      </c>
      <c r="V23" s="36" t="str">
        <f t="shared" si="7"/>
        <v/>
      </c>
      <c r="W23" s="37"/>
      <c r="X23" s="33"/>
      <c r="Y23" s="34"/>
      <c r="Z23" s="35" t="str">
        <f t="shared" si="8"/>
        <v/>
      </c>
      <c r="AA23" s="36" t="str">
        <f t="shared" si="9"/>
        <v/>
      </c>
      <c r="AB23" s="37"/>
      <c r="AC23" s="33"/>
      <c r="AD23" s="34"/>
      <c r="AE23" s="35" t="str">
        <f t="shared" si="10"/>
        <v/>
      </c>
      <c r="AF23" s="36" t="str">
        <f t="shared" si="11"/>
        <v/>
      </c>
      <c r="AG23" s="37"/>
      <c r="AH23" s="33"/>
      <c r="AI23" s="34"/>
      <c r="AJ23" s="35" t="str">
        <f t="shared" si="12"/>
        <v/>
      </c>
      <c r="AK23" s="36" t="str">
        <f t="shared" si="13"/>
        <v/>
      </c>
      <c r="AL23" s="37"/>
      <c r="AM23" s="33"/>
      <c r="AN23" s="34"/>
      <c r="AO23" s="35" t="str">
        <f t="shared" si="14"/>
        <v/>
      </c>
      <c r="AP23" s="36" t="str">
        <f t="shared" si="15"/>
        <v/>
      </c>
      <c r="AQ23" s="37"/>
      <c r="AR23" s="33"/>
      <c r="AS23" s="34"/>
      <c r="AT23" s="35" t="str">
        <f t="shared" si="16"/>
        <v/>
      </c>
      <c r="AU23" s="36" t="str">
        <f t="shared" si="17"/>
        <v/>
      </c>
      <c r="AV23" s="37"/>
      <c r="AW23" s="33"/>
      <c r="AX23" s="34"/>
      <c r="AY23" s="35" t="str">
        <f t="shared" si="18"/>
        <v/>
      </c>
      <c r="AZ23" s="36" t="str">
        <f t="shared" si="19"/>
        <v/>
      </c>
      <c r="BA23" s="37"/>
      <c r="BB23" s="33"/>
      <c r="BC23" s="34"/>
      <c r="BD23" s="35" t="str">
        <f t="shared" si="20"/>
        <v/>
      </c>
      <c r="BE23" s="36" t="str">
        <f t="shared" si="21"/>
        <v/>
      </c>
      <c r="BF23" s="37"/>
      <c r="BG23" s="33"/>
      <c r="BH23" s="34"/>
      <c r="BI23" s="35" t="str">
        <f t="shared" si="22"/>
        <v/>
      </c>
      <c r="BJ23" s="36" t="str">
        <f t="shared" si="23"/>
        <v/>
      </c>
      <c r="BK23" s="37"/>
      <c r="BL23" s="33"/>
      <c r="BM23" s="34"/>
      <c r="BN23" s="35" t="str">
        <f t="shared" si="24"/>
        <v/>
      </c>
      <c r="BO23" s="36" t="str">
        <f t="shared" si="25"/>
        <v/>
      </c>
      <c r="BP23" s="37"/>
      <c r="BQ23" s="33"/>
      <c r="BR23" s="34"/>
      <c r="BS23" s="35" t="str">
        <f t="shared" si="26"/>
        <v/>
      </c>
      <c r="BT23" s="36" t="str">
        <f t="shared" si="27"/>
        <v/>
      </c>
      <c r="BU23" s="37"/>
      <c r="BV23" s="33"/>
      <c r="BW23" s="34"/>
      <c r="BX23" s="35" t="str">
        <f t="shared" si="28"/>
        <v/>
      </c>
      <c r="BY23" s="36" t="str">
        <f t="shared" si="29"/>
        <v/>
      </c>
      <c r="BZ23" s="37"/>
      <c r="CA23" s="33"/>
      <c r="CB23" s="34"/>
      <c r="CC23" s="35" t="str">
        <f t="shared" si="30"/>
        <v/>
      </c>
      <c r="CD23" s="36" t="str">
        <f t="shared" si="31"/>
        <v/>
      </c>
      <c r="CE23" s="37"/>
      <c r="CF23" s="33"/>
      <c r="CG23" s="34"/>
      <c r="CH23" s="35" t="str">
        <f t="shared" si="32"/>
        <v/>
      </c>
      <c r="CI23" s="36" t="str">
        <f t="shared" si="33"/>
        <v/>
      </c>
      <c r="CJ23" s="37"/>
      <c r="CK23" s="33"/>
      <c r="CL23" s="34"/>
      <c r="CM23" s="35" t="str">
        <f t="shared" si="34"/>
        <v/>
      </c>
      <c r="CN23" s="36" t="str">
        <f t="shared" si="35"/>
        <v/>
      </c>
      <c r="CO23" s="37"/>
      <c r="CP23" s="33"/>
      <c r="CQ23" s="34"/>
      <c r="CR23" s="35" t="str">
        <f t="shared" si="36"/>
        <v/>
      </c>
      <c r="CS23" s="36" t="str">
        <f t="shared" si="37"/>
        <v/>
      </c>
      <c r="CT23" s="37"/>
      <c r="CU23" s="33"/>
      <c r="CV23" s="34"/>
      <c r="CW23" s="35" t="str">
        <f t="shared" si="38"/>
        <v/>
      </c>
      <c r="CX23" s="36" t="str">
        <f t="shared" si="39"/>
        <v/>
      </c>
      <c r="CY23" s="37"/>
      <c r="CZ23" s="33"/>
      <c r="DA23" s="34"/>
      <c r="DB23" s="35" t="str">
        <f t="shared" si="40"/>
        <v/>
      </c>
      <c r="DC23" s="36" t="str">
        <f t="shared" si="41"/>
        <v/>
      </c>
      <c r="DD23" s="37"/>
      <c r="DE23" s="33"/>
      <c r="DF23" s="34"/>
      <c r="DG23" s="35" t="str">
        <f t="shared" si="42"/>
        <v/>
      </c>
      <c r="DH23" s="36" t="str">
        <f t="shared" si="43"/>
        <v/>
      </c>
      <c r="DI23" s="37"/>
      <c r="DJ23" s="33"/>
      <c r="DK23" s="34"/>
      <c r="DL23" s="35" t="str">
        <f t="shared" si="44"/>
        <v/>
      </c>
      <c r="DM23" s="36" t="str">
        <f t="shared" si="45"/>
        <v/>
      </c>
      <c r="DN23" s="37"/>
      <c r="DO23" s="33"/>
      <c r="DP23" s="34"/>
      <c r="DQ23" s="35" t="str">
        <f t="shared" si="46"/>
        <v/>
      </c>
      <c r="DR23" s="36" t="str">
        <f t="shared" si="47"/>
        <v/>
      </c>
      <c r="DS23" s="37"/>
      <c r="DT23" s="33"/>
      <c r="DU23" s="34"/>
      <c r="DV23" s="35" t="str">
        <f t="shared" si="48"/>
        <v/>
      </c>
      <c r="DW23" s="36" t="str">
        <f t="shared" si="49"/>
        <v/>
      </c>
      <c r="DX23" s="37"/>
      <c r="DY23" s="33"/>
      <c r="DZ23" s="34"/>
      <c r="EA23" s="35" t="str">
        <f t="shared" si="50"/>
        <v/>
      </c>
      <c r="EB23" s="36" t="str">
        <f t="shared" si="51"/>
        <v/>
      </c>
      <c r="EC23" s="37"/>
      <c r="ED23" s="33"/>
      <c r="EE23" s="34"/>
      <c r="EF23" s="35" t="str">
        <f t="shared" si="52"/>
        <v/>
      </c>
      <c r="EG23" s="36" t="str">
        <f t="shared" si="53"/>
        <v/>
      </c>
      <c r="EH23" s="37"/>
      <c r="EI23" s="33"/>
      <c r="EJ23" s="34"/>
      <c r="EK23" s="35" t="str">
        <f t="shared" si="54"/>
        <v/>
      </c>
      <c r="EL23" s="36" t="str">
        <f t="shared" si="55"/>
        <v/>
      </c>
      <c r="EM23" s="37"/>
      <c r="EN23" s="33"/>
      <c r="EO23" s="34"/>
      <c r="EP23" s="35" t="str">
        <f t="shared" si="56"/>
        <v/>
      </c>
      <c r="EQ23" s="36" t="str">
        <f t="shared" si="57"/>
        <v/>
      </c>
      <c r="ER23" s="37"/>
      <c r="ES23" s="33"/>
      <c r="ET23" s="34"/>
      <c r="EU23" s="35" t="str">
        <f t="shared" si="58"/>
        <v/>
      </c>
      <c r="EV23" s="36" t="str">
        <f t="shared" si="59"/>
        <v/>
      </c>
      <c r="EW23" s="37"/>
    </row>
    <row r="24" spans="1:153" ht="19.5" customHeight="1">
      <c r="A24" s="32">
        <f>IF(DAY(DATE(対象年度,11,21))&lt;&gt;21,"",21)</f>
        <v>21</v>
      </c>
      <c r="B24" s="32" t="str">
        <f>IF(DAY(DATE(対象年度,11,21))&lt;&gt;21,"",CHOOSE(WEEKDAY(DATE(対象年度,11,21),2),"月","火","水","木","金","土","日"))</f>
        <v>土</v>
      </c>
      <c r="C24" s="32" t="str">
        <f>IF(DAY(DATE(対象年度,11,21))&lt;&gt;21,"",IF(ISNUMBER(MATCH(DATE(対象年度,11,21),祝日リスト,0)),"祝",""))</f>
        <v/>
      </c>
      <c r="D24" s="33"/>
      <c r="E24" s="34"/>
      <c r="F24" s="35" t="str">
        <f t="shared" si="0"/>
        <v/>
      </c>
      <c r="G24" s="36" t="str">
        <f t="shared" si="1"/>
        <v/>
      </c>
      <c r="H24" s="37"/>
      <c r="I24" s="33"/>
      <c r="J24" s="34"/>
      <c r="K24" s="35" t="str">
        <f t="shared" si="2"/>
        <v/>
      </c>
      <c r="L24" s="36" t="str">
        <f t="shared" si="3"/>
        <v/>
      </c>
      <c r="M24" s="37"/>
      <c r="N24" s="33"/>
      <c r="O24" s="34"/>
      <c r="P24" s="35" t="str">
        <f t="shared" si="4"/>
        <v/>
      </c>
      <c r="Q24" s="36" t="str">
        <f t="shared" si="5"/>
        <v/>
      </c>
      <c r="R24" s="37"/>
      <c r="S24" s="33"/>
      <c r="T24" s="34"/>
      <c r="U24" s="35" t="str">
        <f t="shared" si="6"/>
        <v/>
      </c>
      <c r="V24" s="36" t="str">
        <f t="shared" si="7"/>
        <v/>
      </c>
      <c r="W24" s="37"/>
      <c r="X24" s="33"/>
      <c r="Y24" s="34"/>
      <c r="Z24" s="35" t="str">
        <f t="shared" si="8"/>
        <v/>
      </c>
      <c r="AA24" s="36" t="str">
        <f t="shared" si="9"/>
        <v/>
      </c>
      <c r="AB24" s="37"/>
      <c r="AC24" s="33"/>
      <c r="AD24" s="34"/>
      <c r="AE24" s="35" t="str">
        <f t="shared" si="10"/>
        <v/>
      </c>
      <c r="AF24" s="36" t="str">
        <f t="shared" si="11"/>
        <v/>
      </c>
      <c r="AG24" s="37"/>
      <c r="AH24" s="33"/>
      <c r="AI24" s="34"/>
      <c r="AJ24" s="35" t="str">
        <f t="shared" si="12"/>
        <v/>
      </c>
      <c r="AK24" s="36" t="str">
        <f t="shared" si="13"/>
        <v/>
      </c>
      <c r="AL24" s="37"/>
      <c r="AM24" s="33"/>
      <c r="AN24" s="34"/>
      <c r="AO24" s="35" t="str">
        <f t="shared" si="14"/>
        <v/>
      </c>
      <c r="AP24" s="36" t="str">
        <f t="shared" si="15"/>
        <v/>
      </c>
      <c r="AQ24" s="37"/>
      <c r="AR24" s="33"/>
      <c r="AS24" s="34"/>
      <c r="AT24" s="35" t="str">
        <f t="shared" si="16"/>
        <v/>
      </c>
      <c r="AU24" s="36" t="str">
        <f t="shared" si="17"/>
        <v/>
      </c>
      <c r="AV24" s="37"/>
      <c r="AW24" s="33"/>
      <c r="AX24" s="34"/>
      <c r="AY24" s="35" t="str">
        <f t="shared" si="18"/>
        <v/>
      </c>
      <c r="AZ24" s="36" t="str">
        <f t="shared" si="19"/>
        <v/>
      </c>
      <c r="BA24" s="37"/>
      <c r="BB24" s="33"/>
      <c r="BC24" s="34"/>
      <c r="BD24" s="35" t="str">
        <f t="shared" si="20"/>
        <v/>
      </c>
      <c r="BE24" s="36" t="str">
        <f t="shared" si="21"/>
        <v/>
      </c>
      <c r="BF24" s="37"/>
      <c r="BG24" s="33"/>
      <c r="BH24" s="34"/>
      <c r="BI24" s="35" t="str">
        <f t="shared" si="22"/>
        <v/>
      </c>
      <c r="BJ24" s="36" t="str">
        <f t="shared" si="23"/>
        <v/>
      </c>
      <c r="BK24" s="37"/>
      <c r="BL24" s="33"/>
      <c r="BM24" s="34"/>
      <c r="BN24" s="35" t="str">
        <f t="shared" si="24"/>
        <v/>
      </c>
      <c r="BO24" s="36" t="str">
        <f t="shared" si="25"/>
        <v/>
      </c>
      <c r="BP24" s="37"/>
      <c r="BQ24" s="33"/>
      <c r="BR24" s="34"/>
      <c r="BS24" s="35" t="str">
        <f t="shared" si="26"/>
        <v/>
      </c>
      <c r="BT24" s="36" t="str">
        <f t="shared" si="27"/>
        <v/>
      </c>
      <c r="BU24" s="37"/>
      <c r="BV24" s="33"/>
      <c r="BW24" s="34"/>
      <c r="BX24" s="35" t="str">
        <f t="shared" si="28"/>
        <v/>
      </c>
      <c r="BY24" s="36" t="str">
        <f t="shared" si="29"/>
        <v/>
      </c>
      <c r="BZ24" s="37"/>
      <c r="CA24" s="33"/>
      <c r="CB24" s="34"/>
      <c r="CC24" s="35" t="str">
        <f t="shared" si="30"/>
        <v/>
      </c>
      <c r="CD24" s="36" t="str">
        <f t="shared" si="31"/>
        <v/>
      </c>
      <c r="CE24" s="37"/>
      <c r="CF24" s="33"/>
      <c r="CG24" s="34"/>
      <c r="CH24" s="35" t="str">
        <f t="shared" si="32"/>
        <v/>
      </c>
      <c r="CI24" s="36" t="str">
        <f t="shared" si="33"/>
        <v/>
      </c>
      <c r="CJ24" s="37"/>
      <c r="CK24" s="33"/>
      <c r="CL24" s="34"/>
      <c r="CM24" s="35" t="str">
        <f t="shared" si="34"/>
        <v/>
      </c>
      <c r="CN24" s="36" t="str">
        <f t="shared" si="35"/>
        <v/>
      </c>
      <c r="CO24" s="37"/>
      <c r="CP24" s="33"/>
      <c r="CQ24" s="34"/>
      <c r="CR24" s="35" t="str">
        <f t="shared" si="36"/>
        <v/>
      </c>
      <c r="CS24" s="36" t="str">
        <f t="shared" si="37"/>
        <v/>
      </c>
      <c r="CT24" s="37"/>
      <c r="CU24" s="33"/>
      <c r="CV24" s="34"/>
      <c r="CW24" s="35" t="str">
        <f t="shared" si="38"/>
        <v/>
      </c>
      <c r="CX24" s="36" t="str">
        <f t="shared" si="39"/>
        <v/>
      </c>
      <c r="CY24" s="37"/>
      <c r="CZ24" s="33"/>
      <c r="DA24" s="34"/>
      <c r="DB24" s="35" t="str">
        <f t="shared" si="40"/>
        <v/>
      </c>
      <c r="DC24" s="36" t="str">
        <f t="shared" si="41"/>
        <v/>
      </c>
      <c r="DD24" s="37"/>
      <c r="DE24" s="33"/>
      <c r="DF24" s="34"/>
      <c r="DG24" s="35" t="str">
        <f t="shared" si="42"/>
        <v/>
      </c>
      <c r="DH24" s="36" t="str">
        <f t="shared" si="43"/>
        <v/>
      </c>
      <c r="DI24" s="37"/>
      <c r="DJ24" s="33"/>
      <c r="DK24" s="34"/>
      <c r="DL24" s="35" t="str">
        <f t="shared" si="44"/>
        <v/>
      </c>
      <c r="DM24" s="36" t="str">
        <f t="shared" si="45"/>
        <v/>
      </c>
      <c r="DN24" s="37"/>
      <c r="DO24" s="33"/>
      <c r="DP24" s="34"/>
      <c r="DQ24" s="35" t="str">
        <f t="shared" si="46"/>
        <v/>
      </c>
      <c r="DR24" s="36" t="str">
        <f t="shared" si="47"/>
        <v/>
      </c>
      <c r="DS24" s="37"/>
      <c r="DT24" s="33"/>
      <c r="DU24" s="34"/>
      <c r="DV24" s="35" t="str">
        <f t="shared" si="48"/>
        <v/>
      </c>
      <c r="DW24" s="36" t="str">
        <f t="shared" si="49"/>
        <v/>
      </c>
      <c r="DX24" s="37"/>
      <c r="DY24" s="33"/>
      <c r="DZ24" s="34"/>
      <c r="EA24" s="35" t="str">
        <f t="shared" si="50"/>
        <v/>
      </c>
      <c r="EB24" s="36" t="str">
        <f t="shared" si="51"/>
        <v/>
      </c>
      <c r="EC24" s="37"/>
      <c r="ED24" s="33"/>
      <c r="EE24" s="34"/>
      <c r="EF24" s="35" t="str">
        <f t="shared" si="52"/>
        <v/>
      </c>
      <c r="EG24" s="36" t="str">
        <f t="shared" si="53"/>
        <v/>
      </c>
      <c r="EH24" s="37"/>
      <c r="EI24" s="33"/>
      <c r="EJ24" s="34"/>
      <c r="EK24" s="35" t="str">
        <f t="shared" si="54"/>
        <v/>
      </c>
      <c r="EL24" s="36" t="str">
        <f t="shared" si="55"/>
        <v/>
      </c>
      <c r="EM24" s="37"/>
      <c r="EN24" s="33"/>
      <c r="EO24" s="34"/>
      <c r="EP24" s="35" t="str">
        <f t="shared" si="56"/>
        <v/>
      </c>
      <c r="EQ24" s="36" t="str">
        <f t="shared" si="57"/>
        <v/>
      </c>
      <c r="ER24" s="37"/>
      <c r="ES24" s="33"/>
      <c r="ET24" s="34"/>
      <c r="EU24" s="35" t="str">
        <f t="shared" si="58"/>
        <v/>
      </c>
      <c r="EV24" s="36" t="str">
        <f t="shared" si="59"/>
        <v/>
      </c>
      <c r="EW24" s="37"/>
    </row>
    <row r="25" spans="1:153" ht="19.5" customHeight="1">
      <c r="A25" s="32">
        <f>IF(DAY(DATE(対象年度,11,22))&lt;&gt;22,"",22)</f>
        <v>22</v>
      </c>
      <c r="B25" s="32" t="str">
        <f>IF(DAY(DATE(対象年度,11,22))&lt;&gt;22,"",CHOOSE(WEEKDAY(DATE(対象年度,11,22),2),"月","火","水","木","金","土","日"))</f>
        <v>日</v>
      </c>
      <c r="C25" s="32" t="str">
        <f>IF(DAY(DATE(対象年度,11,22))&lt;&gt;22,"",IF(ISNUMBER(MATCH(DATE(対象年度,11,22),祝日リスト,0)),"祝",""))</f>
        <v/>
      </c>
      <c r="D25" s="33"/>
      <c r="E25" s="34"/>
      <c r="F25" s="35" t="str">
        <f t="shared" si="0"/>
        <v/>
      </c>
      <c r="G25" s="36" t="str">
        <f t="shared" si="1"/>
        <v/>
      </c>
      <c r="H25" s="37"/>
      <c r="I25" s="33"/>
      <c r="J25" s="34"/>
      <c r="K25" s="35" t="str">
        <f t="shared" si="2"/>
        <v/>
      </c>
      <c r="L25" s="36" t="str">
        <f t="shared" si="3"/>
        <v/>
      </c>
      <c r="M25" s="37"/>
      <c r="N25" s="33"/>
      <c r="O25" s="34"/>
      <c r="P25" s="35" t="str">
        <f t="shared" si="4"/>
        <v/>
      </c>
      <c r="Q25" s="36" t="str">
        <f t="shared" si="5"/>
        <v/>
      </c>
      <c r="R25" s="37"/>
      <c r="S25" s="33"/>
      <c r="T25" s="34"/>
      <c r="U25" s="35" t="str">
        <f t="shared" si="6"/>
        <v/>
      </c>
      <c r="V25" s="36" t="str">
        <f t="shared" si="7"/>
        <v/>
      </c>
      <c r="W25" s="37"/>
      <c r="X25" s="33"/>
      <c r="Y25" s="34"/>
      <c r="Z25" s="35" t="str">
        <f t="shared" si="8"/>
        <v/>
      </c>
      <c r="AA25" s="36" t="str">
        <f t="shared" si="9"/>
        <v/>
      </c>
      <c r="AB25" s="37"/>
      <c r="AC25" s="33"/>
      <c r="AD25" s="34"/>
      <c r="AE25" s="35" t="str">
        <f t="shared" si="10"/>
        <v/>
      </c>
      <c r="AF25" s="36" t="str">
        <f t="shared" si="11"/>
        <v/>
      </c>
      <c r="AG25" s="37"/>
      <c r="AH25" s="33"/>
      <c r="AI25" s="34"/>
      <c r="AJ25" s="35" t="str">
        <f t="shared" si="12"/>
        <v/>
      </c>
      <c r="AK25" s="36" t="str">
        <f t="shared" si="13"/>
        <v/>
      </c>
      <c r="AL25" s="37"/>
      <c r="AM25" s="33"/>
      <c r="AN25" s="34"/>
      <c r="AO25" s="35" t="str">
        <f t="shared" si="14"/>
        <v/>
      </c>
      <c r="AP25" s="36" t="str">
        <f t="shared" si="15"/>
        <v/>
      </c>
      <c r="AQ25" s="37"/>
      <c r="AR25" s="33"/>
      <c r="AS25" s="34"/>
      <c r="AT25" s="35" t="str">
        <f t="shared" si="16"/>
        <v/>
      </c>
      <c r="AU25" s="36" t="str">
        <f t="shared" si="17"/>
        <v/>
      </c>
      <c r="AV25" s="37"/>
      <c r="AW25" s="33"/>
      <c r="AX25" s="34"/>
      <c r="AY25" s="35" t="str">
        <f t="shared" si="18"/>
        <v/>
      </c>
      <c r="AZ25" s="36" t="str">
        <f t="shared" si="19"/>
        <v/>
      </c>
      <c r="BA25" s="37"/>
      <c r="BB25" s="33"/>
      <c r="BC25" s="34"/>
      <c r="BD25" s="35" t="str">
        <f t="shared" si="20"/>
        <v/>
      </c>
      <c r="BE25" s="36" t="str">
        <f t="shared" si="21"/>
        <v/>
      </c>
      <c r="BF25" s="37"/>
      <c r="BG25" s="33"/>
      <c r="BH25" s="34"/>
      <c r="BI25" s="35" t="str">
        <f t="shared" si="22"/>
        <v/>
      </c>
      <c r="BJ25" s="36" t="str">
        <f t="shared" si="23"/>
        <v/>
      </c>
      <c r="BK25" s="37"/>
      <c r="BL25" s="33"/>
      <c r="BM25" s="34"/>
      <c r="BN25" s="35" t="str">
        <f t="shared" si="24"/>
        <v/>
      </c>
      <c r="BO25" s="36" t="str">
        <f t="shared" si="25"/>
        <v/>
      </c>
      <c r="BP25" s="37"/>
      <c r="BQ25" s="33"/>
      <c r="BR25" s="34"/>
      <c r="BS25" s="35" t="str">
        <f t="shared" si="26"/>
        <v/>
      </c>
      <c r="BT25" s="36" t="str">
        <f t="shared" si="27"/>
        <v/>
      </c>
      <c r="BU25" s="37"/>
      <c r="BV25" s="33"/>
      <c r="BW25" s="34"/>
      <c r="BX25" s="35" t="str">
        <f t="shared" si="28"/>
        <v/>
      </c>
      <c r="BY25" s="36" t="str">
        <f t="shared" si="29"/>
        <v/>
      </c>
      <c r="BZ25" s="37"/>
      <c r="CA25" s="33"/>
      <c r="CB25" s="34"/>
      <c r="CC25" s="35" t="str">
        <f t="shared" si="30"/>
        <v/>
      </c>
      <c r="CD25" s="36" t="str">
        <f t="shared" si="31"/>
        <v/>
      </c>
      <c r="CE25" s="37"/>
      <c r="CF25" s="33"/>
      <c r="CG25" s="34"/>
      <c r="CH25" s="35" t="str">
        <f t="shared" si="32"/>
        <v/>
      </c>
      <c r="CI25" s="36" t="str">
        <f t="shared" si="33"/>
        <v/>
      </c>
      <c r="CJ25" s="37"/>
      <c r="CK25" s="33"/>
      <c r="CL25" s="34"/>
      <c r="CM25" s="35" t="str">
        <f t="shared" si="34"/>
        <v/>
      </c>
      <c r="CN25" s="36" t="str">
        <f t="shared" si="35"/>
        <v/>
      </c>
      <c r="CO25" s="37"/>
      <c r="CP25" s="33"/>
      <c r="CQ25" s="34"/>
      <c r="CR25" s="35" t="str">
        <f t="shared" si="36"/>
        <v/>
      </c>
      <c r="CS25" s="36" t="str">
        <f t="shared" si="37"/>
        <v/>
      </c>
      <c r="CT25" s="37"/>
      <c r="CU25" s="33"/>
      <c r="CV25" s="34"/>
      <c r="CW25" s="35" t="str">
        <f t="shared" si="38"/>
        <v/>
      </c>
      <c r="CX25" s="36" t="str">
        <f t="shared" si="39"/>
        <v/>
      </c>
      <c r="CY25" s="37"/>
      <c r="CZ25" s="33"/>
      <c r="DA25" s="34"/>
      <c r="DB25" s="35" t="str">
        <f t="shared" si="40"/>
        <v/>
      </c>
      <c r="DC25" s="36" t="str">
        <f t="shared" si="41"/>
        <v/>
      </c>
      <c r="DD25" s="37"/>
      <c r="DE25" s="33"/>
      <c r="DF25" s="34"/>
      <c r="DG25" s="35" t="str">
        <f t="shared" si="42"/>
        <v/>
      </c>
      <c r="DH25" s="36" t="str">
        <f t="shared" si="43"/>
        <v/>
      </c>
      <c r="DI25" s="37"/>
      <c r="DJ25" s="33"/>
      <c r="DK25" s="34"/>
      <c r="DL25" s="35" t="str">
        <f t="shared" si="44"/>
        <v/>
      </c>
      <c r="DM25" s="36" t="str">
        <f t="shared" si="45"/>
        <v/>
      </c>
      <c r="DN25" s="37"/>
      <c r="DO25" s="33"/>
      <c r="DP25" s="34"/>
      <c r="DQ25" s="35" t="str">
        <f t="shared" si="46"/>
        <v/>
      </c>
      <c r="DR25" s="36" t="str">
        <f t="shared" si="47"/>
        <v/>
      </c>
      <c r="DS25" s="37"/>
      <c r="DT25" s="33"/>
      <c r="DU25" s="34"/>
      <c r="DV25" s="35" t="str">
        <f t="shared" si="48"/>
        <v/>
      </c>
      <c r="DW25" s="36" t="str">
        <f t="shared" si="49"/>
        <v/>
      </c>
      <c r="DX25" s="37"/>
      <c r="DY25" s="33"/>
      <c r="DZ25" s="34"/>
      <c r="EA25" s="35" t="str">
        <f t="shared" si="50"/>
        <v/>
      </c>
      <c r="EB25" s="36" t="str">
        <f t="shared" si="51"/>
        <v/>
      </c>
      <c r="EC25" s="37"/>
      <c r="ED25" s="33"/>
      <c r="EE25" s="34"/>
      <c r="EF25" s="35" t="str">
        <f t="shared" si="52"/>
        <v/>
      </c>
      <c r="EG25" s="36" t="str">
        <f t="shared" si="53"/>
        <v/>
      </c>
      <c r="EH25" s="37"/>
      <c r="EI25" s="33"/>
      <c r="EJ25" s="34"/>
      <c r="EK25" s="35" t="str">
        <f t="shared" si="54"/>
        <v/>
      </c>
      <c r="EL25" s="36" t="str">
        <f t="shared" si="55"/>
        <v/>
      </c>
      <c r="EM25" s="37"/>
      <c r="EN25" s="33"/>
      <c r="EO25" s="34"/>
      <c r="EP25" s="35" t="str">
        <f t="shared" si="56"/>
        <v/>
      </c>
      <c r="EQ25" s="36" t="str">
        <f t="shared" si="57"/>
        <v/>
      </c>
      <c r="ER25" s="37"/>
      <c r="ES25" s="33"/>
      <c r="ET25" s="34"/>
      <c r="EU25" s="35" t="str">
        <f t="shared" si="58"/>
        <v/>
      </c>
      <c r="EV25" s="36" t="str">
        <f t="shared" si="59"/>
        <v/>
      </c>
      <c r="EW25" s="37"/>
    </row>
    <row r="26" spans="1:153" ht="19.5" customHeight="1">
      <c r="A26" s="32">
        <f>IF(DAY(DATE(対象年度,11,23))&lt;&gt;23,"",23)</f>
        <v>23</v>
      </c>
      <c r="B26" s="32" t="str">
        <f>IF(DAY(DATE(対象年度,11,23))&lt;&gt;23,"",CHOOSE(WEEKDAY(DATE(対象年度,11,23),2),"月","火","水","木","金","土","日"))</f>
        <v>月</v>
      </c>
      <c r="C26" s="32" t="str">
        <f>IF(DAY(DATE(対象年度,11,23))&lt;&gt;23,"",IF(ISNUMBER(MATCH(DATE(対象年度,11,23),祝日リスト,0)),"祝",""))</f>
        <v>祝</v>
      </c>
      <c r="D26" s="33"/>
      <c r="E26" s="34"/>
      <c r="F26" s="35" t="str">
        <f t="shared" si="0"/>
        <v/>
      </c>
      <c r="G26" s="36" t="str">
        <f t="shared" si="1"/>
        <v/>
      </c>
      <c r="H26" s="37"/>
      <c r="I26" s="33"/>
      <c r="J26" s="34"/>
      <c r="K26" s="35" t="str">
        <f t="shared" si="2"/>
        <v/>
      </c>
      <c r="L26" s="36" t="str">
        <f t="shared" si="3"/>
        <v/>
      </c>
      <c r="M26" s="37"/>
      <c r="N26" s="33"/>
      <c r="O26" s="34"/>
      <c r="P26" s="35" t="str">
        <f t="shared" si="4"/>
        <v/>
      </c>
      <c r="Q26" s="36" t="str">
        <f t="shared" si="5"/>
        <v/>
      </c>
      <c r="R26" s="37"/>
      <c r="S26" s="33"/>
      <c r="T26" s="34"/>
      <c r="U26" s="35" t="str">
        <f t="shared" si="6"/>
        <v/>
      </c>
      <c r="V26" s="36" t="str">
        <f t="shared" si="7"/>
        <v/>
      </c>
      <c r="W26" s="37"/>
      <c r="X26" s="33"/>
      <c r="Y26" s="34"/>
      <c r="Z26" s="35" t="str">
        <f t="shared" si="8"/>
        <v/>
      </c>
      <c r="AA26" s="36" t="str">
        <f t="shared" si="9"/>
        <v/>
      </c>
      <c r="AB26" s="37"/>
      <c r="AC26" s="33"/>
      <c r="AD26" s="34"/>
      <c r="AE26" s="35" t="str">
        <f t="shared" si="10"/>
        <v/>
      </c>
      <c r="AF26" s="36" t="str">
        <f t="shared" si="11"/>
        <v/>
      </c>
      <c r="AG26" s="37"/>
      <c r="AH26" s="33"/>
      <c r="AI26" s="34"/>
      <c r="AJ26" s="35" t="str">
        <f t="shared" si="12"/>
        <v/>
      </c>
      <c r="AK26" s="36" t="str">
        <f t="shared" si="13"/>
        <v/>
      </c>
      <c r="AL26" s="37"/>
      <c r="AM26" s="33"/>
      <c r="AN26" s="34"/>
      <c r="AO26" s="35" t="str">
        <f t="shared" si="14"/>
        <v/>
      </c>
      <c r="AP26" s="36" t="str">
        <f t="shared" si="15"/>
        <v/>
      </c>
      <c r="AQ26" s="37"/>
      <c r="AR26" s="33"/>
      <c r="AS26" s="34"/>
      <c r="AT26" s="35" t="str">
        <f t="shared" si="16"/>
        <v/>
      </c>
      <c r="AU26" s="36" t="str">
        <f t="shared" si="17"/>
        <v/>
      </c>
      <c r="AV26" s="37"/>
      <c r="AW26" s="33"/>
      <c r="AX26" s="34"/>
      <c r="AY26" s="35" t="str">
        <f t="shared" si="18"/>
        <v/>
      </c>
      <c r="AZ26" s="36" t="str">
        <f t="shared" si="19"/>
        <v/>
      </c>
      <c r="BA26" s="37"/>
      <c r="BB26" s="33"/>
      <c r="BC26" s="34"/>
      <c r="BD26" s="35" t="str">
        <f t="shared" si="20"/>
        <v/>
      </c>
      <c r="BE26" s="36" t="str">
        <f t="shared" si="21"/>
        <v/>
      </c>
      <c r="BF26" s="37"/>
      <c r="BG26" s="33"/>
      <c r="BH26" s="34"/>
      <c r="BI26" s="35" t="str">
        <f t="shared" si="22"/>
        <v/>
      </c>
      <c r="BJ26" s="36" t="str">
        <f t="shared" si="23"/>
        <v/>
      </c>
      <c r="BK26" s="37"/>
      <c r="BL26" s="33"/>
      <c r="BM26" s="34"/>
      <c r="BN26" s="35" t="str">
        <f t="shared" si="24"/>
        <v/>
      </c>
      <c r="BO26" s="36" t="str">
        <f t="shared" si="25"/>
        <v/>
      </c>
      <c r="BP26" s="37"/>
      <c r="BQ26" s="33"/>
      <c r="BR26" s="34"/>
      <c r="BS26" s="35" t="str">
        <f t="shared" si="26"/>
        <v/>
      </c>
      <c r="BT26" s="36" t="str">
        <f t="shared" si="27"/>
        <v/>
      </c>
      <c r="BU26" s="37"/>
      <c r="BV26" s="33"/>
      <c r="BW26" s="34"/>
      <c r="BX26" s="35" t="str">
        <f t="shared" si="28"/>
        <v/>
      </c>
      <c r="BY26" s="36" t="str">
        <f t="shared" si="29"/>
        <v/>
      </c>
      <c r="BZ26" s="37"/>
      <c r="CA26" s="33"/>
      <c r="CB26" s="34"/>
      <c r="CC26" s="35" t="str">
        <f t="shared" si="30"/>
        <v/>
      </c>
      <c r="CD26" s="36" t="str">
        <f t="shared" si="31"/>
        <v/>
      </c>
      <c r="CE26" s="37"/>
      <c r="CF26" s="33"/>
      <c r="CG26" s="34"/>
      <c r="CH26" s="35" t="str">
        <f t="shared" si="32"/>
        <v/>
      </c>
      <c r="CI26" s="36" t="str">
        <f t="shared" si="33"/>
        <v/>
      </c>
      <c r="CJ26" s="37"/>
      <c r="CK26" s="33"/>
      <c r="CL26" s="34"/>
      <c r="CM26" s="35" t="str">
        <f t="shared" si="34"/>
        <v/>
      </c>
      <c r="CN26" s="36" t="str">
        <f t="shared" si="35"/>
        <v/>
      </c>
      <c r="CO26" s="37"/>
      <c r="CP26" s="33"/>
      <c r="CQ26" s="34"/>
      <c r="CR26" s="35" t="str">
        <f t="shared" si="36"/>
        <v/>
      </c>
      <c r="CS26" s="36" t="str">
        <f t="shared" si="37"/>
        <v/>
      </c>
      <c r="CT26" s="37"/>
      <c r="CU26" s="33"/>
      <c r="CV26" s="34"/>
      <c r="CW26" s="35" t="str">
        <f t="shared" si="38"/>
        <v/>
      </c>
      <c r="CX26" s="36" t="str">
        <f t="shared" si="39"/>
        <v/>
      </c>
      <c r="CY26" s="37"/>
      <c r="CZ26" s="33"/>
      <c r="DA26" s="34"/>
      <c r="DB26" s="35" t="str">
        <f t="shared" si="40"/>
        <v/>
      </c>
      <c r="DC26" s="36" t="str">
        <f t="shared" si="41"/>
        <v/>
      </c>
      <c r="DD26" s="37"/>
      <c r="DE26" s="33"/>
      <c r="DF26" s="34"/>
      <c r="DG26" s="35" t="str">
        <f t="shared" si="42"/>
        <v/>
      </c>
      <c r="DH26" s="36" t="str">
        <f t="shared" si="43"/>
        <v/>
      </c>
      <c r="DI26" s="37"/>
      <c r="DJ26" s="33"/>
      <c r="DK26" s="34"/>
      <c r="DL26" s="35" t="str">
        <f t="shared" si="44"/>
        <v/>
      </c>
      <c r="DM26" s="36" t="str">
        <f t="shared" si="45"/>
        <v/>
      </c>
      <c r="DN26" s="37"/>
      <c r="DO26" s="33"/>
      <c r="DP26" s="34"/>
      <c r="DQ26" s="35" t="str">
        <f t="shared" si="46"/>
        <v/>
      </c>
      <c r="DR26" s="36" t="str">
        <f t="shared" si="47"/>
        <v/>
      </c>
      <c r="DS26" s="37"/>
      <c r="DT26" s="33"/>
      <c r="DU26" s="34"/>
      <c r="DV26" s="35" t="str">
        <f t="shared" si="48"/>
        <v/>
      </c>
      <c r="DW26" s="36" t="str">
        <f t="shared" si="49"/>
        <v/>
      </c>
      <c r="DX26" s="37"/>
      <c r="DY26" s="33"/>
      <c r="DZ26" s="34"/>
      <c r="EA26" s="35" t="str">
        <f t="shared" si="50"/>
        <v/>
      </c>
      <c r="EB26" s="36" t="str">
        <f t="shared" si="51"/>
        <v/>
      </c>
      <c r="EC26" s="37"/>
      <c r="ED26" s="33"/>
      <c r="EE26" s="34"/>
      <c r="EF26" s="35" t="str">
        <f t="shared" si="52"/>
        <v/>
      </c>
      <c r="EG26" s="36" t="str">
        <f t="shared" si="53"/>
        <v/>
      </c>
      <c r="EH26" s="37"/>
      <c r="EI26" s="33"/>
      <c r="EJ26" s="34"/>
      <c r="EK26" s="35" t="str">
        <f t="shared" si="54"/>
        <v/>
      </c>
      <c r="EL26" s="36" t="str">
        <f t="shared" si="55"/>
        <v/>
      </c>
      <c r="EM26" s="37"/>
      <c r="EN26" s="33"/>
      <c r="EO26" s="34"/>
      <c r="EP26" s="35" t="str">
        <f t="shared" si="56"/>
        <v/>
      </c>
      <c r="EQ26" s="36" t="str">
        <f t="shared" si="57"/>
        <v/>
      </c>
      <c r="ER26" s="37"/>
      <c r="ES26" s="33"/>
      <c r="ET26" s="34"/>
      <c r="EU26" s="35" t="str">
        <f t="shared" si="58"/>
        <v/>
      </c>
      <c r="EV26" s="36" t="str">
        <f t="shared" si="59"/>
        <v/>
      </c>
      <c r="EW26" s="37"/>
    </row>
    <row r="27" spans="1:153" ht="19.5" customHeight="1">
      <c r="A27" s="32">
        <f>IF(DAY(DATE(対象年度,11,24))&lt;&gt;24,"",24)</f>
        <v>24</v>
      </c>
      <c r="B27" s="32" t="str">
        <f>IF(DAY(DATE(対象年度,11,24))&lt;&gt;24,"",CHOOSE(WEEKDAY(DATE(対象年度,11,24),2),"月","火","水","木","金","土","日"))</f>
        <v>火</v>
      </c>
      <c r="C27" s="32" t="str">
        <f>IF(DAY(DATE(対象年度,11,24))&lt;&gt;24,"",IF(ISNUMBER(MATCH(DATE(対象年度,11,24),祝日リスト,0)),"祝",""))</f>
        <v/>
      </c>
      <c r="D27" s="33"/>
      <c r="E27" s="34"/>
      <c r="F27" s="35" t="str">
        <f t="shared" si="0"/>
        <v/>
      </c>
      <c r="G27" s="36" t="str">
        <f t="shared" si="1"/>
        <v/>
      </c>
      <c r="H27" s="37"/>
      <c r="I27" s="33"/>
      <c r="J27" s="34"/>
      <c r="K27" s="35" t="str">
        <f t="shared" si="2"/>
        <v/>
      </c>
      <c r="L27" s="36" t="str">
        <f t="shared" si="3"/>
        <v/>
      </c>
      <c r="M27" s="37"/>
      <c r="N27" s="33"/>
      <c r="O27" s="34"/>
      <c r="P27" s="35" t="str">
        <f t="shared" si="4"/>
        <v/>
      </c>
      <c r="Q27" s="36" t="str">
        <f t="shared" si="5"/>
        <v/>
      </c>
      <c r="R27" s="37"/>
      <c r="S27" s="33"/>
      <c r="T27" s="34"/>
      <c r="U27" s="35" t="str">
        <f t="shared" si="6"/>
        <v/>
      </c>
      <c r="V27" s="36" t="str">
        <f t="shared" si="7"/>
        <v/>
      </c>
      <c r="W27" s="37"/>
      <c r="X27" s="33"/>
      <c r="Y27" s="34"/>
      <c r="Z27" s="35" t="str">
        <f t="shared" si="8"/>
        <v/>
      </c>
      <c r="AA27" s="36" t="str">
        <f t="shared" si="9"/>
        <v/>
      </c>
      <c r="AB27" s="37"/>
      <c r="AC27" s="33"/>
      <c r="AD27" s="34"/>
      <c r="AE27" s="35" t="str">
        <f t="shared" si="10"/>
        <v/>
      </c>
      <c r="AF27" s="36" t="str">
        <f t="shared" si="11"/>
        <v/>
      </c>
      <c r="AG27" s="37"/>
      <c r="AH27" s="33"/>
      <c r="AI27" s="34"/>
      <c r="AJ27" s="35" t="str">
        <f t="shared" si="12"/>
        <v/>
      </c>
      <c r="AK27" s="36" t="str">
        <f t="shared" si="13"/>
        <v/>
      </c>
      <c r="AL27" s="37"/>
      <c r="AM27" s="33"/>
      <c r="AN27" s="34"/>
      <c r="AO27" s="35" t="str">
        <f t="shared" si="14"/>
        <v/>
      </c>
      <c r="AP27" s="36" t="str">
        <f t="shared" si="15"/>
        <v/>
      </c>
      <c r="AQ27" s="37"/>
      <c r="AR27" s="33"/>
      <c r="AS27" s="34"/>
      <c r="AT27" s="35" t="str">
        <f t="shared" si="16"/>
        <v/>
      </c>
      <c r="AU27" s="36" t="str">
        <f t="shared" si="17"/>
        <v/>
      </c>
      <c r="AV27" s="37"/>
      <c r="AW27" s="33"/>
      <c r="AX27" s="34"/>
      <c r="AY27" s="35" t="str">
        <f t="shared" si="18"/>
        <v/>
      </c>
      <c r="AZ27" s="36" t="str">
        <f t="shared" si="19"/>
        <v/>
      </c>
      <c r="BA27" s="37"/>
      <c r="BB27" s="33"/>
      <c r="BC27" s="34"/>
      <c r="BD27" s="35" t="str">
        <f t="shared" si="20"/>
        <v/>
      </c>
      <c r="BE27" s="36" t="str">
        <f t="shared" si="21"/>
        <v/>
      </c>
      <c r="BF27" s="37"/>
      <c r="BG27" s="33"/>
      <c r="BH27" s="34"/>
      <c r="BI27" s="35" t="str">
        <f t="shared" si="22"/>
        <v/>
      </c>
      <c r="BJ27" s="36" t="str">
        <f t="shared" si="23"/>
        <v/>
      </c>
      <c r="BK27" s="37"/>
      <c r="BL27" s="33"/>
      <c r="BM27" s="34"/>
      <c r="BN27" s="35" t="str">
        <f t="shared" si="24"/>
        <v/>
      </c>
      <c r="BO27" s="36" t="str">
        <f t="shared" si="25"/>
        <v/>
      </c>
      <c r="BP27" s="37"/>
      <c r="BQ27" s="33"/>
      <c r="BR27" s="34"/>
      <c r="BS27" s="35" t="str">
        <f t="shared" si="26"/>
        <v/>
      </c>
      <c r="BT27" s="36" t="str">
        <f t="shared" si="27"/>
        <v/>
      </c>
      <c r="BU27" s="37"/>
      <c r="BV27" s="33"/>
      <c r="BW27" s="34"/>
      <c r="BX27" s="35" t="str">
        <f t="shared" si="28"/>
        <v/>
      </c>
      <c r="BY27" s="36" t="str">
        <f t="shared" si="29"/>
        <v/>
      </c>
      <c r="BZ27" s="37"/>
      <c r="CA27" s="33"/>
      <c r="CB27" s="34"/>
      <c r="CC27" s="35" t="str">
        <f t="shared" si="30"/>
        <v/>
      </c>
      <c r="CD27" s="36" t="str">
        <f t="shared" si="31"/>
        <v/>
      </c>
      <c r="CE27" s="37"/>
      <c r="CF27" s="33"/>
      <c r="CG27" s="34"/>
      <c r="CH27" s="35" t="str">
        <f t="shared" si="32"/>
        <v/>
      </c>
      <c r="CI27" s="36" t="str">
        <f t="shared" si="33"/>
        <v/>
      </c>
      <c r="CJ27" s="37"/>
      <c r="CK27" s="33"/>
      <c r="CL27" s="34"/>
      <c r="CM27" s="35" t="str">
        <f t="shared" si="34"/>
        <v/>
      </c>
      <c r="CN27" s="36" t="str">
        <f t="shared" si="35"/>
        <v/>
      </c>
      <c r="CO27" s="37"/>
      <c r="CP27" s="33"/>
      <c r="CQ27" s="34"/>
      <c r="CR27" s="35" t="str">
        <f t="shared" si="36"/>
        <v/>
      </c>
      <c r="CS27" s="36" t="str">
        <f t="shared" si="37"/>
        <v/>
      </c>
      <c r="CT27" s="37"/>
      <c r="CU27" s="33"/>
      <c r="CV27" s="34"/>
      <c r="CW27" s="35" t="str">
        <f t="shared" si="38"/>
        <v/>
      </c>
      <c r="CX27" s="36" t="str">
        <f t="shared" si="39"/>
        <v/>
      </c>
      <c r="CY27" s="37"/>
      <c r="CZ27" s="33"/>
      <c r="DA27" s="34"/>
      <c r="DB27" s="35" t="str">
        <f t="shared" si="40"/>
        <v/>
      </c>
      <c r="DC27" s="36" t="str">
        <f t="shared" si="41"/>
        <v/>
      </c>
      <c r="DD27" s="37"/>
      <c r="DE27" s="33"/>
      <c r="DF27" s="34"/>
      <c r="DG27" s="35" t="str">
        <f t="shared" si="42"/>
        <v/>
      </c>
      <c r="DH27" s="36" t="str">
        <f t="shared" si="43"/>
        <v/>
      </c>
      <c r="DI27" s="37"/>
      <c r="DJ27" s="33"/>
      <c r="DK27" s="34"/>
      <c r="DL27" s="35" t="str">
        <f t="shared" si="44"/>
        <v/>
      </c>
      <c r="DM27" s="36" t="str">
        <f t="shared" si="45"/>
        <v/>
      </c>
      <c r="DN27" s="37"/>
      <c r="DO27" s="33"/>
      <c r="DP27" s="34"/>
      <c r="DQ27" s="35" t="str">
        <f t="shared" si="46"/>
        <v/>
      </c>
      <c r="DR27" s="36" t="str">
        <f t="shared" si="47"/>
        <v/>
      </c>
      <c r="DS27" s="37"/>
      <c r="DT27" s="33"/>
      <c r="DU27" s="34"/>
      <c r="DV27" s="35" t="str">
        <f t="shared" si="48"/>
        <v/>
      </c>
      <c r="DW27" s="36" t="str">
        <f t="shared" si="49"/>
        <v/>
      </c>
      <c r="DX27" s="37"/>
      <c r="DY27" s="33"/>
      <c r="DZ27" s="34"/>
      <c r="EA27" s="35" t="str">
        <f t="shared" si="50"/>
        <v/>
      </c>
      <c r="EB27" s="36" t="str">
        <f t="shared" si="51"/>
        <v/>
      </c>
      <c r="EC27" s="37"/>
      <c r="ED27" s="33"/>
      <c r="EE27" s="34"/>
      <c r="EF27" s="35" t="str">
        <f t="shared" si="52"/>
        <v/>
      </c>
      <c r="EG27" s="36" t="str">
        <f t="shared" si="53"/>
        <v/>
      </c>
      <c r="EH27" s="37"/>
      <c r="EI27" s="33"/>
      <c r="EJ27" s="34"/>
      <c r="EK27" s="35" t="str">
        <f t="shared" si="54"/>
        <v/>
      </c>
      <c r="EL27" s="36" t="str">
        <f t="shared" si="55"/>
        <v/>
      </c>
      <c r="EM27" s="37"/>
      <c r="EN27" s="33"/>
      <c r="EO27" s="34"/>
      <c r="EP27" s="35" t="str">
        <f t="shared" si="56"/>
        <v/>
      </c>
      <c r="EQ27" s="36" t="str">
        <f t="shared" si="57"/>
        <v/>
      </c>
      <c r="ER27" s="37"/>
      <c r="ES27" s="33"/>
      <c r="ET27" s="34"/>
      <c r="EU27" s="35" t="str">
        <f t="shared" si="58"/>
        <v/>
      </c>
      <c r="EV27" s="36" t="str">
        <f t="shared" si="59"/>
        <v/>
      </c>
      <c r="EW27" s="37"/>
    </row>
    <row r="28" spans="1:153" ht="19.5" customHeight="1">
      <c r="A28" s="32">
        <f>IF(DAY(DATE(対象年度,11,25))&lt;&gt;25,"",25)</f>
        <v>25</v>
      </c>
      <c r="B28" s="32" t="str">
        <f>IF(DAY(DATE(対象年度,11,25))&lt;&gt;25,"",CHOOSE(WEEKDAY(DATE(対象年度,11,25),2),"月","火","水","木","金","土","日"))</f>
        <v>水</v>
      </c>
      <c r="C28" s="32" t="str">
        <f>IF(DAY(DATE(対象年度,11,25))&lt;&gt;25,"",IF(ISNUMBER(MATCH(DATE(対象年度,11,25),祝日リスト,0)),"祝",""))</f>
        <v/>
      </c>
      <c r="D28" s="33"/>
      <c r="E28" s="34"/>
      <c r="F28" s="35" t="str">
        <f t="shared" si="0"/>
        <v/>
      </c>
      <c r="G28" s="36" t="str">
        <f t="shared" si="1"/>
        <v/>
      </c>
      <c r="H28" s="37"/>
      <c r="I28" s="33"/>
      <c r="J28" s="34"/>
      <c r="K28" s="35" t="str">
        <f t="shared" si="2"/>
        <v/>
      </c>
      <c r="L28" s="36" t="str">
        <f t="shared" si="3"/>
        <v/>
      </c>
      <c r="M28" s="37"/>
      <c r="N28" s="33"/>
      <c r="O28" s="34"/>
      <c r="P28" s="35" t="str">
        <f t="shared" si="4"/>
        <v/>
      </c>
      <c r="Q28" s="36" t="str">
        <f t="shared" si="5"/>
        <v/>
      </c>
      <c r="R28" s="37"/>
      <c r="S28" s="33"/>
      <c r="T28" s="34"/>
      <c r="U28" s="35" t="str">
        <f t="shared" si="6"/>
        <v/>
      </c>
      <c r="V28" s="36" t="str">
        <f t="shared" si="7"/>
        <v/>
      </c>
      <c r="W28" s="37"/>
      <c r="X28" s="33"/>
      <c r="Y28" s="34"/>
      <c r="Z28" s="35" t="str">
        <f t="shared" si="8"/>
        <v/>
      </c>
      <c r="AA28" s="36" t="str">
        <f t="shared" si="9"/>
        <v/>
      </c>
      <c r="AB28" s="37"/>
      <c r="AC28" s="33"/>
      <c r="AD28" s="34"/>
      <c r="AE28" s="35" t="str">
        <f t="shared" si="10"/>
        <v/>
      </c>
      <c r="AF28" s="36" t="str">
        <f t="shared" si="11"/>
        <v/>
      </c>
      <c r="AG28" s="37"/>
      <c r="AH28" s="33"/>
      <c r="AI28" s="34"/>
      <c r="AJ28" s="35" t="str">
        <f t="shared" si="12"/>
        <v/>
      </c>
      <c r="AK28" s="36" t="str">
        <f t="shared" si="13"/>
        <v/>
      </c>
      <c r="AL28" s="37"/>
      <c r="AM28" s="33"/>
      <c r="AN28" s="34"/>
      <c r="AO28" s="35" t="str">
        <f t="shared" si="14"/>
        <v/>
      </c>
      <c r="AP28" s="36" t="str">
        <f t="shared" si="15"/>
        <v/>
      </c>
      <c r="AQ28" s="37"/>
      <c r="AR28" s="33"/>
      <c r="AS28" s="34"/>
      <c r="AT28" s="35" t="str">
        <f t="shared" si="16"/>
        <v/>
      </c>
      <c r="AU28" s="36" t="str">
        <f t="shared" si="17"/>
        <v/>
      </c>
      <c r="AV28" s="37"/>
      <c r="AW28" s="33"/>
      <c r="AX28" s="34"/>
      <c r="AY28" s="35" t="str">
        <f t="shared" si="18"/>
        <v/>
      </c>
      <c r="AZ28" s="36" t="str">
        <f t="shared" si="19"/>
        <v/>
      </c>
      <c r="BA28" s="37"/>
      <c r="BB28" s="33"/>
      <c r="BC28" s="34"/>
      <c r="BD28" s="35" t="str">
        <f t="shared" si="20"/>
        <v/>
      </c>
      <c r="BE28" s="36" t="str">
        <f t="shared" si="21"/>
        <v/>
      </c>
      <c r="BF28" s="37"/>
      <c r="BG28" s="33"/>
      <c r="BH28" s="34"/>
      <c r="BI28" s="35" t="str">
        <f t="shared" si="22"/>
        <v/>
      </c>
      <c r="BJ28" s="36" t="str">
        <f t="shared" si="23"/>
        <v/>
      </c>
      <c r="BK28" s="37"/>
      <c r="BL28" s="33"/>
      <c r="BM28" s="34"/>
      <c r="BN28" s="35" t="str">
        <f t="shared" si="24"/>
        <v/>
      </c>
      <c r="BO28" s="36" t="str">
        <f t="shared" si="25"/>
        <v/>
      </c>
      <c r="BP28" s="37"/>
      <c r="BQ28" s="33"/>
      <c r="BR28" s="34"/>
      <c r="BS28" s="35" t="str">
        <f t="shared" si="26"/>
        <v/>
      </c>
      <c r="BT28" s="36" t="str">
        <f t="shared" si="27"/>
        <v/>
      </c>
      <c r="BU28" s="37"/>
      <c r="BV28" s="33"/>
      <c r="BW28" s="34"/>
      <c r="BX28" s="35" t="str">
        <f t="shared" si="28"/>
        <v/>
      </c>
      <c r="BY28" s="36" t="str">
        <f t="shared" si="29"/>
        <v/>
      </c>
      <c r="BZ28" s="37"/>
      <c r="CA28" s="33"/>
      <c r="CB28" s="34"/>
      <c r="CC28" s="35" t="str">
        <f t="shared" si="30"/>
        <v/>
      </c>
      <c r="CD28" s="36" t="str">
        <f t="shared" si="31"/>
        <v/>
      </c>
      <c r="CE28" s="37"/>
      <c r="CF28" s="33"/>
      <c r="CG28" s="34"/>
      <c r="CH28" s="35" t="str">
        <f t="shared" si="32"/>
        <v/>
      </c>
      <c r="CI28" s="36" t="str">
        <f t="shared" si="33"/>
        <v/>
      </c>
      <c r="CJ28" s="37"/>
      <c r="CK28" s="33"/>
      <c r="CL28" s="34"/>
      <c r="CM28" s="35" t="str">
        <f t="shared" si="34"/>
        <v/>
      </c>
      <c r="CN28" s="36" t="str">
        <f t="shared" si="35"/>
        <v/>
      </c>
      <c r="CO28" s="37"/>
      <c r="CP28" s="33"/>
      <c r="CQ28" s="34"/>
      <c r="CR28" s="35" t="str">
        <f t="shared" si="36"/>
        <v/>
      </c>
      <c r="CS28" s="36" t="str">
        <f t="shared" si="37"/>
        <v/>
      </c>
      <c r="CT28" s="37"/>
      <c r="CU28" s="33"/>
      <c r="CV28" s="34"/>
      <c r="CW28" s="35" t="str">
        <f t="shared" si="38"/>
        <v/>
      </c>
      <c r="CX28" s="36" t="str">
        <f t="shared" si="39"/>
        <v/>
      </c>
      <c r="CY28" s="37"/>
      <c r="CZ28" s="33"/>
      <c r="DA28" s="34"/>
      <c r="DB28" s="35" t="str">
        <f t="shared" si="40"/>
        <v/>
      </c>
      <c r="DC28" s="36" t="str">
        <f t="shared" si="41"/>
        <v/>
      </c>
      <c r="DD28" s="37"/>
      <c r="DE28" s="33"/>
      <c r="DF28" s="34"/>
      <c r="DG28" s="35" t="str">
        <f t="shared" si="42"/>
        <v/>
      </c>
      <c r="DH28" s="36" t="str">
        <f t="shared" si="43"/>
        <v/>
      </c>
      <c r="DI28" s="37"/>
      <c r="DJ28" s="33"/>
      <c r="DK28" s="34"/>
      <c r="DL28" s="35" t="str">
        <f t="shared" si="44"/>
        <v/>
      </c>
      <c r="DM28" s="36" t="str">
        <f t="shared" si="45"/>
        <v/>
      </c>
      <c r="DN28" s="37"/>
      <c r="DO28" s="33"/>
      <c r="DP28" s="34"/>
      <c r="DQ28" s="35" t="str">
        <f t="shared" si="46"/>
        <v/>
      </c>
      <c r="DR28" s="36" t="str">
        <f t="shared" si="47"/>
        <v/>
      </c>
      <c r="DS28" s="37"/>
      <c r="DT28" s="33"/>
      <c r="DU28" s="34"/>
      <c r="DV28" s="35" t="str">
        <f t="shared" si="48"/>
        <v/>
      </c>
      <c r="DW28" s="36" t="str">
        <f t="shared" si="49"/>
        <v/>
      </c>
      <c r="DX28" s="37"/>
      <c r="DY28" s="33"/>
      <c r="DZ28" s="34"/>
      <c r="EA28" s="35" t="str">
        <f t="shared" si="50"/>
        <v/>
      </c>
      <c r="EB28" s="36" t="str">
        <f t="shared" si="51"/>
        <v/>
      </c>
      <c r="EC28" s="37"/>
      <c r="ED28" s="33"/>
      <c r="EE28" s="34"/>
      <c r="EF28" s="35" t="str">
        <f t="shared" si="52"/>
        <v/>
      </c>
      <c r="EG28" s="36" t="str">
        <f t="shared" si="53"/>
        <v/>
      </c>
      <c r="EH28" s="37"/>
      <c r="EI28" s="33"/>
      <c r="EJ28" s="34"/>
      <c r="EK28" s="35" t="str">
        <f t="shared" si="54"/>
        <v/>
      </c>
      <c r="EL28" s="36" t="str">
        <f t="shared" si="55"/>
        <v/>
      </c>
      <c r="EM28" s="37"/>
      <c r="EN28" s="33"/>
      <c r="EO28" s="34"/>
      <c r="EP28" s="35" t="str">
        <f t="shared" si="56"/>
        <v/>
      </c>
      <c r="EQ28" s="36" t="str">
        <f t="shared" si="57"/>
        <v/>
      </c>
      <c r="ER28" s="37"/>
      <c r="ES28" s="33"/>
      <c r="ET28" s="34"/>
      <c r="EU28" s="35" t="str">
        <f t="shared" si="58"/>
        <v/>
      </c>
      <c r="EV28" s="36" t="str">
        <f t="shared" si="59"/>
        <v/>
      </c>
      <c r="EW28" s="37"/>
    </row>
    <row r="29" spans="1:153" ht="19.5" customHeight="1">
      <c r="A29" s="32">
        <f>IF(DAY(DATE(対象年度,11,26))&lt;&gt;26,"",26)</f>
        <v>26</v>
      </c>
      <c r="B29" s="32" t="str">
        <f>IF(DAY(DATE(対象年度,11,26))&lt;&gt;26,"",CHOOSE(WEEKDAY(DATE(対象年度,11,26),2),"月","火","水","木","金","土","日"))</f>
        <v>木</v>
      </c>
      <c r="C29" s="32" t="str">
        <f>IF(DAY(DATE(対象年度,11,26))&lt;&gt;26,"",IF(ISNUMBER(MATCH(DATE(対象年度,11,26),祝日リスト,0)),"祝",""))</f>
        <v/>
      </c>
      <c r="D29" s="33"/>
      <c r="E29" s="34"/>
      <c r="F29" s="35" t="str">
        <f t="shared" si="0"/>
        <v/>
      </c>
      <c r="G29" s="36" t="str">
        <f t="shared" si="1"/>
        <v/>
      </c>
      <c r="H29" s="37"/>
      <c r="I29" s="33"/>
      <c r="J29" s="34"/>
      <c r="K29" s="35" t="str">
        <f t="shared" si="2"/>
        <v/>
      </c>
      <c r="L29" s="36" t="str">
        <f t="shared" si="3"/>
        <v/>
      </c>
      <c r="M29" s="37"/>
      <c r="N29" s="33"/>
      <c r="O29" s="34"/>
      <c r="P29" s="35" t="str">
        <f t="shared" si="4"/>
        <v/>
      </c>
      <c r="Q29" s="36" t="str">
        <f t="shared" si="5"/>
        <v/>
      </c>
      <c r="R29" s="37"/>
      <c r="S29" s="33"/>
      <c r="T29" s="34"/>
      <c r="U29" s="35" t="str">
        <f t="shared" si="6"/>
        <v/>
      </c>
      <c r="V29" s="36" t="str">
        <f t="shared" si="7"/>
        <v/>
      </c>
      <c r="W29" s="37"/>
      <c r="X29" s="33"/>
      <c r="Y29" s="34"/>
      <c r="Z29" s="35" t="str">
        <f t="shared" si="8"/>
        <v/>
      </c>
      <c r="AA29" s="36" t="str">
        <f t="shared" si="9"/>
        <v/>
      </c>
      <c r="AB29" s="37"/>
      <c r="AC29" s="33"/>
      <c r="AD29" s="34"/>
      <c r="AE29" s="35" t="str">
        <f t="shared" si="10"/>
        <v/>
      </c>
      <c r="AF29" s="36" t="str">
        <f t="shared" si="11"/>
        <v/>
      </c>
      <c r="AG29" s="37"/>
      <c r="AH29" s="33"/>
      <c r="AI29" s="34"/>
      <c r="AJ29" s="35" t="str">
        <f t="shared" si="12"/>
        <v/>
      </c>
      <c r="AK29" s="36" t="str">
        <f t="shared" si="13"/>
        <v/>
      </c>
      <c r="AL29" s="37"/>
      <c r="AM29" s="33"/>
      <c r="AN29" s="34"/>
      <c r="AO29" s="35" t="str">
        <f t="shared" si="14"/>
        <v/>
      </c>
      <c r="AP29" s="36" t="str">
        <f t="shared" si="15"/>
        <v/>
      </c>
      <c r="AQ29" s="37"/>
      <c r="AR29" s="33"/>
      <c r="AS29" s="34"/>
      <c r="AT29" s="35" t="str">
        <f t="shared" si="16"/>
        <v/>
      </c>
      <c r="AU29" s="36" t="str">
        <f t="shared" si="17"/>
        <v/>
      </c>
      <c r="AV29" s="37"/>
      <c r="AW29" s="33"/>
      <c r="AX29" s="34"/>
      <c r="AY29" s="35" t="str">
        <f t="shared" si="18"/>
        <v/>
      </c>
      <c r="AZ29" s="36" t="str">
        <f t="shared" si="19"/>
        <v/>
      </c>
      <c r="BA29" s="37"/>
      <c r="BB29" s="33"/>
      <c r="BC29" s="34"/>
      <c r="BD29" s="35" t="str">
        <f t="shared" si="20"/>
        <v/>
      </c>
      <c r="BE29" s="36" t="str">
        <f t="shared" si="21"/>
        <v/>
      </c>
      <c r="BF29" s="37"/>
      <c r="BG29" s="33"/>
      <c r="BH29" s="34"/>
      <c r="BI29" s="35" t="str">
        <f t="shared" si="22"/>
        <v/>
      </c>
      <c r="BJ29" s="36" t="str">
        <f t="shared" si="23"/>
        <v/>
      </c>
      <c r="BK29" s="37"/>
      <c r="BL29" s="33"/>
      <c r="BM29" s="34"/>
      <c r="BN29" s="35" t="str">
        <f t="shared" si="24"/>
        <v/>
      </c>
      <c r="BO29" s="36" t="str">
        <f t="shared" si="25"/>
        <v/>
      </c>
      <c r="BP29" s="37"/>
      <c r="BQ29" s="33"/>
      <c r="BR29" s="34"/>
      <c r="BS29" s="35" t="str">
        <f t="shared" si="26"/>
        <v/>
      </c>
      <c r="BT29" s="36" t="str">
        <f t="shared" si="27"/>
        <v/>
      </c>
      <c r="BU29" s="37"/>
      <c r="BV29" s="33"/>
      <c r="BW29" s="34"/>
      <c r="BX29" s="35" t="str">
        <f t="shared" si="28"/>
        <v/>
      </c>
      <c r="BY29" s="36" t="str">
        <f t="shared" si="29"/>
        <v/>
      </c>
      <c r="BZ29" s="37"/>
      <c r="CA29" s="33"/>
      <c r="CB29" s="34"/>
      <c r="CC29" s="35" t="str">
        <f t="shared" si="30"/>
        <v/>
      </c>
      <c r="CD29" s="36" t="str">
        <f t="shared" si="31"/>
        <v/>
      </c>
      <c r="CE29" s="37"/>
      <c r="CF29" s="33"/>
      <c r="CG29" s="34"/>
      <c r="CH29" s="35" t="str">
        <f t="shared" si="32"/>
        <v/>
      </c>
      <c r="CI29" s="36" t="str">
        <f t="shared" si="33"/>
        <v/>
      </c>
      <c r="CJ29" s="37"/>
      <c r="CK29" s="33"/>
      <c r="CL29" s="34"/>
      <c r="CM29" s="35" t="str">
        <f t="shared" si="34"/>
        <v/>
      </c>
      <c r="CN29" s="36" t="str">
        <f t="shared" si="35"/>
        <v/>
      </c>
      <c r="CO29" s="37"/>
      <c r="CP29" s="33"/>
      <c r="CQ29" s="34"/>
      <c r="CR29" s="35" t="str">
        <f t="shared" si="36"/>
        <v/>
      </c>
      <c r="CS29" s="36" t="str">
        <f t="shared" si="37"/>
        <v/>
      </c>
      <c r="CT29" s="37"/>
      <c r="CU29" s="33"/>
      <c r="CV29" s="34"/>
      <c r="CW29" s="35" t="str">
        <f t="shared" si="38"/>
        <v/>
      </c>
      <c r="CX29" s="36" t="str">
        <f t="shared" si="39"/>
        <v/>
      </c>
      <c r="CY29" s="37"/>
      <c r="CZ29" s="33"/>
      <c r="DA29" s="34"/>
      <c r="DB29" s="35" t="str">
        <f t="shared" si="40"/>
        <v/>
      </c>
      <c r="DC29" s="36" t="str">
        <f t="shared" si="41"/>
        <v/>
      </c>
      <c r="DD29" s="37"/>
      <c r="DE29" s="33"/>
      <c r="DF29" s="34"/>
      <c r="DG29" s="35" t="str">
        <f t="shared" si="42"/>
        <v/>
      </c>
      <c r="DH29" s="36" t="str">
        <f t="shared" si="43"/>
        <v/>
      </c>
      <c r="DI29" s="37"/>
      <c r="DJ29" s="33"/>
      <c r="DK29" s="34"/>
      <c r="DL29" s="35" t="str">
        <f t="shared" si="44"/>
        <v/>
      </c>
      <c r="DM29" s="36" t="str">
        <f t="shared" si="45"/>
        <v/>
      </c>
      <c r="DN29" s="37"/>
      <c r="DO29" s="33"/>
      <c r="DP29" s="34"/>
      <c r="DQ29" s="35" t="str">
        <f t="shared" si="46"/>
        <v/>
      </c>
      <c r="DR29" s="36" t="str">
        <f t="shared" si="47"/>
        <v/>
      </c>
      <c r="DS29" s="37"/>
      <c r="DT29" s="33"/>
      <c r="DU29" s="34"/>
      <c r="DV29" s="35" t="str">
        <f t="shared" si="48"/>
        <v/>
      </c>
      <c r="DW29" s="36" t="str">
        <f t="shared" si="49"/>
        <v/>
      </c>
      <c r="DX29" s="37"/>
      <c r="DY29" s="33"/>
      <c r="DZ29" s="34"/>
      <c r="EA29" s="35" t="str">
        <f t="shared" si="50"/>
        <v/>
      </c>
      <c r="EB29" s="36" t="str">
        <f t="shared" si="51"/>
        <v/>
      </c>
      <c r="EC29" s="37"/>
      <c r="ED29" s="33"/>
      <c r="EE29" s="34"/>
      <c r="EF29" s="35" t="str">
        <f t="shared" si="52"/>
        <v/>
      </c>
      <c r="EG29" s="36" t="str">
        <f t="shared" si="53"/>
        <v/>
      </c>
      <c r="EH29" s="37"/>
      <c r="EI29" s="33"/>
      <c r="EJ29" s="34"/>
      <c r="EK29" s="35" t="str">
        <f t="shared" si="54"/>
        <v/>
      </c>
      <c r="EL29" s="36" t="str">
        <f t="shared" si="55"/>
        <v/>
      </c>
      <c r="EM29" s="37"/>
      <c r="EN29" s="33"/>
      <c r="EO29" s="34"/>
      <c r="EP29" s="35" t="str">
        <f t="shared" si="56"/>
        <v/>
      </c>
      <c r="EQ29" s="36" t="str">
        <f t="shared" si="57"/>
        <v/>
      </c>
      <c r="ER29" s="37"/>
      <c r="ES29" s="33"/>
      <c r="ET29" s="34"/>
      <c r="EU29" s="35" t="str">
        <f t="shared" si="58"/>
        <v/>
      </c>
      <c r="EV29" s="36" t="str">
        <f t="shared" si="59"/>
        <v/>
      </c>
      <c r="EW29" s="37"/>
    </row>
    <row r="30" spans="1:153" ht="19.5" customHeight="1">
      <c r="A30" s="32">
        <f>IF(DAY(DATE(対象年度,11,27))&lt;&gt;27,"",27)</f>
        <v>27</v>
      </c>
      <c r="B30" s="32" t="str">
        <f>IF(DAY(DATE(対象年度,11,27))&lt;&gt;27,"",CHOOSE(WEEKDAY(DATE(対象年度,11,27),2),"月","火","水","木","金","土","日"))</f>
        <v>金</v>
      </c>
      <c r="C30" s="32" t="str">
        <f>IF(DAY(DATE(対象年度,11,27))&lt;&gt;27,"",IF(ISNUMBER(MATCH(DATE(対象年度,11,27),祝日リスト,0)),"祝",""))</f>
        <v/>
      </c>
      <c r="D30" s="33"/>
      <c r="E30" s="34"/>
      <c r="F30" s="35" t="str">
        <f t="shared" si="0"/>
        <v/>
      </c>
      <c r="G30" s="36" t="str">
        <f t="shared" si="1"/>
        <v/>
      </c>
      <c r="H30" s="37"/>
      <c r="I30" s="33"/>
      <c r="J30" s="34"/>
      <c r="K30" s="35" t="str">
        <f t="shared" si="2"/>
        <v/>
      </c>
      <c r="L30" s="36" t="str">
        <f t="shared" si="3"/>
        <v/>
      </c>
      <c r="M30" s="37"/>
      <c r="N30" s="33"/>
      <c r="O30" s="34"/>
      <c r="P30" s="35" t="str">
        <f t="shared" si="4"/>
        <v/>
      </c>
      <c r="Q30" s="36" t="str">
        <f t="shared" si="5"/>
        <v/>
      </c>
      <c r="R30" s="37"/>
      <c r="S30" s="33"/>
      <c r="T30" s="34"/>
      <c r="U30" s="35" t="str">
        <f t="shared" si="6"/>
        <v/>
      </c>
      <c r="V30" s="36" t="str">
        <f t="shared" si="7"/>
        <v/>
      </c>
      <c r="W30" s="37"/>
      <c r="X30" s="33"/>
      <c r="Y30" s="34"/>
      <c r="Z30" s="35" t="str">
        <f t="shared" si="8"/>
        <v/>
      </c>
      <c r="AA30" s="36" t="str">
        <f t="shared" si="9"/>
        <v/>
      </c>
      <c r="AB30" s="37"/>
      <c r="AC30" s="33"/>
      <c r="AD30" s="34"/>
      <c r="AE30" s="35" t="str">
        <f t="shared" si="10"/>
        <v/>
      </c>
      <c r="AF30" s="36" t="str">
        <f t="shared" si="11"/>
        <v/>
      </c>
      <c r="AG30" s="37"/>
      <c r="AH30" s="33"/>
      <c r="AI30" s="34"/>
      <c r="AJ30" s="35" t="str">
        <f t="shared" si="12"/>
        <v/>
      </c>
      <c r="AK30" s="36" t="str">
        <f t="shared" si="13"/>
        <v/>
      </c>
      <c r="AL30" s="37"/>
      <c r="AM30" s="33"/>
      <c r="AN30" s="34"/>
      <c r="AO30" s="35" t="str">
        <f t="shared" si="14"/>
        <v/>
      </c>
      <c r="AP30" s="36" t="str">
        <f t="shared" si="15"/>
        <v/>
      </c>
      <c r="AQ30" s="37"/>
      <c r="AR30" s="33"/>
      <c r="AS30" s="34"/>
      <c r="AT30" s="35" t="str">
        <f t="shared" si="16"/>
        <v/>
      </c>
      <c r="AU30" s="36" t="str">
        <f t="shared" si="17"/>
        <v/>
      </c>
      <c r="AV30" s="37"/>
      <c r="AW30" s="33"/>
      <c r="AX30" s="34"/>
      <c r="AY30" s="35" t="str">
        <f t="shared" si="18"/>
        <v/>
      </c>
      <c r="AZ30" s="36" t="str">
        <f t="shared" si="19"/>
        <v/>
      </c>
      <c r="BA30" s="37"/>
      <c r="BB30" s="33"/>
      <c r="BC30" s="34"/>
      <c r="BD30" s="35" t="str">
        <f t="shared" si="20"/>
        <v/>
      </c>
      <c r="BE30" s="36" t="str">
        <f t="shared" si="21"/>
        <v/>
      </c>
      <c r="BF30" s="37"/>
      <c r="BG30" s="33"/>
      <c r="BH30" s="34"/>
      <c r="BI30" s="35" t="str">
        <f t="shared" si="22"/>
        <v/>
      </c>
      <c r="BJ30" s="36" t="str">
        <f t="shared" si="23"/>
        <v/>
      </c>
      <c r="BK30" s="37"/>
      <c r="BL30" s="33"/>
      <c r="BM30" s="34"/>
      <c r="BN30" s="35" t="str">
        <f t="shared" si="24"/>
        <v/>
      </c>
      <c r="BO30" s="36" t="str">
        <f t="shared" si="25"/>
        <v/>
      </c>
      <c r="BP30" s="37"/>
      <c r="BQ30" s="33"/>
      <c r="BR30" s="34"/>
      <c r="BS30" s="35" t="str">
        <f t="shared" si="26"/>
        <v/>
      </c>
      <c r="BT30" s="36" t="str">
        <f t="shared" si="27"/>
        <v/>
      </c>
      <c r="BU30" s="37"/>
      <c r="BV30" s="33"/>
      <c r="BW30" s="34"/>
      <c r="BX30" s="35" t="str">
        <f t="shared" si="28"/>
        <v/>
      </c>
      <c r="BY30" s="36" t="str">
        <f t="shared" si="29"/>
        <v/>
      </c>
      <c r="BZ30" s="37"/>
      <c r="CA30" s="33"/>
      <c r="CB30" s="34"/>
      <c r="CC30" s="35" t="str">
        <f t="shared" si="30"/>
        <v/>
      </c>
      <c r="CD30" s="36" t="str">
        <f t="shared" si="31"/>
        <v/>
      </c>
      <c r="CE30" s="37"/>
      <c r="CF30" s="33"/>
      <c r="CG30" s="34"/>
      <c r="CH30" s="35" t="str">
        <f t="shared" si="32"/>
        <v/>
      </c>
      <c r="CI30" s="36" t="str">
        <f t="shared" si="33"/>
        <v/>
      </c>
      <c r="CJ30" s="37"/>
      <c r="CK30" s="33"/>
      <c r="CL30" s="34"/>
      <c r="CM30" s="35" t="str">
        <f t="shared" si="34"/>
        <v/>
      </c>
      <c r="CN30" s="36" t="str">
        <f t="shared" si="35"/>
        <v/>
      </c>
      <c r="CO30" s="37"/>
      <c r="CP30" s="33"/>
      <c r="CQ30" s="34"/>
      <c r="CR30" s="35" t="str">
        <f t="shared" si="36"/>
        <v/>
      </c>
      <c r="CS30" s="36" t="str">
        <f t="shared" si="37"/>
        <v/>
      </c>
      <c r="CT30" s="37"/>
      <c r="CU30" s="33"/>
      <c r="CV30" s="34"/>
      <c r="CW30" s="35" t="str">
        <f t="shared" si="38"/>
        <v/>
      </c>
      <c r="CX30" s="36" t="str">
        <f t="shared" si="39"/>
        <v/>
      </c>
      <c r="CY30" s="37"/>
      <c r="CZ30" s="33"/>
      <c r="DA30" s="34"/>
      <c r="DB30" s="35" t="str">
        <f t="shared" si="40"/>
        <v/>
      </c>
      <c r="DC30" s="36" t="str">
        <f t="shared" si="41"/>
        <v/>
      </c>
      <c r="DD30" s="37"/>
      <c r="DE30" s="33"/>
      <c r="DF30" s="34"/>
      <c r="DG30" s="35" t="str">
        <f t="shared" si="42"/>
        <v/>
      </c>
      <c r="DH30" s="36" t="str">
        <f t="shared" si="43"/>
        <v/>
      </c>
      <c r="DI30" s="37"/>
      <c r="DJ30" s="33"/>
      <c r="DK30" s="34"/>
      <c r="DL30" s="35" t="str">
        <f t="shared" si="44"/>
        <v/>
      </c>
      <c r="DM30" s="36" t="str">
        <f t="shared" si="45"/>
        <v/>
      </c>
      <c r="DN30" s="37"/>
      <c r="DO30" s="33"/>
      <c r="DP30" s="34"/>
      <c r="DQ30" s="35" t="str">
        <f t="shared" si="46"/>
        <v/>
      </c>
      <c r="DR30" s="36" t="str">
        <f t="shared" si="47"/>
        <v/>
      </c>
      <c r="DS30" s="37"/>
      <c r="DT30" s="33"/>
      <c r="DU30" s="34"/>
      <c r="DV30" s="35" t="str">
        <f t="shared" si="48"/>
        <v/>
      </c>
      <c r="DW30" s="36" t="str">
        <f t="shared" si="49"/>
        <v/>
      </c>
      <c r="DX30" s="37"/>
      <c r="DY30" s="33"/>
      <c r="DZ30" s="34"/>
      <c r="EA30" s="35" t="str">
        <f t="shared" si="50"/>
        <v/>
      </c>
      <c r="EB30" s="36" t="str">
        <f t="shared" si="51"/>
        <v/>
      </c>
      <c r="EC30" s="37"/>
      <c r="ED30" s="33"/>
      <c r="EE30" s="34"/>
      <c r="EF30" s="35" t="str">
        <f t="shared" si="52"/>
        <v/>
      </c>
      <c r="EG30" s="36" t="str">
        <f t="shared" si="53"/>
        <v/>
      </c>
      <c r="EH30" s="37"/>
      <c r="EI30" s="33"/>
      <c r="EJ30" s="34"/>
      <c r="EK30" s="35" t="str">
        <f t="shared" si="54"/>
        <v/>
      </c>
      <c r="EL30" s="36" t="str">
        <f t="shared" si="55"/>
        <v/>
      </c>
      <c r="EM30" s="37"/>
      <c r="EN30" s="33"/>
      <c r="EO30" s="34"/>
      <c r="EP30" s="35" t="str">
        <f t="shared" si="56"/>
        <v/>
      </c>
      <c r="EQ30" s="36" t="str">
        <f t="shared" si="57"/>
        <v/>
      </c>
      <c r="ER30" s="37"/>
      <c r="ES30" s="33"/>
      <c r="ET30" s="34"/>
      <c r="EU30" s="35" t="str">
        <f t="shared" si="58"/>
        <v/>
      </c>
      <c r="EV30" s="36" t="str">
        <f t="shared" si="59"/>
        <v/>
      </c>
      <c r="EW30" s="37"/>
    </row>
    <row r="31" spans="1:153" ht="19.5" customHeight="1">
      <c r="A31" s="32">
        <f>IF(DAY(DATE(対象年度,11,28))&lt;&gt;28,"",28)</f>
        <v>28</v>
      </c>
      <c r="B31" s="32" t="str">
        <f>IF(DAY(DATE(対象年度,11,28))&lt;&gt;28,"",CHOOSE(WEEKDAY(DATE(対象年度,11,28),2),"月","火","水","木","金","土","日"))</f>
        <v>土</v>
      </c>
      <c r="C31" s="32" t="str">
        <f>IF(DAY(DATE(対象年度,11,28))&lt;&gt;28,"",IF(ISNUMBER(MATCH(DATE(対象年度,11,28),祝日リスト,0)),"祝",""))</f>
        <v/>
      </c>
      <c r="D31" s="33"/>
      <c r="E31" s="34"/>
      <c r="F31" s="35" t="str">
        <f t="shared" si="0"/>
        <v/>
      </c>
      <c r="G31" s="36" t="str">
        <f t="shared" si="1"/>
        <v/>
      </c>
      <c r="H31" s="37"/>
      <c r="I31" s="33"/>
      <c r="J31" s="34"/>
      <c r="K31" s="35" t="str">
        <f t="shared" si="2"/>
        <v/>
      </c>
      <c r="L31" s="36" t="str">
        <f t="shared" si="3"/>
        <v/>
      </c>
      <c r="M31" s="37"/>
      <c r="N31" s="33"/>
      <c r="O31" s="34"/>
      <c r="P31" s="35" t="str">
        <f t="shared" si="4"/>
        <v/>
      </c>
      <c r="Q31" s="36" t="str">
        <f t="shared" si="5"/>
        <v/>
      </c>
      <c r="R31" s="37"/>
      <c r="S31" s="33"/>
      <c r="T31" s="34"/>
      <c r="U31" s="35" t="str">
        <f t="shared" si="6"/>
        <v/>
      </c>
      <c r="V31" s="36" t="str">
        <f t="shared" si="7"/>
        <v/>
      </c>
      <c r="W31" s="37"/>
      <c r="X31" s="33"/>
      <c r="Y31" s="34"/>
      <c r="Z31" s="35" t="str">
        <f t="shared" si="8"/>
        <v/>
      </c>
      <c r="AA31" s="36" t="str">
        <f t="shared" si="9"/>
        <v/>
      </c>
      <c r="AB31" s="37"/>
      <c r="AC31" s="33"/>
      <c r="AD31" s="34"/>
      <c r="AE31" s="35" t="str">
        <f t="shared" si="10"/>
        <v/>
      </c>
      <c r="AF31" s="36" t="str">
        <f t="shared" si="11"/>
        <v/>
      </c>
      <c r="AG31" s="37"/>
      <c r="AH31" s="33"/>
      <c r="AI31" s="34"/>
      <c r="AJ31" s="35" t="str">
        <f t="shared" si="12"/>
        <v/>
      </c>
      <c r="AK31" s="36" t="str">
        <f t="shared" si="13"/>
        <v/>
      </c>
      <c r="AL31" s="37"/>
      <c r="AM31" s="33"/>
      <c r="AN31" s="34"/>
      <c r="AO31" s="35" t="str">
        <f t="shared" si="14"/>
        <v/>
      </c>
      <c r="AP31" s="36" t="str">
        <f t="shared" si="15"/>
        <v/>
      </c>
      <c r="AQ31" s="37"/>
      <c r="AR31" s="33"/>
      <c r="AS31" s="34"/>
      <c r="AT31" s="35" t="str">
        <f t="shared" si="16"/>
        <v/>
      </c>
      <c r="AU31" s="36" t="str">
        <f t="shared" si="17"/>
        <v/>
      </c>
      <c r="AV31" s="37"/>
      <c r="AW31" s="33"/>
      <c r="AX31" s="34"/>
      <c r="AY31" s="35" t="str">
        <f t="shared" si="18"/>
        <v/>
      </c>
      <c r="AZ31" s="36" t="str">
        <f t="shared" si="19"/>
        <v/>
      </c>
      <c r="BA31" s="37"/>
      <c r="BB31" s="33"/>
      <c r="BC31" s="34"/>
      <c r="BD31" s="35" t="str">
        <f t="shared" si="20"/>
        <v/>
      </c>
      <c r="BE31" s="36" t="str">
        <f t="shared" si="21"/>
        <v/>
      </c>
      <c r="BF31" s="37"/>
      <c r="BG31" s="33"/>
      <c r="BH31" s="34"/>
      <c r="BI31" s="35" t="str">
        <f t="shared" si="22"/>
        <v/>
      </c>
      <c r="BJ31" s="36" t="str">
        <f t="shared" si="23"/>
        <v/>
      </c>
      <c r="BK31" s="37"/>
      <c r="BL31" s="33"/>
      <c r="BM31" s="34"/>
      <c r="BN31" s="35" t="str">
        <f t="shared" si="24"/>
        <v/>
      </c>
      <c r="BO31" s="36" t="str">
        <f t="shared" si="25"/>
        <v/>
      </c>
      <c r="BP31" s="37"/>
      <c r="BQ31" s="33"/>
      <c r="BR31" s="34"/>
      <c r="BS31" s="35" t="str">
        <f t="shared" si="26"/>
        <v/>
      </c>
      <c r="BT31" s="36" t="str">
        <f t="shared" si="27"/>
        <v/>
      </c>
      <c r="BU31" s="37"/>
      <c r="BV31" s="33"/>
      <c r="BW31" s="34"/>
      <c r="BX31" s="35" t="str">
        <f t="shared" si="28"/>
        <v/>
      </c>
      <c r="BY31" s="36" t="str">
        <f t="shared" si="29"/>
        <v/>
      </c>
      <c r="BZ31" s="37"/>
      <c r="CA31" s="33"/>
      <c r="CB31" s="34"/>
      <c r="CC31" s="35" t="str">
        <f t="shared" si="30"/>
        <v/>
      </c>
      <c r="CD31" s="36" t="str">
        <f t="shared" si="31"/>
        <v/>
      </c>
      <c r="CE31" s="37"/>
      <c r="CF31" s="33"/>
      <c r="CG31" s="34"/>
      <c r="CH31" s="35" t="str">
        <f t="shared" si="32"/>
        <v/>
      </c>
      <c r="CI31" s="36" t="str">
        <f t="shared" si="33"/>
        <v/>
      </c>
      <c r="CJ31" s="37"/>
      <c r="CK31" s="33"/>
      <c r="CL31" s="34"/>
      <c r="CM31" s="35" t="str">
        <f t="shared" si="34"/>
        <v/>
      </c>
      <c r="CN31" s="36" t="str">
        <f t="shared" si="35"/>
        <v/>
      </c>
      <c r="CO31" s="37"/>
      <c r="CP31" s="33"/>
      <c r="CQ31" s="34"/>
      <c r="CR31" s="35" t="str">
        <f t="shared" si="36"/>
        <v/>
      </c>
      <c r="CS31" s="36" t="str">
        <f t="shared" si="37"/>
        <v/>
      </c>
      <c r="CT31" s="37"/>
      <c r="CU31" s="33"/>
      <c r="CV31" s="34"/>
      <c r="CW31" s="35" t="str">
        <f t="shared" si="38"/>
        <v/>
      </c>
      <c r="CX31" s="36" t="str">
        <f t="shared" si="39"/>
        <v/>
      </c>
      <c r="CY31" s="37"/>
      <c r="CZ31" s="33"/>
      <c r="DA31" s="34"/>
      <c r="DB31" s="35" t="str">
        <f t="shared" si="40"/>
        <v/>
      </c>
      <c r="DC31" s="36" t="str">
        <f t="shared" si="41"/>
        <v/>
      </c>
      <c r="DD31" s="37"/>
      <c r="DE31" s="33"/>
      <c r="DF31" s="34"/>
      <c r="DG31" s="35" t="str">
        <f t="shared" si="42"/>
        <v/>
      </c>
      <c r="DH31" s="36" t="str">
        <f t="shared" si="43"/>
        <v/>
      </c>
      <c r="DI31" s="37"/>
      <c r="DJ31" s="33"/>
      <c r="DK31" s="34"/>
      <c r="DL31" s="35" t="str">
        <f t="shared" si="44"/>
        <v/>
      </c>
      <c r="DM31" s="36" t="str">
        <f t="shared" si="45"/>
        <v/>
      </c>
      <c r="DN31" s="37"/>
      <c r="DO31" s="33"/>
      <c r="DP31" s="34"/>
      <c r="DQ31" s="35" t="str">
        <f t="shared" si="46"/>
        <v/>
      </c>
      <c r="DR31" s="36" t="str">
        <f t="shared" si="47"/>
        <v/>
      </c>
      <c r="DS31" s="37"/>
      <c r="DT31" s="33"/>
      <c r="DU31" s="34"/>
      <c r="DV31" s="35" t="str">
        <f t="shared" si="48"/>
        <v/>
      </c>
      <c r="DW31" s="36" t="str">
        <f t="shared" si="49"/>
        <v/>
      </c>
      <c r="DX31" s="37"/>
      <c r="DY31" s="33"/>
      <c r="DZ31" s="34"/>
      <c r="EA31" s="35" t="str">
        <f t="shared" si="50"/>
        <v/>
      </c>
      <c r="EB31" s="36" t="str">
        <f t="shared" si="51"/>
        <v/>
      </c>
      <c r="EC31" s="37"/>
      <c r="ED31" s="33"/>
      <c r="EE31" s="34"/>
      <c r="EF31" s="35" t="str">
        <f t="shared" si="52"/>
        <v/>
      </c>
      <c r="EG31" s="36" t="str">
        <f t="shared" si="53"/>
        <v/>
      </c>
      <c r="EH31" s="37"/>
      <c r="EI31" s="33"/>
      <c r="EJ31" s="34"/>
      <c r="EK31" s="35" t="str">
        <f t="shared" si="54"/>
        <v/>
      </c>
      <c r="EL31" s="36" t="str">
        <f t="shared" si="55"/>
        <v/>
      </c>
      <c r="EM31" s="37"/>
      <c r="EN31" s="33"/>
      <c r="EO31" s="34"/>
      <c r="EP31" s="35" t="str">
        <f t="shared" si="56"/>
        <v/>
      </c>
      <c r="EQ31" s="36" t="str">
        <f t="shared" si="57"/>
        <v/>
      </c>
      <c r="ER31" s="37"/>
      <c r="ES31" s="33"/>
      <c r="ET31" s="34"/>
      <c r="EU31" s="35" t="str">
        <f t="shared" si="58"/>
        <v/>
      </c>
      <c r="EV31" s="36" t="str">
        <f t="shared" si="59"/>
        <v/>
      </c>
      <c r="EW31" s="37"/>
    </row>
    <row r="32" spans="1:153" ht="19.5" customHeight="1">
      <c r="A32" s="32">
        <f>IF(DAY(DATE(対象年度,11,29))&lt;&gt;29,"",29)</f>
        <v>29</v>
      </c>
      <c r="B32" s="32" t="str">
        <f>IF(DAY(DATE(対象年度,11,29))&lt;&gt;29,"",CHOOSE(WEEKDAY(DATE(対象年度,11,29),2),"月","火","水","木","金","土","日"))</f>
        <v>日</v>
      </c>
      <c r="C32" s="32" t="str">
        <f>IF(DAY(DATE(対象年度,11,29))&lt;&gt;29,"",IF(ISNUMBER(MATCH(DATE(対象年度,11,29),祝日リスト,0)),"祝",""))</f>
        <v/>
      </c>
      <c r="D32" s="33"/>
      <c r="E32" s="34"/>
      <c r="F32" s="35" t="str">
        <f t="shared" si="0"/>
        <v/>
      </c>
      <c r="G32" s="36" t="str">
        <f t="shared" si="1"/>
        <v/>
      </c>
      <c r="H32" s="37"/>
      <c r="I32" s="33"/>
      <c r="J32" s="34"/>
      <c r="K32" s="35" t="str">
        <f t="shared" si="2"/>
        <v/>
      </c>
      <c r="L32" s="36" t="str">
        <f t="shared" si="3"/>
        <v/>
      </c>
      <c r="M32" s="37"/>
      <c r="N32" s="33"/>
      <c r="O32" s="34"/>
      <c r="P32" s="35" t="str">
        <f t="shared" si="4"/>
        <v/>
      </c>
      <c r="Q32" s="36" t="str">
        <f t="shared" si="5"/>
        <v/>
      </c>
      <c r="R32" s="37"/>
      <c r="S32" s="33"/>
      <c r="T32" s="34"/>
      <c r="U32" s="35" t="str">
        <f t="shared" si="6"/>
        <v/>
      </c>
      <c r="V32" s="36" t="str">
        <f t="shared" si="7"/>
        <v/>
      </c>
      <c r="W32" s="37"/>
      <c r="X32" s="33"/>
      <c r="Y32" s="34"/>
      <c r="Z32" s="35" t="str">
        <f t="shared" si="8"/>
        <v/>
      </c>
      <c r="AA32" s="36" t="str">
        <f t="shared" si="9"/>
        <v/>
      </c>
      <c r="AB32" s="37"/>
      <c r="AC32" s="33"/>
      <c r="AD32" s="34"/>
      <c r="AE32" s="35" t="str">
        <f t="shared" si="10"/>
        <v/>
      </c>
      <c r="AF32" s="36" t="str">
        <f t="shared" si="11"/>
        <v/>
      </c>
      <c r="AG32" s="37"/>
      <c r="AH32" s="33"/>
      <c r="AI32" s="34"/>
      <c r="AJ32" s="35" t="str">
        <f t="shared" si="12"/>
        <v/>
      </c>
      <c r="AK32" s="36" t="str">
        <f t="shared" si="13"/>
        <v/>
      </c>
      <c r="AL32" s="37"/>
      <c r="AM32" s="33"/>
      <c r="AN32" s="34"/>
      <c r="AO32" s="35" t="str">
        <f t="shared" si="14"/>
        <v/>
      </c>
      <c r="AP32" s="36" t="str">
        <f t="shared" si="15"/>
        <v/>
      </c>
      <c r="AQ32" s="37"/>
      <c r="AR32" s="33"/>
      <c r="AS32" s="34"/>
      <c r="AT32" s="35" t="str">
        <f t="shared" si="16"/>
        <v/>
      </c>
      <c r="AU32" s="36" t="str">
        <f t="shared" si="17"/>
        <v/>
      </c>
      <c r="AV32" s="37"/>
      <c r="AW32" s="33"/>
      <c r="AX32" s="34"/>
      <c r="AY32" s="35" t="str">
        <f t="shared" si="18"/>
        <v/>
      </c>
      <c r="AZ32" s="36" t="str">
        <f t="shared" si="19"/>
        <v/>
      </c>
      <c r="BA32" s="37"/>
      <c r="BB32" s="33"/>
      <c r="BC32" s="34"/>
      <c r="BD32" s="35" t="str">
        <f t="shared" si="20"/>
        <v/>
      </c>
      <c r="BE32" s="36" t="str">
        <f t="shared" si="21"/>
        <v/>
      </c>
      <c r="BF32" s="37"/>
      <c r="BG32" s="33"/>
      <c r="BH32" s="34"/>
      <c r="BI32" s="35" t="str">
        <f t="shared" si="22"/>
        <v/>
      </c>
      <c r="BJ32" s="36" t="str">
        <f t="shared" si="23"/>
        <v/>
      </c>
      <c r="BK32" s="37"/>
      <c r="BL32" s="33"/>
      <c r="BM32" s="34"/>
      <c r="BN32" s="35" t="str">
        <f t="shared" si="24"/>
        <v/>
      </c>
      <c r="BO32" s="36" t="str">
        <f t="shared" si="25"/>
        <v/>
      </c>
      <c r="BP32" s="37"/>
      <c r="BQ32" s="33"/>
      <c r="BR32" s="34"/>
      <c r="BS32" s="35" t="str">
        <f t="shared" si="26"/>
        <v/>
      </c>
      <c r="BT32" s="36" t="str">
        <f t="shared" si="27"/>
        <v/>
      </c>
      <c r="BU32" s="37"/>
      <c r="BV32" s="33"/>
      <c r="BW32" s="34"/>
      <c r="BX32" s="35" t="str">
        <f t="shared" si="28"/>
        <v/>
      </c>
      <c r="BY32" s="36" t="str">
        <f t="shared" si="29"/>
        <v/>
      </c>
      <c r="BZ32" s="37"/>
      <c r="CA32" s="33"/>
      <c r="CB32" s="34"/>
      <c r="CC32" s="35" t="str">
        <f t="shared" si="30"/>
        <v/>
      </c>
      <c r="CD32" s="36" t="str">
        <f t="shared" si="31"/>
        <v/>
      </c>
      <c r="CE32" s="37"/>
      <c r="CF32" s="33"/>
      <c r="CG32" s="34"/>
      <c r="CH32" s="35" t="str">
        <f t="shared" si="32"/>
        <v/>
      </c>
      <c r="CI32" s="36" t="str">
        <f t="shared" si="33"/>
        <v/>
      </c>
      <c r="CJ32" s="37"/>
      <c r="CK32" s="33"/>
      <c r="CL32" s="34"/>
      <c r="CM32" s="35" t="str">
        <f t="shared" si="34"/>
        <v/>
      </c>
      <c r="CN32" s="36" t="str">
        <f t="shared" si="35"/>
        <v/>
      </c>
      <c r="CO32" s="37"/>
      <c r="CP32" s="33"/>
      <c r="CQ32" s="34"/>
      <c r="CR32" s="35" t="str">
        <f t="shared" si="36"/>
        <v/>
      </c>
      <c r="CS32" s="36" t="str">
        <f t="shared" si="37"/>
        <v/>
      </c>
      <c r="CT32" s="37"/>
      <c r="CU32" s="33"/>
      <c r="CV32" s="34"/>
      <c r="CW32" s="35" t="str">
        <f t="shared" si="38"/>
        <v/>
      </c>
      <c r="CX32" s="36" t="str">
        <f t="shared" si="39"/>
        <v/>
      </c>
      <c r="CY32" s="37"/>
      <c r="CZ32" s="33"/>
      <c r="DA32" s="34"/>
      <c r="DB32" s="35" t="str">
        <f t="shared" si="40"/>
        <v/>
      </c>
      <c r="DC32" s="36" t="str">
        <f t="shared" si="41"/>
        <v/>
      </c>
      <c r="DD32" s="37"/>
      <c r="DE32" s="33"/>
      <c r="DF32" s="34"/>
      <c r="DG32" s="35" t="str">
        <f t="shared" si="42"/>
        <v/>
      </c>
      <c r="DH32" s="36" t="str">
        <f t="shared" si="43"/>
        <v/>
      </c>
      <c r="DI32" s="37"/>
      <c r="DJ32" s="33"/>
      <c r="DK32" s="34"/>
      <c r="DL32" s="35" t="str">
        <f t="shared" si="44"/>
        <v/>
      </c>
      <c r="DM32" s="36" t="str">
        <f t="shared" si="45"/>
        <v/>
      </c>
      <c r="DN32" s="37"/>
      <c r="DO32" s="33"/>
      <c r="DP32" s="34"/>
      <c r="DQ32" s="35" t="str">
        <f t="shared" si="46"/>
        <v/>
      </c>
      <c r="DR32" s="36" t="str">
        <f t="shared" si="47"/>
        <v/>
      </c>
      <c r="DS32" s="37"/>
      <c r="DT32" s="33"/>
      <c r="DU32" s="34"/>
      <c r="DV32" s="35" t="str">
        <f t="shared" si="48"/>
        <v/>
      </c>
      <c r="DW32" s="36" t="str">
        <f t="shared" si="49"/>
        <v/>
      </c>
      <c r="DX32" s="37"/>
      <c r="DY32" s="33"/>
      <c r="DZ32" s="34"/>
      <c r="EA32" s="35" t="str">
        <f t="shared" si="50"/>
        <v/>
      </c>
      <c r="EB32" s="36" t="str">
        <f t="shared" si="51"/>
        <v/>
      </c>
      <c r="EC32" s="37"/>
      <c r="ED32" s="33"/>
      <c r="EE32" s="34"/>
      <c r="EF32" s="35" t="str">
        <f t="shared" si="52"/>
        <v/>
      </c>
      <c r="EG32" s="36" t="str">
        <f t="shared" si="53"/>
        <v/>
      </c>
      <c r="EH32" s="37"/>
      <c r="EI32" s="33"/>
      <c r="EJ32" s="34"/>
      <c r="EK32" s="35" t="str">
        <f t="shared" si="54"/>
        <v/>
      </c>
      <c r="EL32" s="36" t="str">
        <f t="shared" si="55"/>
        <v/>
      </c>
      <c r="EM32" s="37"/>
      <c r="EN32" s="33"/>
      <c r="EO32" s="34"/>
      <c r="EP32" s="35" t="str">
        <f t="shared" si="56"/>
        <v/>
      </c>
      <c r="EQ32" s="36" t="str">
        <f t="shared" si="57"/>
        <v/>
      </c>
      <c r="ER32" s="37"/>
      <c r="ES32" s="33"/>
      <c r="ET32" s="34"/>
      <c r="EU32" s="35" t="str">
        <f t="shared" si="58"/>
        <v/>
      </c>
      <c r="EV32" s="36" t="str">
        <f t="shared" si="59"/>
        <v/>
      </c>
      <c r="EW32" s="37"/>
    </row>
    <row r="33" spans="1:153" ht="19.5" customHeight="1">
      <c r="A33" s="32">
        <f>IF(DAY(DATE(対象年度,11,30))&lt;&gt;30,"",30)</f>
        <v>30</v>
      </c>
      <c r="B33" s="32" t="str">
        <f>IF(DAY(DATE(対象年度,11,30))&lt;&gt;30,"",CHOOSE(WEEKDAY(DATE(対象年度,11,30),2),"月","火","水","木","金","土","日"))</f>
        <v>月</v>
      </c>
      <c r="C33" s="32" t="str">
        <f>IF(DAY(DATE(対象年度,11,30))&lt;&gt;30,"",IF(ISNUMBER(MATCH(DATE(対象年度,11,30),祝日リスト,0)),"祝",""))</f>
        <v/>
      </c>
      <c r="D33" s="33"/>
      <c r="E33" s="34"/>
      <c r="F33" s="35" t="str">
        <f t="shared" si="0"/>
        <v/>
      </c>
      <c r="G33" s="36" t="str">
        <f t="shared" si="1"/>
        <v/>
      </c>
      <c r="H33" s="37"/>
      <c r="I33" s="33"/>
      <c r="J33" s="34"/>
      <c r="K33" s="35" t="str">
        <f t="shared" si="2"/>
        <v/>
      </c>
      <c r="L33" s="36" t="str">
        <f t="shared" si="3"/>
        <v/>
      </c>
      <c r="M33" s="37"/>
      <c r="N33" s="33"/>
      <c r="O33" s="34"/>
      <c r="P33" s="35" t="str">
        <f t="shared" si="4"/>
        <v/>
      </c>
      <c r="Q33" s="36" t="str">
        <f t="shared" si="5"/>
        <v/>
      </c>
      <c r="R33" s="37"/>
      <c r="S33" s="33"/>
      <c r="T33" s="34"/>
      <c r="U33" s="35" t="str">
        <f t="shared" si="6"/>
        <v/>
      </c>
      <c r="V33" s="36" t="str">
        <f t="shared" si="7"/>
        <v/>
      </c>
      <c r="W33" s="37"/>
      <c r="X33" s="33"/>
      <c r="Y33" s="34"/>
      <c r="Z33" s="35" t="str">
        <f t="shared" si="8"/>
        <v/>
      </c>
      <c r="AA33" s="36" t="str">
        <f t="shared" si="9"/>
        <v/>
      </c>
      <c r="AB33" s="37"/>
      <c r="AC33" s="33"/>
      <c r="AD33" s="34"/>
      <c r="AE33" s="35" t="str">
        <f t="shared" si="10"/>
        <v/>
      </c>
      <c r="AF33" s="36" t="str">
        <f t="shared" si="11"/>
        <v/>
      </c>
      <c r="AG33" s="37"/>
      <c r="AH33" s="33"/>
      <c r="AI33" s="34"/>
      <c r="AJ33" s="35" t="str">
        <f t="shared" si="12"/>
        <v/>
      </c>
      <c r="AK33" s="36" t="str">
        <f t="shared" si="13"/>
        <v/>
      </c>
      <c r="AL33" s="37"/>
      <c r="AM33" s="33"/>
      <c r="AN33" s="34"/>
      <c r="AO33" s="35" t="str">
        <f t="shared" si="14"/>
        <v/>
      </c>
      <c r="AP33" s="36" t="str">
        <f t="shared" si="15"/>
        <v/>
      </c>
      <c r="AQ33" s="37"/>
      <c r="AR33" s="33"/>
      <c r="AS33" s="34"/>
      <c r="AT33" s="35" t="str">
        <f t="shared" si="16"/>
        <v/>
      </c>
      <c r="AU33" s="36" t="str">
        <f t="shared" si="17"/>
        <v/>
      </c>
      <c r="AV33" s="37"/>
      <c r="AW33" s="33"/>
      <c r="AX33" s="34"/>
      <c r="AY33" s="35" t="str">
        <f t="shared" si="18"/>
        <v/>
      </c>
      <c r="AZ33" s="36" t="str">
        <f t="shared" si="19"/>
        <v/>
      </c>
      <c r="BA33" s="37"/>
      <c r="BB33" s="33"/>
      <c r="BC33" s="34"/>
      <c r="BD33" s="35" t="str">
        <f t="shared" si="20"/>
        <v/>
      </c>
      <c r="BE33" s="36" t="str">
        <f t="shared" si="21"/>
        <v/>
      </c>
      <c r="BF33" s="37"/>
      <c r="BG33" s="33"/>
      <c r="BH33" s="34"/>
      <c r="BI33" s="35" t="str">
        <f t="shared" si="22"/>
        <v/>
      </c>
      <c r="BJ33" s="36" t="str">
        <f t="shared" si="23"/>
        <v/>
      </c>
      <c r="BK33" s="37"/>
      <c r="BL33" s="33"/>
      <c r="BM33" s="34"/>
      <c r="BN33" s="35" t="str">
        <f t="shared" si="24"/>
        <v/>
      </c>
      <c r="BO33" s="36" t="str">
        <f t="shared" si="25"/>
        <v/>
      </c>
      <c r="BP33" s="37"/>
      <c r="BQ33" s="33"/>
      <c r="BR33" s="34"/>
      <c r="BS33" s="35" t="str">
        <f t="shared" si="26"/>
        <v/>
      </c>
      <c r="BT33" s="36" t="str">
        <f t="shared" si="27"/>
        <v/>
      </c>
      <c r="BU33" s="37"/>
      <c r="BV33" s="33"/>
      <c r="BW33" s="34"/>
      <c r="BX33" s="35" t="str">
        <f t="shared" si="28"/>
        <v/>
      </c>
      <c r="BY33" s="36" t="str">
        <f t="shared" si="29"/>
        <v/>
      </c>
      <c r="BZ33" s="37"/>
      <c r="CA33" s="33"/>
      <c r="CB33" s="34"/>
      <c r="CC33" s="35" t="str">
        <f t="shared" si="30"/>
        <v/>
      </c>
      <c r="CD33" s="36" t="str">
        <f t="shared" si="31"/>
        <v/>
      </c>
      <c r="CE33" s="37"/>
      <c r="CF33" s="33"/>
      <c r="CG33" s="34"/>
      <c r="CH33" s="35" t="str">
        <f t="shared" si="32"/>
        <v/>
      </c>
      <c r="CI33" s="36" t="str">
        <f t="shared" si="33"/>
        <v/>
      </c>
      <c r="CJ33" s="37"/>
      <c r="CK33" s="33"/>
      <c r="CL33" s="34"/>
      <c r="CM33" s="35" t="str">
        <f t="shared" si="34"/>
        <v/>
      </c>
      <c r="CN33" s="36" t="str">
        <f t="shared" si="35"/>
        <v/>
      </c>
      <c r="CO33" s="37"/>
      <c r="CP33" s="33"/>
      <c r="CQ33" s="34"/>
      <c r="CR33" s="35" t="str">
        <f t="shared" si="36"/>
        <v/>
      </c>
      <c r="CS33" s="36" t="str">
        <f t="shared" si="37"/>
        <v/>
      </c>
      <c r="CT33" s="37"/>
      <c r="CU33" s="33"/>
      <c r="CV33" s="34"/>
      <c r="CW33" s="35" t="str">
        <f t="shared" si="38"/>
        <v/>
      </c>
      <c r="CX33" s="36" t="str">
        <f t="shared" si="39"/>
        <v/>
      </c>
      <c r="CY33" s="37"/>
      <c r="CZ33" s="33"/>
      <c r="DA33" s="34"/>
      <c r="DB33" s="35" t="str">
        <f t="shared" si="40"/>
        <v/>
      </c>
      <c r="DC33" s="36" t="str">
        <f t="shared" si="41"/>
        <v/>
      </c>
      <c r="DD33" s="37"/>
      <c r="DE33" s="33"/>
      <c r="DF33" s="34"/>
      <c r="DG33" s="35" t="str">
        <f t="shared" si="42"/>
        <v/>
      </c>
      <c r="DH33" s="36" t="str">
        <f t="shared" si="43"/>
        <v/>
      </c>
      <c r="DI33" s="37"/>
      <c r="DJ33" s="33"/>
      <c r="DK33" s="34"/>
      <c r="DL33" s="35" t="str">
        <f t="shared" si="44"/>
        <v/>
      </c>
      <c r="DM33" s="36" t="str">
        <f t="shared" si="45"/>
        <v/>
      </c>
      <c r="DN33" s="37"/>
      <c r="DO33" s="33"/>
      <c r="DP33" s="34"/>
      <c r="DQ33" s="35" t="str">
        <f t="shared" si="46"/>
        <v/>
      </c>
      <c r="DR33" s="36" t="str">
        <f t="shared" si="47"/>
        <v/>
      </c>
      <c r="DS33" s="37"/>
      <c r="DT33" s="33"/>
      <c r="DU33" s="34"/>
      <c r="DV33" s="35" t="str">
        <f t="shared" si="48"/>
        <v/>
      </c>
      <c r="DW33" s="36" t="str">
        <f t="shared" si="49"/>
        <v/>
      </c>
      <c r="DX33" s="37"/>
      <c r="DY33" s="33"/>
      <c r="DZ33" s="34"/>
      <c r="EA33" s="35" t="str">
        <f t="shared" si="50"/>
        <v/>
      </c>
      <c r="EB33" s="36" t="str">
        <f t="shared" si="51"/>
        <v/>
      </c>
      <c r="EC33" s="37"/>
      <c r="ED33" s="33"/>
      <c r="EE33" s="34"/>
      <c r="EF33" s="35" t="str">
        <f t="shared" si="52"/>
        <v/>
      </c>
      <c r="EG33" s="36" t="str">
        <f t="shared" si="53"/>
        <v/>
      </c>
      <c r="EH33" s="37"/>
      <c r="EI33" s="33"/>
      <c r="EJ33" s="34"/>
      <c r="EK33" s="35" t="str">
        <f t="shared" si="54"/>
        <v/>
      </c>
      <c r="EL33" s="36" t="str">
        <f t="shared" si="55"/>
        <v/>
      </c>
      <c r="EM33" s="37"/>
      <c r="EN33" s="33"/>
      <c r="EO33" s="34"/>
      <c r="EP33" s="35" t="str">
        <f t="shared" si="56"/>
        <v/>
      </c>
      <c r="EQ33" s="36" t="str">
        <f t="shared" si="57"/>
        <v/>
      </c>
      <c r="ER33" s="37"/>
      <c r="ES33" s="33"/>
      <c r="ET33" s="34"/>
      <c r="EU33" s="35" t="str">
        <f t="shared" si="58"/>
        <v/>
      </c>
      <c r="EV33" s="36" t="str">
        <f t="shared" si="59"/>
        <v/>
      </c>
      <c r="EW33" s="37"/>
    </row>
    <row r="34" spans="1:153" ht="19.5" customHeight="1">
      <c r="A34" s="39" t="str">
        <f>IF(DAY(DATE(対象年度,11,31))&lt;&gt;31,"",31)</f>
        <v/>
      </c>
      <c r="B34" s="39" t="str">
        <f>IF(DAY(DATE(対象年度,11,31))&lt;&gt;31,"",CHOOSE(WEEKDAY(DATE(対象年度,11,31),2),"月","火","水","木","金","土","日"))</f>
        <v/>
      </c>
      <c r="C34" s="39" t="str">
        <f>IF(DAY(DATE(対象年度,11,31))&lt;&gt;31,"",IF(ISNUMBER(MATCH(DATE(対象年度,11,31),祝日リスト,0)),"祝",""))</f>
        <v/>
      </c>
      <c r="D34" s="40"/>
      <c r="E34" s="41"/>
      <c r="F34" s="42" t="str">
        <f t="shared" si="0"/>
        <v/>
      </c>
      <c r="G34" s="43" t="str">
        <f t="shared" si="1"/>
        <v/>
      </c>
      <c r="H34" s="44"/>
      <c r="I34" s="40"/>
      <c r="J34" s="41"/>
      <c r="K34" s="42" t="str">
        <f t="shared" si="2"/>
        <v/>
      </c>
      <c r="L34" s="43" t="str">
        <f t="shared" si="3"/>
        <v/>
      </c>
      <c r="M34" s="44"/>
      <c r="N34" s="40"/>
      <c r="O34" s="41"/>
      <c r="P34" s="42" t="str">
        <f t="shared" si="4"/>
        <v/>
      </c>
      <c r="Q34" s="43" t="str">
        <f t="shared" si="5"/>
        <v/>
      </c>
      <c r="R34" s="44"/>
      <c r="S34" s="40"/>
      <c r="T34" s="41"/>
      <c r="U34" s="42" t="str">
        <f t="shared" si="6"/>
        <v/>
      </c>
      <c r="V34" s="43" t="str">
        <f t="shared" si="7"/>
        <v/>
      </c>
      <c r="W34" s="44"/>
      <c r="X34" s="40"/>
      <c r="Y34" s="41"/>
      <c r="Z34" s="42" t="str">
        <f t="shared" si="8"/>
        <v/>
      </c>
      <c r="AA34" s="43" t="str">
        <f t="shared" si="9"/>
        <v/>
      </c>
      <c r="AB34" s="44"/>
      <c r="AC34" s="40"/>
      <c r="AD34" s="41"/>
      <c r="AE34" s="42" t="str">
        <f t="shared" si="10"/>
        <v/>
      </c>
      <c r="AF34" s="43" t="str">
        <f t="shared" si="11"/>
        <v/>
      </c>
      <c r="AG34" s="44"/>
      <c r="AH34" s="40"/>
      <c r="AI34" s="41"/>
      <c r="AJ34" s="42" t="str">
        <f t="shared" si="12"/>
        <v/>
      </c>
      <c r="AK34" s="43" t="str">
        <f t="shared" si="13"/>
        <v/>
      </c>
      <c r="AL34" s="44"/>
      <c r="AM34" s="40"/>
      <c r="AN34" s="41"/>
      <c r="AO34" s="42" t="str">
        <f t="shared" si="14"/>
        <v/>
      </c>
      <c r="AP34" s="43" t="str">
        <f t="shared" si="15"/>
        <v/>
      </c>
      <c r="AQ34" s="44"/>
      <c r="AR34" s="40"/>
      <c r="AS34" s="41"/>
      <c r="AT34" s="42" t="str">
        <f t="shared" si="16"/>
        <v/>
      </c>
      <c r="AU34" s="43" t="str">
        <f t="shared" si="17"/>
        <v/>
      </c>
      <c r="AV34" s="44"/>
      <c r="AW34" s="40"/>
      <c r="AX34" s="41"/>
      <c r="AY34" s="42" t="str">
        <f t="shared" si="18"/>
        <v/>
      </c>
      <c r="AZ34" s="43" t="str">
        <f t="shared" si="19"/>
        <v/>
      </c>
      <c r="BA34" s="44"/>
      <c r="BB34" s="40"/>
      <c r="BC34" s="41"/>
      <c r="BD34" s="42" t="str">
        <f t="shared" si="20"/>
        <v/>
      </c>
      <c r="BE34" s="43" t="str">
        <f t="shared" si="21"/>
        <v/>
      </c>
      <c r="BF34" s="44"/>
      <c r="BG34" s="40"/>
      <c r="BH34" s="41"/>
      <c r="BI34" s="42" t="str">
        <f t="shared" si="22"/>
        <v/>
      </c>
      <c r="BJ34" s="43" t="str">
        <f t="shared" si="23"/>
        <v/>
      </c>
      <c r="BK34" s="44"/>
      <c r="BL34" s="40"/>
      <c r="BM34" s="41"/>
      <c r="BN34" s="42" t="str">
        <f t="shared" si="24"/>
        <v/>
      </c>
      <c r="BO34" s="43" t="str">
        <f t="shared" si="25"/>
        <v/>
      </c>
      <c r="BP34" s="44"/>
      <c r="BQ34" s="40"/>
      <c r="BR34" s="41"/>
      <c r="BS34" s="42" t="str">
        <f t="shared" si="26"/>
        <v/>
      </c>
      <c r="BT34" s="43" t="str">
        <f t="shared" si="27"/>
        <v/>
      </c>
      <c r="BU34" s="44"/>
      <c r="BV34" s="40"/>
      <c r="BW34" s="41"/>
      <c r="BX34" s="42" t="str">
        <f t="shared" si="28"/>
        <v/>
      </c>
      <c r="BY34" s="43" t="str">
        <f t="shared" si="29"/>
        <v/>
      </c>
      <c r="BZ34" s="44"/>
      <c r="CA34" s="40"/>
      <c r="CB34" s="41"/>
      <c r="CC34" s="42" t="str">
        <f t="shared" si="30"/>
        <v/>
      </c>
      <c r="CD34" s="43" t="str">
        <f t="shared" si="31"/>
        <v/>
      </c>
      <c r="CE34" s="44"/>
      <c r="CF34" s="40"/>
      <c r="CG34" s="41"/>
      <c r="CH34" s="42" t="str">
        <f t="shared" si="32"/>
        <v/>
      </c>
      <c r="CI34" s="43" t="str">
        <f t="shared" si="33"/>
        <v/>
      </c>
      <c r="CJ34" s="44"/>
      <c r="CK34" s="40"/>
      <c r="CL34" s="41"/>
      <c r="CM34" s="42" t="str">
        <f t="shared" si="34"/>
        <v/>
      </c>
      <c r="CN34" s="43" t="str">
        <f t="shared" si="35"/>
        <v/>
      </c>
      <c r="CO34" s="44"/>
      <c r="CP34" s="40"/>
      <c r="CQ34" s="41"/>
      <c r="CR34" s="42" t="str">
        <f t="shared" si="36"/>
        <v/>
      </c>
      <c r="CS34" s="43" t="str">
        <f t="shared" si="37"/>
        <v/>
      </c>
      <c r="CT34" s="44"/>
      <c r="CU34" s="40"/>
      <c r="CV34" s="41"/>
      <c r="CW34" s="42" t="str">
        <f t="shared" si="38"/>
        <v/>
      </c>
      <c r="CX34" s="43" t="str">
        <f t="shared" si="39"/>
        <v/>
      </c>
      <c r="CY34" s="44"/>
      <c r="CZ34" s="40"/>
      <c r="DA34" s="41"/>
      <c r="DB34" s="42" t="str">
        <f t="shared" si="40"/>
        <v/>
      </c>
      <c r="DC34" s="43" t="str">
        <f t="shared" si="41"/>
        <v/>
      </c>
      <c r="DD34" s="44"/>
      <c r="DE34" s="40"/>
      <c r="DF34" s="41"/>
      <c r="DG34" s="42" t="str">
        <f t="shared" si="42"/>
        <v/>
      </c>
      <c r="DH34" s="43" t="str">
        <f t="shared" si="43"/>
        <v/>
      </c>
      <c r="DI34" s="44"/>
      <c r="DJ34" s="40"/>
      <c r="DK34" s="41"/>
      <c r="DL34" s="42" t="str">
        <f t="shared" si="44"/>
        <v/>
      </c>
      <c r="DM34" s="43" t="str">
        <f t="shared" si="45"/>
        <v/>
      </c>
      <c r="DN34" s="44"/>
      <c r="DO34" s="40"/>
      <c r="DP34" s="41"/>
      <c r="DQ34" s="42" t="str">
        <f t="shared" si="46"/>
        <v/>
      </c>
      <c r="DR34" s="43" t="str">
        <f t="shared" si="47"/>
        <v/>
      </c>
      <c r="DS34" s="44"/>
      <c r="DT34" s="40"/>
      <c r="DU34" s="41"/>
      <c r="DV34" s="42" t="str">
        <f t="shared" si="48"/>
        <v/>
      </c>
      <c r="DW34" s="43" t="str">
        <f t="shared" si="49"/>
        <v/>
      </c>
      <c r="DX34" s="44"/>
      <c r="DY34" s="40"/>
      <c r="DZ34" s="41"/>
      <c r="EA34" s="42" t="str">
        <f t="shared" si="50"/>
        <v/>
      </c>
      <c r="EB34" s="43" t="str">
        <f t="shared" si="51"/>
        <v/>
      </c>
      <c r="EC34" s="44"/>
      <c r="ED34" s="40"/>
      <c r="EE34" s="41"/>
      <c r="EF34" s="42" t="str">
        <f t="shared" si="52"/>
        <v/>
      </c>
      <c r="EG34" s="43" t="str">
        <f t="shared" si="53"/>
        <v/>
      </c>
      <c r="EH34" s="44"/>
      <c r="EI34" s="40"/>
      <c r="EJ34" s="41"/>
      <c r="EK34" s="42" t="str">
        <f t="shared" si="54"/>
        <v/>
      </c>
      <c r="EL34" s="43" t="str">
        <f t="shared" si="55"/>
        <v/>
      </c>
      <c r="EM34" s="44"/>
      <c r="EN34" s="40"/>
      <c r="EO34" s="41"/>
      <c r="EP34" s="42" t="str">
        <f t="shared" si="56"/>
        <v/>
      </c>
      <c r="EQ34" s="43" t="str">
        <f t="shared" si="57"/>
        <v/>
      </c>
      <c r="ER34" s="44"/>
      <c r="ES34" s="40"/>
      <c r="ET34" s="41"/>
      <c r="EU34" s="42" t="str">
        <f t="shared" si="58"/>
        <v/>
      </c>
      <c r="EV34" s="43" t="str">
        <f t="shared" si="59"/>
        <v/>
      </c>
      <c r="EW34" s="44"/>
    </row>
    <row r="35" spans="1:153" ht="21.75" customHeight="1">
      <c r="A35" s="98" t="s">
        <v>120</v>
      </c>
      <c r="B35" s="98"/>
      <c r="C35" s="98"/>
      <c r="D35" s="99">
        <f>COUNTIF(F4:F34,"○")</f>
        <v>0</v>
      </c>
      <c r="E35" s="99"/>
      <c r="F35" s="99"/>
      <c r="G35" s="99"/>
      <c r="H35" s="99"/>
      <c r="I35" s="99">
        <f>COUNTIF(K4:K34,"○")</f>
        <v>0</v>
      </c>
      <c r="J35" s="99"/>
      <c r="K35" s="99"/>
      <c r="L35" s="99"/>
      <c r="M35" s="99"/>
      <c r="N35" s="99">
        <f>COUNTIF(P4:P34,"○")</f>
        <v>0</v>
      </c>
      <c r="O35" s="99"/>
      <c r="P35" s="99"/>
      <c r="Q35" s="99"/>
      <c r="R35" s="99"/>
      <c r="S35" s="99">
        <f>COUNTIF(U4:U34,"○")</f>
        <v>0</v>
      </c>
      <c r="T35" s="99"/>
      <c r="U35" s="99"/>
      <c r="V35" s="99"/>
      <c r="W35" s="99"/>
      <c r="X35" s="99">
        <f>COUNTIF(Z4:Z34,"○")</f>
        <v>0</v>
      </c>
      <c r="Y35" s="99"/>
      <c r="Z35" s="99"/>
      <c r="AA35" s="99"/>
      <c r="AB35" s="99"/>
      <c r="AC35" s="99">
        <f>COUNTIF(AE4:AE34,"○")</f>
        <v>0</v>
      </c>
      <c r="AD35" s="99"/>
      <c r="AE35" s="99"/>
      <c r="AF35" s="99"/>
      <c r="AG35" s="99"/>
      <c r="AH35" s="99">
        <f>COUNTIF(AJ4:AJ34,"○")</f>
        <v>0</v>
      </c>
      <c r="AI35" s="99"/>
      <c r="AJ35" s="99"/>
      <c r="AK35" s="99"/>
      <c r="AL35" s="99"/>
      <c r="AM35" s="99">
        <f>COUNTIF(AO4:AO34,"○")</f>
        <v>0</v>
      </c>
      <c r="AN35" s="99"/>
      <c r="AO35" s="99"/>
      <c r="AP35" s="99"/>
      <c r="AQ35" s="99"/>
      <c r="AR35" s="99">
        <f>COUNTIF(AT4:AT34,"○")</f>
        <v>0</v>
      </c>
      <c r="AS35" s="99"/>
      <c r="AT35" s="99"/>
      <c r="AU35" s="99"/>
      <c r="AV35" s="99"/>
      <c r="AW35" s="99">
        <f>COUNTIF(AY4:AY34,"○")</f>
        <v>0</v>
      </c>
      <c r="AX35" s="99"/>
      <c r="AY35" s="99"/>
      <c r="AZ35" s="99"/>
      <c r="BA35" s="99"/>
      <c r="BB35" s="99">
        <f>COUNTIF(BD4:BD34,"○")</f>
        <v>0</v>
      </c>
      <c r="BC35" s="99"/>
      <c r="BD35" s="99"/>
      <c r="BE35" s="99"/>
      <c r="BF35" s="99"/>
      <c r="BG35" s="99">
        <f>COUNTIF(BI4:BI34,"○")</f>
        <v>0</v>
      </c>
      <c r="BH35" s="99"/>
      <c r="BI35" s="99"/>
      <c r="BJ35" s="99"/>
      <c r="BK35" s="99"/>
      <c r="BL35" s="99">
        <f>COUNTIF(BN4:BN34,"○")</f>
        <v>0</v>
      </c>
      <c r="BM35" s="99"/>
      <c r="BN35" s="99"/>
      <c r="BO35" s="99"/>
      <c r="BP35" s="99"/>
      <c r="BQ35" s="99">
        <f>COUNTIF(BS4:BS34,"○")</f>
        <v>0</v>
      </c>
      <c r="BR35" s="99"/>
      <c r="BS35" s="99"/>
      <c r="BT35" s="99"/>
      <c r="BU35" s="99"/>
      <c r="BV35" s="99">
        <f>COUNTIF(BX4:BX34,"○")</f>
        <v>0</v>
      </c>
      <c r="BW35" s="99"/>
      <c r="BX35" s="99"/>
      <c r="BY35" s="99"/>
      <c r="BZ35" s="99"/>
      <c r="CA35" s="99">
        <f>COUNTIF(CC4:CC34,"○")</f>
        <v>0</v>
      </c>
      <c r="CB35" s="99"/>
      <c r="CC35" s="99"/>
      <c r="CD35" s="99"/>
      <c r="CE35" s="99"/>
      <c r="CF35" s="99">
        <f>COUNTIF(CH4:CH34,"○")</f>
        <v>0</v>
      </c>
      <c r="CG35" s="99"/>
      <c r="CH35" s="99"/>
      <c r="CI35" s="99"/>
      <c r="CJ35" s="99"/>
      <c r="CK35" s="99">
        <f>COUNTIF(CM4:CM34,"○")</f>
        <v>0</v>
      </c>
      <c r="CL35" s="99"/>
      <c r="CM35" s="99"/>
      <c r="CN35" s="99"/>
      <c r="CO35" s="99"/>
      <c r="CP35" s="99">
        <f>COUNTIF(CR4:CR34,"○")</f>
        <v>0</v>
      </c>
      <c r="CQ35" s="99"/>
      <c r="CR35" s="99"/>
      <c r="CS35" s="99"/>
      <c r="CT35" s="99"/>
      <c r="CU35" s="99">
        <f>COUNTIF(CW4:CW34,"○")</f>
        <v>0</v>
      </c>
      <c r="CV35" s="99"/>
      <c r="CW35" s="99"/>
      <c r="CX35" s="99"/>
      <c r="CY35" s="99"/>
      <c r="CZ35" s="99">
        <f>COUNTIF(DB4:DB34,"○")</f>
        <v>0</v>
      </c>
      <c r="DA35" s="99"/>
      <c r="DB35" s="99"/>
      <c r="DC35" s="99"/>
      <c r="DD35" s="99"/>
      <c r="DE35" s="99">
        <f>COUNTIF(DG4:DG34,"○")</f>
        <v>0</v>
      </c>
      <c r="DF35" s="99"/>
      <c r="DG35" s="99"/>
      <c r="DH35" s="99"/>
      <c r="DI35" s="99"/>
      <c r="DJ35" s="99">
        <f>COUNTIF(DL4:DL34,"○")</f>
        <v>0</v>
      </c>
      <c r="DK35" s="99"/>
      <c r="DL35" s="99"/>
      <c r="DM35" s="99"/>
      <c r="DN35" s="99"/>
      <c r="DO35" s="99">
        <f>COUNTIF(DQ4:DQ34,"○")</f>
        <v>0</v>
      </c>
      <c r="DP35" s="99"/>
      <c r="DQ35" s="99"/>
      <c r="DR35" s="99"/>
      <c r="DS35" s="99"/>
      <c r="DT35" s="99">
        <f>COUNTIF(DV4:DV34,"○")</f>
        <v>0</v>
      </c>
      <c r="DU35" s="99"/>
      <c r="DV35" s="99"/>
      <c r="DW35" s="99"/>
      <c r="DX35" s="99"/>
      <c r="DY35" s="99">
        <f>COUNTIF(EA4:EA34,"○")</f>
        <v>0</v>
      </c>
      <c r="DZ35" s="99"/>
      <c r="EA35" s="99"/>
      <c r="EB35" s="99"/>
      <c r="EC35" s="99"/>
      <c r="ED35" s="99">
        <f>COUNTIF(EF4:EF34,"○")</f>
        <v>0</v>
      </c>
      <c r="EE35" s="99"/>
      <c r="EF35" s="99"/>
      <c r="EG35" s="99"/>
      <c r="EH35" s="99"/>
      <c r="EI35" s="99">
        <f>COUNTIF(EK4:EK34,"○")</f>
        <v>0</v>
      </c>
      <c r="EJ35" s="99"/>
      <c r="EK35" s="99"/>
      <c r="EL35" s="99"/>
      <c r="EM35" s="99"/>
      <c r="EN35" s="99">
        <f>COUNTIF(EP4:EP34,"○")</f>
        <v>0</v>
      </c>
      <c r="EO35" s="99"/>
      <c r="EP35" s="99"/>
      <c r="EQ35" s="99"/>
      <c r="ER35" s="99"/>
      <c r="ES35" s="99">
        <f>COUNTIF(EU4:EU34,"○")</f>
        <v>0</v>
      </c>
      <c r="ET35" s="99"/>
      <c r="EU35" s="99"/>
      <c r="EV35" s="99"/>
      <c r="EW35" s="99"/>
    </row>
    <row r="36" spans="1:153" ht="21.75" customHeight="1">
      <c r="A36" s="100" t="s">
        <v>121</v>
      </c>
      <c r="B36" s="100"/>
      <c r="C36" s="100"/>
      <c r="D36" s="101">
        <f>COUNTIF(G4:G34,"○")</f>
        <v>0</v>
      </c>
      <c r="E36" s="101"/>
      <c r="F36" s="101"/>
      <c r="G36" s="101"/>
      <c r="H36" s="101"/>
      <c r="I36" s="101">
        <f>COUNTIF(L4:L34,"○")</f>
        <v>0</v>
      </c>
      <c r="J36" s="101"/>
      <c r="K36" s="101"/>
      <c r="L36" s="101"/>
      <c r="M36" s="101"/>
      <c r="N36" s="101">
        <f>COUNTIF(Q4:Q34,"○")</f>
        <v>0</v>
      </c>
      <c r="O36" s="101"/>
      <c r="P36" s="101"/>
      <c r="Q36" s="101"/>
      <c r="R36" s="101"/>
      <c r="S36" s="101">
        <f>COUNTIF(V4:V34,"○")</f>
        <v>0</v>
      </c>
      <c r="T36" s="101"/>
      <c r="U36" s="101"/>
      <c r="V36" s="101"/>
      <c r="W36" s="101"/>
      <c r="X36" s="101">
        <f>COUNTIF(AA4:AA34,"○")</f>
        <v>0</v>
      </c>
      <c r="Y36" s="101"/>
      <c r="Z36" s="101"/>
      <c r="AA36" s="101"/>
      <c r="AB36" s="101"/>
      <c r="AC36" s="101">
        <f>COUNTIF(AF4:AF34,"○")</f>
        <v>0</v>
      </c>
      <c r="AD36" s="101"/>
      <c r="AE36" s="101"/>
      <c r="AF36" s="101"/>
      <c r="AG36" s="101"/>
      <c r="AH36" s="101">
        <f>COUNTIF(AK4:AK34,"○")</f>
        <v>0</v>
      </c>
      <c r="AI36" s="101"/>
      <c r="AJ36" s="101"/>
      <c r="AK36" s="101"/>
      <c r="AL36" s="101"/>
      <c r="AM36" s="101">
        <f>COUNTIF(AP4:AP34,"○")</f>
        <v>0</v>
      </c>
      <c r="AN36" s="101"/>
      <c r="AO36" s="101"/>
      <c r="AP36" s="101"/>
      <c r="AQ36" s="101"/>
      <c r="AR36" s="101">
        <f>COUNTIF(AU4:AU34,"○")</f>
        <v>0</v>
      </c>
      <c r="AS36" s="101"/>
      <c r="AT36" s="101"/>
      <c r="AU36" s="101"/>
      <c r="AV36" s="101"/>
      <c r="AW36" s="101">
        <f>COUNTIF(AZ4:AZ34,"○")</f>
        <v>0</v>
      </c>
      <c r="AX36" s="101"/>
      <c r="AY36" s="101"/>
      <c r="AZ36" s="101"/>
      <c r="BA36" s="101"/>
      <c r="BB36" s="101">
        <f>COUNTIF(BE4:BE34,"○")</f>
        <v>0</v>
      </c>
      <c r="BC36" s="101"/>
      <c r="BD36" s="101"/>
      <c r="BE36" s="101"/>
      <c r="BF36" s="101"/>
      <c r="BG36" s="101">
        <f>COUNTIF(BJ4:BJ34,"○")</f>
        <v>0</v>
      </c>
      <c r="BH36" s="101"/>
      <c r="BI36" s="101"/>
      <c r="BJ36" s="101"/>
      <c r="BK36" s="101"/>
      <c r="BL36" s="101">
        <f>COUNTIF(BO4:BO34,"○")</f>
        <v>0</v>
      </c>
      <c r="BM36" s="101"/>
      <c r="BN36" s="101"/>
      <c r="BO36" s="101"/>
      <c r="BP36" s="101"/>
      <c r="BQ36" s="101">
        <f>COUNTIF(BT4:BT34,"○")</f>
        <v>0</v>
      </c>
      <c r="BR36" s="101"/>
      <c r="BS36" s="101"/>
      <c r="BT36" s="101"/>
      <c r="BU36" s="101"/>
      <c r="BV36" s="101">
        <f>COUNTIF(BY4:BY34,"○")</f>
        <v>0</v>
      </c>
      <c r="BW36" s="101"/>
      <c r="BX36" s="101"/>
      <c r="BY36" s="101"/>
      <c r="BZ36" s="101"/>
      <c r="CA36" s="101">
        <f>COUNTIF(CD4:CD34,"○")</f>
        <v>0</v>
      </c>
      <c r="CB36" s="101"/>
      <c r="CC36" s="101"/>
      <c r="CD36" s="101"/>
      <c r="CE36" s="101"/>
      <c r="CF36" s="101">
        <f>COUNTIF(CI4:CI34,"○")</f>
        <v>0</v>
      </c>
      <c r="CG36" s="101"/>
      <c r="CH36" s="101"/>
      <c r="CI36" s="101"/>
      <c r="CJ36" s="101"/>
      <c r="CK36" s="101">
        <f>COUNTIF(CN4:CN34,"○")</f>
        <v>0</v>
      </c>
      <c r="CL36" s="101"/>
      <c r="CM36" s="101"/>
      <c r="CN36" s="101"/>
      <c r="CO36" s="101"/>
      <c r="CP36" s="101">
        <f>COUNTIF(CS4:CS34,"○")</f>
        <v>0</v>
      </c>
      <c r="CQ36" s="101"/>
      <c r="CR36" s="101"/>
      <c r="CS36" s="101"/>
      <c r="CT36" s="101"/>
      <c r="CU36" s="101">
        <f>COUNTIF(CX4:CX34,"○")</f>
        <v>0</v>
      </c>
      <c r="CV36" s="101"/>
      <c r="CW36" s="101"/>
      <c r="CX36" s="101"/>
      <c r="CY36" s="101"/>
      <c r="CZ36" s="101">
        <f>COUNTIF(DC4:DC34,"○")</f>
        <v>0</v>
      </c>
      <c r="DA36" s="101"/>
      <c r="DB36" s="101"/>
      <c r="DC36" s="101"/>
      <c r="DD36" s="101"/>
      <c r="DE36" s="101">
        <f>COUNTIF(DH4:DH34,"○")</f>
        <v>0</v>
      </c>
      <c r="DF36" s="101"/>
      <c r="DG36" s="101"/>
      <c r="DH36" s="101"/>
      <c r="DI36" s="101"/>
      <c r="DJ36" s="101">
        <f>COUNTIF(DM4:DM34,"○")</f>
        <v>0</v>
      </c>
      <c r="DK36" s="101"/>
      <c r="DL36" s="101"/>
      <c r="DM36" s="101"/>
      <c r="DN36" s="101"/>
      <c r="DO36" s="101">
        <f>COUNTIF(DR4:DR34,"○")</f>
        <v>0</v>
      </c>
      <c r="DP36" s="101"/>
      <c r="DQ36" s="101"/>
      <c r="DR36" s="101"/>
      <c r="DS36" s="101"/>
      <c r="DT36" s="101">
        <f>COUNTIF(DW4:DW34,"○")</f>
        <v>0</v>
      </c>
      <c r="DU36" s="101"/>
      <c r="DV36" s="101"/>
      <c r="DW36" s="101"/>
      <c r="DX36" s="101"/>
      <c r="DY36" s="101">
        <f>COUNTIF(EB4:EB34,"○")</f>
        <v>0</v>
      </c>
      <c r="DZ36" s="101"/>
      <c r="EA36" s="101"/>
      <c r="EB36" s="101"/>
      <c r="EC36" s="101"/>
      <c r="ED36" s="101">
        <f>COUNTIF(EG4:EG34,"○")</f>
        <v>0</v>
      </c>
      <c r="EE36" s="101"/>
      <c r="EF36" s="101"/>
      <c r="EG36" s="101"/>
      <c r="EH36" s="101"/>
      <c r="EI36" s="101">
        <f>COUNTIF(EL4:EL34,"○")</f>
        <v>0</v>
      </c>
      <c r="EJ36" s="101"/>
      <c r="EK36" s="101"/>
      <c r="EL36" s="101"/>
      <c r="EM36" s="101"/>
      <c r="EN36" s="101">
        <f>COUNTIF(EQ4:EQ34,"○")</f>
        <v>0</v>
      </c>
      <c r="EO36" s="101"/>
      <c r="EP36" s="101"/>
      <c r="EQ36" s="101"/>
      <c r="ER36" s="101"/>
      <c r="ES36" s="101">
        <f>COUNTIF(EV4:EV34,"○")</f>
        <v>0</v>
      </c>
      <c r="ET36" s="101"/>
      <c r="EU36" s="101"/>
      <c r="EV36" s="101"/>
      <c r="EW36" s="101"/>
    </row>
    <row r="37" spans="1:153" ht="21.75" customHeight="1">
      <c r="A37" s="102" t="s">
        <v>122</v>
      </c>
      <c r="B37" s="102"/>
      <c r="C37" s="102"/>
      <c r="D37" s="103">
        <f>D35+D36</f>
        <v>0</v>
      </c>
      <c r="E37" s="103"/>
      <c r="F37" s="103"/>
      <c r="G37" s="103"/>
      <c r="H37" s="103"/>
      <c r="I37" s="103">
        <f>I35+I36</f>
        <v>0</v>
      </c>
      <c r="J37" s="103"/>
      <c r="K37" s="103"/>
      <c r="L37" s="103"/>
      <c r="M37" s="103"/>
      <c r="N37" s="103">
        <f>N35+N36</f>
        <v>0</v>
      </c>
      <c r="O37" s="103"/>
      <c r="P37" s="103"/>
      <c r="Q37" s="103"/>
      <c r="R37" s="103"/>
      <c r="S37" s="103">
        <f>S35+S36</f>
        <v>0</v>
      </c>
      <c r="T37" s="103"/>
      <c r="U37" s="103"/>
      <c r="V37" s="103"/>
      <c r="W37" s="103"/>
      <c r="X37" s="103">
        <f>X35+X36</f>
        <v>0</v>
      </c>
      <c r="Y37" s="103"/>
      <c r="Z37" s="103"/>
      <c r="AA37" s="103"/>
      <c r="AB37" s="103"/>
      <c r="AC37" s="103">
        <f>AC35+AC36</f>
        <v>0</v>
      </c>
      <c r="AD37" s="103"/>
      <c r="AE37" s="103"/>
      <c r="AF37" s="103"/>
      <c r="AG37" s="103"/>
      <c r="AH37" s="103">
        <f>AH35+AH36</f>
        <v>0</v>
      </c>
      <c r="AI37" s="103"/>
      <c r="AJ37" s="103"/>
      <c r="AK37" s="103"/>
      <c r="AL37" s="103"/>
      <c r="AM37" s="103">
        <f>AM35+AM36</f>
        <v>0</v>
      </c>
      <c r="AN37" s="103"/>
      <c r="AO37" s="103"/>
      <c r="AP37" s="103"/>
      <c r="AQ37" s="103"/>
      <c r="AR37" s="103">
        <f>AR35+AR36</f>
        <v>0</v>
      </c>
      <c r="AS37" s="103"/>
      <c r="AT37" s="103"/>
      <c r="AU37" s="103"/>
      <c r="AV37" s="103"/>
      <c r="AW37" s="103">
        <f>AW35+AW36</f>
        <v>0</v>
      </c>
      <c r="AX37" s="103"/>
      <c r="AY37" s="103"/>
      <c r="AZ37" s="103"/>
      <c r="BA37" s="103"/>
      <c r="BB37" s="103">
        <f>BB35+BB36</f>
        <v>0</v>
      </c>
      <c r="BC37" s="103"/>
      <c r="BD37" s="103"/>
      <c r="BE37" s="103"/>
      <c r="BF37" s="103"/>
      <c r="BG37" s="103">
        <f>BG35+BG36</f>
        <v>0</v>
      </c>
      <c r="BH37" s="103"/>
      <c r="BI37" s="103"/>
      <c r="BJ37" s="103"/>
      <c r="BK37" s="103"/>
      <c r="BL37" s="103">
        <f>BL35+BL36</f>
        <v>0</v>
      </c>
      <c r="BM37" s="103"/>
      <c r="BN37" s="103"/>
      <c r="BO37" s="103"/>
      <c r="BP37" s="103"/>
      <c r="BQ37" s="103">
        <f>BQ35+BQ36</f>
        <v>0</v>
      </c>
      <c r="BR37" s="103"/>
      <c r="BS37" s="103"/>
      <c r="BT37" s="103"/>
      <c r="BU37" s="103"/>
      <c r="BV37" s="103">
        <f>BV35+BV36</f>
        <v>0</v>
      </c>
      <c r="BW37" s="103"/>
      <c r="BX37" s="103"/>
      <c r="BY37" s="103"/>
      <c r="BZ37" s="103"/>
      <c r="CA37" s="103">
        <f>CA35+CA36</f>
        <v>0</v>
      </c>
      <c r="CB37" s="103"/>
      <c r="CC37" s="103"/>
      <c r="CD37" s="103"/>
      <c r="CE37" s="103"/>
      <c r="CF37" s="103">
        <f>CF35+CF36</f>
        <v>0</v>
      </c>
      <c r="CG37" s="103"/>
      <c r="CH37" s="103"/>
      <c r="CI37" s="103"/>
      <c r="CJ37" s="103"/>
      <c r="CK37" s="103">
        <f>CK35+CK36</f>
        <v>0</v>
      </c>
      <c r="CL37" s="103"/>
      <c r="CM37" s="103"/>
      <c r="CN37" s="103"/>
      <c r="CO37" s="103"/>
      <c r="CP37" s="103">
        <f>CP35+CP36</f>
        <v>0</v>
      </c>
      <c r="CQ37" s="103"/>
      <c r="CR37" s="103"/>
      <c r="CS37" s="103"/>
      <c r="CT37" s="103"/>
      <c r="CU37" s="103">
        <f>CU35+CU36</f>
        <v>0</v>
      </c>
      <c r="CV37" s="103"/>
      <c r="CW37" s="103"/>
      <c r="CX37" s="103"/>
      <c r="CY37" s="103"/>
      <c r="CZ37" s="103">
        <f>CZ35+CZ36</f>
        <v>0</v>
      </c>
      <c r="DA37" s="103"/>
      <c r="DB37" s="103"/>
      <c r="DC37" s="103"/>
      <c r="DD37" s="103"/>
      <c r="DE37" s="103">
        <f>DE35+DE36</f>
        <v>0</v>
      </c>
      <c r="DF37" s="103"/>
      <c r="DG37" s="103"/>
      <c r="DH37" s="103"/>
      <c r="DI37" s="103"/>
      <c r="DJ37" s="103">
        <f>DJ35+DJ36</f>
        <v>0</v>
      </c>
      <c r="DK37" s="103"/>
      <c r="DL37" s="103"/>
      <c r="DM37" s="103"/>
      <c r="DN37" s="103"/>
      <c r="DO37" s="103">
        <f>DO35+DO36</f>
        <v>0</v>
      </c>
      <c r="DP37" s="103"/>
      <c r="DQ37" s="103"/>
      <c r="DR37" s="103"/>
      <c r="DS37" s="103"/>
      <c r="DT37" s="103">
        <f>DT35+DT36</f>
        <v>0</v>
      </c>
      <c r="DU37" s="103"/>
      <c r="DV37" s="103"/>
      <c r="DW37" s="103"/>
      <c r="DX37" s="103"/>
      <c r="DY37" s="103">
        <f>DY35+DY36</f>
        <v>0</v>
      </c>
      <c r="DZ37" s="103"/>
      <c r="EA37" s="103"/>
      <c r="EB37" s="103"/>
      <c r="EC37" s="103"/>
      <c r="ED37" s="103">
        <f>ED35+ED36</f>
        <v>0</v>
      </c>
      <c r="EE37" s="103"/>
      <c r="EF37" s="103"/>
      <c r="EG37" s="103"/>
      <c r="EH37" s="103"/>
      <c r="EI37" s="103">
        <f>EI35+EI36</f>
        <v>0</v>
      </c>
      <c r="EJ37" s="103"/>
      <c r="EK37" s="103"/>
      <c r="EL37" s="103"/>
      <c r="EM37" s="103"/>
      <c r="EN37" s="103">
        <f>EN35+EN36</f>
        <v>0</v>
      </c>
      <c r="EO37" s="103"/>
      <c r="EP37" s="103"/>
      <c r="EQ37" s="103"/>
      <c r="ER37" s="103"/>
      <c r="ES37" s="103">
        <f>ES35+ES36</f>
        <v>0</v>
      </c>
      <c r="ET37" s="103"/>
      <c r="EU37" s="103"/>
      <c r="EV37" s="103"/>
      <c r="EW37" s="103"/>
    </row>
    <row r="38" spans="1:153" ht="21.75" customHeight="1">
      <c r="A38" s="104" t="s">
        <v>123</v>
      </c>
      <c r="B38" s="104"/>
      <c r="C38" s="104"/>
      <c r="D38" s="105">
        <f>SUM(H4:H34)</f>
        <v>0</v>
      </c>
      <c r="E38" s="105"/>
      <c r="F38" s="105"/>
      <c r="G38" s="105"/>
      <c r="H38" s="105"/>
      <c r="I38" s="105">
        <f>SUM(M4:M34)</f>
        <v>0</v>
      </c>
      <c r="J38" s="105"/>
      <c r="K38" s="105"/>
      <c r="L38" s="105"/>
      <c r="M38" s="105"/>
      <c r="N38" s="105">
        <f>SUM(R4:R34)</f>
        <v>0</v>
      </c>
      <c r="O38" s="105"/>
      <c r="P38" s="105"/>
      <c r="Q38" s="105"/>
      <c r="R38" s="105"/>
      <c r="S38" s="105">
        <f>SUM(W4:W34)</f>
        <v>0</v>
      </c>
      <c r="T38" s="105"/>
      <c r="U38" s="105"/>
      <c r="V38" s="105"/>
      <c r="W38" s="105"/>
      <c r="X38" s="105">
        <f>SUM(AB4:AB34)</f>
        <v>0</v>
      </c>
      <c r="Y38" s="105"/>
      <c r="Z38" s="105"/>
      <c r="AA38" s="105"/>
      <c r="AB38" s="105"/>
      <c r="AC38" s="105">
        <f>SUM(AG4:AG34)</f>
        <v>0</v>
      </c>
      <c r="AD38" s="105"/>
      <c r="AE38" s="105"/>
      <c r="AF38" s="105"/>
      <c r="AG38" s="105"/>
      <c r="AH38" s="105">
        <f>SUM(AL4:AL34)</f>
        <v>0</v>
      </c>
      <c r="AI38" s="105"/>
      <c r="AJ38" s="105"/>
      <c r="AK38" s="105"/>
      <c r="AL38" s="105"/>
      <c r="AM38" s="105">
        <f>SUM(AQ4:AQ34)</f>
        <v>0</v>
      </c>
      <c r="AN38" s="105"/>
      <c r="AO38" s="105"/>
      <c r="AP38" s="105"/>
      <c r="AQ38" s="105"/>
      <c r="AR38" s="105">
        <f>SUM(AV4:AV34)</f>
        <v>0</v>
      </c>
      <c r="AS38" s="105"/>
      <c r="AT38" s="105"/>
      <c r="AU38" s="105"/>
      <c r="AV38" s="105"/>
      <c r="AW38" s="105">
        <f>SUM(BA4:BA34)</f>
        <v>0</v>
      </c>
      <c r="AX38" s="105"/>
      <c r="AY38" s="105"/>
      <c r="AZ38" s="105"/>
      <c r="BA38" s="105"/>
      <c r="BB38" s="105">
        <f>SUM(BF4:BF34)</f>
        <v>0</v>
      </c>
      <c r="BC38" s="105"/>
      <c r="BD38" s="105"/>
      <c r="BE38" s="105"/>
      <c r="BF38" s="105"/>
      <c r="BG38" s="105">
        <f>SUM(BK4:BK34)</f>
        <v>0</v>
      </c>
      <c r="BH38" s="105"/>
      <c r="BI38" s="105"/>
      <c r="BJ38" s="105"/>
      <c r="BK38" s="105"/>
      <c r="BL38" s="105">
        <f>SUM(BP4:BP34)</f>
        <v>0</v>
      </c>
      <c r="BM38" s="105"/>
      <c r="BN38" s="105"/>
      <c r="BO38" s="105"/>
      <c r="BP38" s="105"/>
      <c r="BQ38" s="105">
        <f>SUM(BU4:BU34)</f>
        <v>0</v>
      </c>
      <c r="BR38" s="105"/>
      <c r="BS38" s="105"/>
      <c r="BT38" s="105"/>
      <c r="BU38" s="105"/>
      <c r="BV38" s="105">
        <f>SUM(BZ4:BZ34)</f>
        <v>0</v>
      </c>
      <c r="BW38" s="105"/>
      <c r="BX38" s="105"/>
      <c r="BY38" s="105"/>
      <c r="BZ38" s="105"/>
      <c r="CA38" s="105">
        <f>SUM(CE4:CE34)</f>
        <v>0</v>
      </c>
      <c r="CB38" s="105"/>
      <c r="CC38" s="105"/>
      <c r="CD38" s="105"/>
      <c r="CE38" s="105"/>
      <c r="CF38" s="105">
        <f>SUM(CJ4:CJ34)</f>
        <v>0</v>
      </c>
      <c r="CG38" s="105"/>
      <c r="CH38" s="105"/>
      <c r="CI38" s="105"/>
      <c r="CJ38" s="105"/>
      <c r="CK38" s="105">
        <f>SUM(CO4:CO34)</f>
        <v>0</v>
      </c>
      <c r="CL38" s="105"/>
      <c r="CM38" s="105"/>
      <c r="CN38" s="105"/>
      <c r="CO38" s="105"/>
      <c r="CP38" s="105">
        <f>SUM(CT4:CT34)</f>
        <v>0</v>
      </c>
      <c r="CQ38" s="105"/>
      <c r="CR38" s="105"/>
      <c r="CS38" s="105"/>
      <c r="CT38" s="105"/>
      <c r="CU38" s="105">
        <f>SUM(CY4:CY34)</f>
        <v>0</v>
      </c>
      <c r="CV38" s="105"/>
      <c r="CW38" s="105"/>
      <c r="CX38" s="105"/>
      <c r="CY38" s="105"/>
      <c r="CZ38" s="105">
        <f>SUM(DD4:DD34)</f>
        <v>0</v>
      </c>
      <c r="DA38" s="105"/>
      <c r="DB38" s="105"/>
      <c r="DC38" s="105"/>
      <c r="DD38" s="105"/>
      <c r="DE38" s="105">
        <f>SUM(DI4:DI34)</f>
        <v>0</v>
      </c>
      <c r="DF38" s="105"/>
      <c r="DG38" s="105"/>
      <c r="DH38" s="105"/>
      <c r="DI38" s="105"/>
      <c r="DJ38" s="105">
        <f>SUM(DN4:DN34)</f>
        <v>0</v>
      </c>
      <c r="DK38" s="105"/>
      <c r="DL38" s="105"/>
      <c r="DM38" s="105"/>
      <c r="DN38" s="105"/>
      <c r="DO38" s="105">
        <f>SUM(DS4:DS34)</f>
        <v>0</v>
      </c>
      <c r="DP38" s="105"/>
      <c r="DQ38" s="105"/>
      <c r="DR38" s="105"/>
      <c r="DS38" s="105"/>
      <c r="DT38" s="105">
        <f>SUM(DX4:DX34)</f>
        <v>0</v>
      </c>
      <c r="DU38" s="105"/>
      <c r="DV38" s="105"/>
      <c r="DW38" s="105"/>
      <c r="DX38" s="105"/>
      <c r="DY38" s="105">
        <f>SUM(EC4:EC34)</f>
        <v>0</v>
      </c>
      <c r="DZ38" s="105"/>
      <c r="EA38" s="105"/>
      <c r="EB38" s="105"/>
      <c r="EC38" s="105"/>
      <c r="ED38" s="105">
        <f>SUM(EH4:EH34)</f>
        <v>0</v>
      </c>
      <c r="EE38" s="105"/>
      <c r="EF38" s="105"/>
      <c r="EG38" s="105"/>
      <c r="EH38" s="105"/>
      <c r="EI38" s="105">
        <f>SUM(EM4:EM34)</f>
        <v>0</v>
      </c>
      <c r="EJ38" s="105"/>
      <c r="EK38" s="105"/>
      <c r="EL38" s="105"/>
      <c r="EM38" s="105"/>
      <c r="EN38" s="105">
        <f>SUM(ER4:ER34)</f>
        <v>0</v>
      </c>
      <c r="EO38" s="105"/>
      <c r="EP38" s="105"/>
      <c r="EQ38" s="105"/>
      <c r="ER38" s="105"/>
      <c r="ES38" s="105">
        <f>SUM(EW4:EW34)</f>
        <v>0</v>
      </c>
      <c r="ET38" s="105"/>
      <c r="EU38" s="105"/>
      <c r="EV38" s="105"/>
      <c r="EW38" s="105"/>
    </row>
    <row r="39" spans="1:153" ht="21.75" customHeight="1">
      <c r="A39" s="106" t="s">
        <v>105</v>
      </c>
      <c r="B39" s="106"/>
      <c r="C39" s="106"/>
      <c r="D39" s="107">
        <f>COUNTIF(D4:D34,"有給")</f>
        <v>0</v>
      </c>
      <c r="E39" s="107"/>
      <c r="F39" s="107"/>
      <c r="G39" s="107"/>
      <c r="H39" s="107"/>
      <c r="I39" s="107">
        <f>COUNTIF(I4:I34,"有給")</f>
        <v>0</v>
      </c>
      <c r="J39" s="107"/>
      <c r="K39" s="107"/>
      <c r="L39" s="107"/>
      <c r="M39" s="107"/>
      <c r="N39" s="107">
        <f>COUNTIF(N4:N34,"有給")</f>
        <v>0</v>
      </c>
      <c r="O39" s="107"/>
      <c r="P39" s="107"/>
      <c r="Q39" s="107"/>
      <c r="R39" s="107"/>
      <c r="S39" s="107">
        <f>COUNTIF(S4:S34,"有給")</f>
        <v>0</v>
      </c>
      <c r="T39" s="107"/>
      <c r="U39" s="107"/>
      <c r="V39" s="107"/>
      <c r="W39" s="107"/>
      <c r="X39" s="107">
        <f>COUNTIF(X4:X34,"有給")</f>
        <v>0</v>
      </c>
      <c r="Y39" s="107"/>
      <c r="Z39" s="107"/>
      <c r="AA39" s="107"/>
      <c r="AB39" s="107"/>
      <c r="AC39" s="107">
        <f>COUNTIF(AC4:AC34,"有給")</f>
        <v>0</v>
      </c>
      <c r="AD39" s="107"/>
      <c r="AE39" s="107"/>
      <c r="AF39" s="107"/>
      <c r="AG39" s="107"/>
      <c r="AH39" s="107">
        <f>COUNTIF(AH4:AH34,"有給")</f>
        <v>0</v>
      </c>
      <c r="AI39" s="107"/>
      <c r="AJ39" s="107"/>
      <c r="AK39" s="107"/>
      <c r="AL39" s="107"/>
      <c r="AM39" s="107">
        <f>COUNTIF(AM4:AM34,"有給")</f>
        <v>0</v>
      </c>
      <c r="AN39" s="107"/>
      <c r="AO39" s="107"/>
      <c r="AP39" s="107"/>
      <c r="AQ39" s="107"/>
      <c r="AR39" s="107">
        <f>COUNTIF(AR4:AR34,"有給")</f>
        <v>0</v>
      </c>
      <c r="AS39" s="107"/>
      <c r="AT39" s="107"/>
      <c r="AU39" s="107"/>
      <c r="AV39" s="107"/>
      <c r="AW39" s="107">
        <f>COUNTIF(AW4:AW34,"有給")</f>
        <v>0</v>
      </c>
      <c r="AX39" s="107"/>
      <c r="AY39" s="107"/>
      <c r="AZ39" s="107"/>
      <c r="BA39" s="107"/>
      <c r="BB39" s="107">
        <f>COUNTIF(BB4:BB34,"有給")</f>
        <v>0</v>
      </c>
      <c r="BC39" s="107"/>
      <c r="BD39" s="107"/>
      <c r="BE39" s="107"/>
      <c r="BF39" s="107"/>
      <c r="BG39" s="107">
        <f>COUNTIF(BG4:BG34,"有給")</f>
        <v>0</v>
      </c>
      <c r="BH39" s="107"/>
      <c r="BI39" s="107"/>
      <c r="BJ39" s="107"/>
      <c r="BK39" s="107"/>
      <c r="BL39" s="107">
        <f>COUNTIF(BL4:BL34,"有給")</f>
        <v>0</v>
      </c>
      <c r="BM39" s="107"/>
      <c r="BN39" s="107"/>
      <c r="BO39" s="107"/>
      <c r="BP39" s="107"/>
      <c r="BQ39" s="107">
        <f>COUNTIF(BQ4:BQ34,"有給")</f>
        <v>0</v>
      </c>
      <c r="BR39" s="107"/>
      <c r="BS39" s="107"/>
      <c r="BT39" s="107"/>
      <c r="BU39" s="107"/>
      <c r="BV39" s="107">
        <f>COUNTIF(BV4:BV34,"有給")</f>
        <v>0</v>
      </c>
      <c r="BW39" s="107"/>
      <c r="BX39" s="107"/>
      <c r="BY39" s="107"/>
      <c r="BZ39" s="107"/>
      <c r="CA39" s="107">
        <f>COUNTIF(CA4:CA34,"有給")</f>
        <v>0</v>
      </c>
      <c r="CB39" s="107"/>
      <c r="CC39" s="107"/>
      <c r="CD39" s="107"/>
      <c r="CE39" s="107"/>
      <c r="CF39" s="107">
        <f>COUNTIF(CF4:CF34,"有給")</f>
        <v>0</v>
      </c>
      <c r="CG39" s="107"/>
      <c r="CH39" s="107"/>
      <c r="CI39" s="107"/>
      <c r="CJ39" s="107"/>
      <c r="CK39" s="107">
        <f>COUNTIF(CK4:CK34,"有給")</f>
        <v>0</v>
      </c>
      <c r="CL39" s="107"/>
      <c r="CM39" s="107"/>
      <c r="CN39" s="107"/>
      <c r="CO39" s="107"/>
      <c r="CP39" s="107">
        <f>COUNTIF(CP4:CP34,"有給")</f>
        <v>0</v>
      </c>
      <c r="CQ39" s="107"/>
      <c r="CR39" s="107"/>
      <c r="CS39" s="107"/>
      <c r="CT39" s="107"/>
      <c r="CU39" s="107">
        <f>COUNTIF(CU4:CU34,"有給")</f>
        <v>0</v>
      </c>
      <c r="CV39" s="107"/>
      <c r="CW39" s="107"/>
      <c r="CX39" s="107"/>
      <c r="CY39" s="107"/>
      <c r="CZ39" s="107">
        <f>COUNTIF(CZ4:CZ34,"有給")</f>
        <v>0</v>
      </c>
      <c r="DA39" s="107"/>
      <c r="DB39" s="107"/>
      <c r="DC39" s="107"/>
      <c r="DD39" s="107"/>
      <c r="DE39" s="107">
        <f>COUNTIF(DE4:DE34,"有給")</f>
        <v>0</v>
      </c>
      <c r="DF39" s="107"/>
      <c r="DG39" s="107"/>
      <c r="DH39" s="107"/>
      <c r="DI39" s="107"/>
      <c r="DJ39" s="107">
        <f>COUNTIF(DJ4:DJ34,"有給")</f>
        <v>0</v>
      </c>
      <c r="DK39" s="107"/>
      <c r="DL39" s="107"/>
      <c r="DM39" s="107"/>
      <c r="DN39" s="107"/>
      <c r="DO39" s="107">
        <f>COUNTIF(DO4:DO34,"有給")</f>
        <v>0</v>
      </c>
      <c r="DP39" s="107"/>
      <c r="DQ39" s="107"/>
      <c r="DR39" s="107"/>
      <c r="DS39" s="107"/>
      <c r="DT39" s="107">
        <f>COUNTIF(DT4:DT34,"有給")</f>
        <v>0</v>
      </c>
      <c r="DU39" s="107"/>
      <c r="DV39" s="107"/>
      <c r="DW39" s="107"/>
      <c r="DX39" s="107"/>
      <c r="DY39" s="107">
        <f>COUNTIF(DY4:DY34,"有給")</f>
        <v>0</v>
      </c>
      <c r="DZ39" s="107"/>
      <c r="EA39" s="107"/>
      <c r="EB39" s="107"/>
      <c r="EC39" s="107"/>
      <c r="ED39" s="107">
        <f>COUNTIF(ED4:ED34,"有給")</f>
        <v>0</v>
      </c>
      <c r="EE39" s="107"/>
      <c r="EF39" s="107"/>
      <c r="EG39" s="107"/>
      <c r="EH39" s="107"/>
      <c r="EI39" s="107">
        <f>COUNTIF(EI4:EI34,"有給")</f>
        <v>0</v>
      </c>
      <c r="EJ39" s="107"/>
      <c r="EK39" s="107"/>
      <c r="EL39" s="107"/>
      <c r="EM39" s="107"/>
      <c r="EN39" s="107">
        <f>COUNTIF(EN4:EN34,"有給")</f>
        <v>0</v>
      </c>
      <c r="EO39" s="107"/>
      <c r="EP39" s="107"/>
      <c r="EQ39" s="107"/>
      <c r="ER39" s="107"/>
      <c r="ES39" s="107">
        <f>COUNTIF(ES4:ES34,"有給")</f>
        <v>0</v>
      </c>
      <c r="ET39" s="107"/>
      <c r="EU39" s="107"/>
      <c r="EV39" s="107"/>
      <c r="EW39" s="107"/>
    </row>
    <row r="40" spans="1:153" ht="21.75" customHeight="1">
      <c r="A40" s="108" t="s">
        <v>106</v>
      </c>
      <c r="B40" s="108"/>
      <c r="C40" s="108"/>
      <c r="D40" s="109">
        <f>COUNTIF(D4:D34,"休業")</f>
        <v>0</v>
      </c>
      <c r="E40" s="109"/>
      <c r="F40" s="109"/>
      <c r="G40" s="109"/>
      <c r="H40" s="109"/>
      <c r="I40" s="109">
        <f>COUNTIF(I4:I34,"休業")</f>
        <v>0</v>
      </c>
      <c r="J40" s="109"/>
      <c r="K40" s="109"/>
      <c r="L40" s="109"/>
      <c r="M40" s="109"/>
      <c r="N40" s="109">
        <f>COUNTIF(N4:N34,"休業")</f>
        <v>0</v>
      </c>
      <c r="O40" s="109"/>
      <c r="P40" s="109"/>
      <c r="Q40" s="109"/>
      <c r="R40" s="109"/>
      <c r="S40" s="109">
        <f>COUNTIF(S4:S34,"休業")</f>
        <v>0</v>
      </c>
      <c r="T40" s="109"/>
      <c r="U40" s="109"/>
      <c r="V40" s="109"/>
      <c r="W40" s="109"/>
      <c r="X40" s="109">
        <f>COUNTIF(X4:X34,"休業")</f>
        <v>0</v>
      </c>
      <c r="Y40" s="109"/>
      <c r="Z40" s="109"/>
      <c r="AA40" s="109"/>
      <c r="AB40" s="109"/>
      <c r="AC40" s="109">
        <f>COUNTIF(AC4:AC34,"休業")</f>
        <v>0</v>
      </c>
      <c r="AD40" s="109"/>
      <c r="AE40" s="109"/>
      <c r="AF40" s="109"/>
      <c r="AG40" s="109"/>
      <c r="AH40" s="109">
        <f>COUNTIF(AH4:AH34,"休業")</f>
        <v>0</v>
      </c>
      <c r="AI40" s="109"/>
      <c r="AJ40" s="109"/>
      <c r="AK40" s="109"/>
      <c r="AL40" s="109"/>
      <c r="AM40" s="109">
        <f>COUNTIF(AM4:AM34,"休業")</f>
        <v>0</v>
      </c>
      <c r="AN40" s="109"/>
      <c r="AO40" s="109"/>
      <c r="AP40" s="109"/>
      <c r="AQ40" s="109"/>
      <c r="AR40" s="109">
        <f>COUNTIF(AR4:AR34,"休業")</f>
        <v>0</v>
      </c>
      <c r="AS40" s="109"/>
      <c r="AT40" s="109"/>
      <c r="AU40" s="109"/>
      <c r="AV40" s="109"/>
      <c r="AW40" s="109">
        <f>COUNTIF(AW4:AW34,"休業")</f>
        <v>0</v>
      </c>
      <c r="AX40" s="109"/>
      <c r="AY40" s="109"/>
      <c r="AZ40" s="109"/>
      <c r="BA40" s="109"/>
      <c r="BB40" s="109">
        <f>COUNTIF(BB4:BB34,"休業")</f>
        <v>0</v>
      </c>
      <c r="BC40" s="109"/>
      <c r="BD40" s="109"/>
      <c r="BE40" s="109"/>
      <c r="BF40" s="109"/>
      <c r="BG40" s="109">
        <f>COUNTIF(BG4:BG34,"休業")</f>
        <v>0</v>
      </c>
      <c r="BH40" s="109"/>
      <c r="BI40" s="109"/>
      <c r="BJ40" s="109"/>
      <c r="BK40" s="109"/>
      <c r="BL40" s="109">
        <f>COUNTIF(BL4:BL34,"休業")</f>
        <v>0</v>
      </c>
      <c r="BM40" s="109"/>
      <c r="BN40" s="109"/>
      <c r="BO40" s="109"/>
      <c r="BP40" s="109"/>
      <c r="BQ40" s="109">
        <f>COUNTIF(BQ4:BQ34,"休業")</f>
        <v>0</v>
      </c>
      <c r="BR40" s="109"/>
      <c r="BS40" s="109"/>
      <c r="BT40" s="109"/>
      <c r="BU40" s="109"/>
      <c r="BV40" s="109">
        <f>COUNTIF(BV4:BV34,"休業")</f>
        <v>0</v>
      </c>
      <c r="BW40" s="109"/>
      <c r="BX40" s="109"/>
      <c r="BY40" s="109"/>
      <c r="BZ40" s="109"/>
      <c r="CA40" s="109">
        <f>COUNTIF(CA4:CA34,"休業")</f>
        <v>0</v>
      </c>
      <c r="CB40" s="109"/>
      <c r="CC40" s="109"/>
      <c r="CD40" s="109"/>
      <c r="CE40" s="109"/>
      <c r="CF40" s="109">
        <f>COUNTIF(CF4:CF34,"休業")</f>
        <v>0</v>
      </c>
      <c r="CG40" s="109"/>
      <c r="CH40" s="109"/>
      <c r="CI40" s="109"/>
      <c r="CJ40" s="109"/>
      <c r="CK40" s="109">
        <f>COUNTIF(CK4:CK34,"休業")</f>
        <v>0</v>
      </c>
      <c r="CL40" s="109"/>
      <c r="CM40" s="109"/>
      <c r="CN40" s="109"/>
      <c r="CO40" s="109"/>
      <c r="CP40" s="109">
        <f>COUNTIF(CP4:CP34,"休業")</f>
        <v>0</v>
      </c>
      <c r="CQ40" s="109"/>
      <c r="CR40" s="109"/>
      <c r="CS40" s="109"/>
      <c r="CT40" s="109"/>
      <c r="CU40" s="109">
        <f>COUNTIF(CU4:CU34,"休業")</f>
        <v>0</v>
      </c>
      <c r="CV40" s="109"/>
      <c r="CW40" s="109"/>
      <c r="CX40" s="109"/>
      <c r="CY40" s="109"/>
      <c r="CZ40" s="109">
        <f>COUNTIF(CZ4:CZ34,"休業")</f>
        <v>0</v>
      </c>
      <c r="DA40" s="109"/>
      <c r="DB40" s="109"/>
      <c r="DC40" s="109"/>
      <c r="DD40" s="109"/>
      <c r="DE40" s="109">
        <f>COUNTIF(DE4:DE34,"休業")</f>
        <v>0</v>
      </c>
      <c r="DF40" s="109"/>
      <c r="DG40" s="109"/>
      <c r="DH40" s="109"/>
      <c r="DI40" s="109"/>
      <c r="DJ40" s="109">
        <f>COUNTIF(DJ4:DJ34,"休業")</f>
        <v>0</v>
      </c>
      <c r="DK40" s="109"/>
      <c r="DL40" s="109"/>
      <c r="DM40" s="109"/>
      <c r="DN40" s="109"/>
      <c r="DO40" s="109">
        <f>COUNTIF(DO4:DO34,"休業")</f>
        <v>0</v>
      </c>
      <c r="DP40" s="109"/>
      <c r="DQ40" s="109"/>
      <c r="DR40" s="109"/>
      <c r="DS40" s="109"/>
      <c r="DT40" s="109">
        <f>COUNTIF(DT4:DT34,"休業")</f>
        <v>0</v>
      </c>
      <c r="DU40" s="109"/>
      <c r="DV40" s="109"/>
      <c r="DW40" s="109"/>
      <c r="DX40" s="109"/>
      <c r="DY40" s="109">
        <f>COUNTIF(DY4:DY34,"休業")</f>
        <v>0</v>
      </c>
      <c r="DZ40" s="109"/>
      <c r="EA40" s="109"/>
      <c r="EB40" s="109"/>
      <c r="EC40" s="109"/>
      <c r="ED40" s="109">
        <f>COUNTIF(ED4:ED34,"休業")</f>
        <v>0</v>
      </c>
      <c r="EE40" s="109"/>
      <c r="EF40" s="109"/>
      <c r="EG40" s="109"/>
      <c r="EH40" s="109"/>
      <c r="EI40" s="109">
        <f>COUNTIF(EI4:EI34,"休業")</f>
        <v>0</v>
      </c>
      <c r="EJ40" s="109"/>
      <c r="EK40" s="109"/>
      <c r="EL40" s="109"/>
      <c r="EM40" s="109"/>
      <c r="EN40" s="109">
        <f>COUNTIF(EN4:EN34,"休業")</f>
        <v>0</v>
      </c>
      <c r="EO40" s="109"/>
      <c r="EP40" s="109"/>
      <c r="EQ40" s="109"/>
      <c r="ER40" s="109"/>
      <c r="ES40" s="109">
        <f>COUNTIF(ES4:ES34,"休業")</f>
        <v>0</v>
      </c>
      <c r="ET40" s="109"/>
      <c r="EU40" s="109"/>
      <c r="EV40" s="109"/>
      <c r="EW40" s="109"/>
    </row>
  </sheetData>
  <mergeCells count="217">
    <mergeCell ref="ED40:EH40"/>
    <mergeCell ref="EI40:EM40"/>
    <mergeCell ref="EN40:ER40"/>
    <mergeCell ref="ES40:EW40"/>
    <mergeCell ref="CK40:CO40"/>
    <mergeCell ref="CP40:CT40"/>
    <mergeCell ref="CU40:CY40"/>
    <mergeCell ref="CZ40:DD40"/>
    <mergeCell ref="DE40:DI40"/>
    <mergeCell ref="DJ40:DN40"/>
    <mergeCell ref="DO40:DS40"/>
    <mergeCell ref="DT40:DX40"/>
    <mergeCell ref="DY40:EC40"/>
    <mergeCell ref="DT39:DX39"/>
    <mergeCell ref="DY39:EC39"/>
    <mergeCell ref="ED39:EH39"/>
    <mergeCell ref="EI39:EM39"/>
    <mergeCell ref="EN39:ER39"/>
    <mergeCell ref="ES39:EW39"/>
    <mergeCell ref="A40:C40"/>
    <mergeCell ref="D40:H40"/>
    <mergeCell ref="I40:M40"/>
    <mergeCell ref="N40:R40"/>
    <mergeCell ref="S40:W40"/>
    <mergeCell ref="X40:AB40"/>
    <mergeCell ref="AC40:AG40"/>
    <mergeCell ref="AH40:AL40"/>
    <mergeCell ref="AM40:AQ40"/>
    <mergeCell ref="AR40:AV40"/>
    <mergeCell ref="AW40:BA40"/>
    <mergeCell ref="BB40:BF40"/>
    <mergeCell ref="BG40:BK40"/>
    <mergeCell ref="BL40:BP40"/>
    <mergeCell ref="BQ40:BU40"/>
    <mergeCell ref="BV40:BZ40"/>
    <mergeCell ref="CA40:CE40"/>
    <mergeCell ref="CF40:CJ40"/>
    <mergeCell ref="CA39:CE39"/>
    <mergeCell ref="CF39:CJ39"/>
    <mergeCell ref="CK39:CO39"/>
    <mergeCell ref="CP39:CT39"/>
    <mergeCell ref="CU39:CY39"/>
    <mergeCell ref="CZ39:DD39"/>
    <mergeCell ref="DE39:DI39"/>
    <mergeCell ref="DJ39:DN39"/>
    <mergeCell ref="DO39:DS39"/>
    <mergeCell ref="DJ38:DN38"/>
    <mergeCell ref="DO38:DS38"/>
    <mergeCell ref="DT38:DX38"/>
    <mergeCell ref="DY38:EC38"/>
    <mergeCell ref="ED38:EH38"/>
    <mergeCell ref="EI38:EM38"/>
    <mergeCell ref="EN38:ER38"/>
    <mergeCell ref="ES38:EW38"/>
    <mergeCell ref="A39:C39"/>
    <mergeCell ref="D39:H39"/>
    <mergeCell ref="I39:M39"/>
    <mergeCell ref="N39:R39"/>
    <mergeCell ref="S39:W39"/>
    <mergeCell ref="X39:AB39"/>
    <mergeCell ref="AC39:AG39"/>
    <mergeCell ref="AH39:AL39"/>
    <mergeCell ref="AM39:AQ39"/>
    <mergeCell ref="AR39:AV39"/>
    <mergeCell ref="AW39:BA39"/>
    <mergeCell ref="BB39:BF39"/>
    <mergeCell ref="BG39:BK39"/>
    <mergeCell ref="BL39:BP39"/>
    <mergeCell ref="BQ39:BU39"/>
    <mergeCell ref="BV39:BZ39"/>
    <mergeCell ref="ES37:EW37"/>
    <mergeCell ref="A38:C38"/>
    <mergeCell ref="D38:H38"/>
    <mergeCell ref="I38:M38"/>
    <mergeCell ref="N38:R38"/>
    <mergeCell ref="S38:W38"/>
    <mergeCell ref="X38:AB38"/>
    <mergeCell ref="AC38:AG38"/>
    <mergeCell ref="AH38:AL38"/>
    <mergeCell ref="AM38:AQ38"/>
    <mergeCell ref="AR38:AV38"/>
    <mergeCell ref="AW38:BA38"/>
    <mergeCell ref="BB38:BF38"/>
    <mergeCell ref="BG38:BK38"/>
    <mergeCell ref="BL38:BP38"/>
    <mergeCell ref="BQ38:BU38"/>
    <mergeCell ref="BV38:BZ38"/>
    <mergeCell ref="CA38:CE38"/>
    <mergeCell ref="CF38:CJ38"/>
    <mergeCell ref="CK38:CO38"/>
    <mergeCell ref="CP38:CT38"/>
    <mergeCell ref="CU38:CY38"/>
    <mergeCell ref="CZ38:DD38"/>
    <mergeCell ref="DE38:DI38"/>
    <mergeCell ref="CZ37:DD37"/>
    <mergeCell ref="DE37:DI37"/>
    <mergeCell ref="DJ37:DN37"/>
    <mergeCell ref="DO37:DS37"/>
    <mergeCell ref="DT37:DX37"/>
    <mergeCell ref="DY37:EC37"/>
    <mergeCell ref="ED37:EH37"/>
    <mergeCell ref="EI37:EM37"/>
    <mergeCell ref="EN37:ER37"/>
    <mergeCell ref="EI36:EM36"/>
    <mergeCell ref="EN36:ER36"/>
    <mergeCell ref="ES36:EW36"/>
    <mergeCell ref="A37:C37"/>
    <mergeCell ref="D37:H37"/>
    <mergeCell ref="I37:M37"/>
    <mergeCell ref="N37:R37"/>
    <mergeCell ref="S37:W37"/>
    <mergeCell ref="X37:AB37"/>
    <mergeCell ref="AC37:AG37"/>
    <mergeCell ref="AH37:AL37"/>
    <mergeCell ref="AM37:AQ37"/>
    <mergeCell ref="AR37:AV37"/>
    <mergeCell ref="AW37:BA37"/>
    <mergeCell ref="BB37:BF37"/>
    <mergeCell ref="BG37:BK37"/>
    <mergeCell ref="BL37:BP37"/>
    <mergeCell ref="BQ37:BU37"/>
    <mergeCell ref="BV37:BZ37"/>
    <mergeCell ref="CA37:CE37"/>
    <mergeCell ref="CF37:CJ37"/>
    <mergeCell ref="CK37:CO37"/>
    <mergeCell ref="CP37:CT37"/>
    <mergeCell ref="CU37:CY37"/>
    <mergeCell ref="CP36:CT36"/>
    <mergeCell ref="CU36:CY36"/>
    <mergeCell ref="CZ36:DD36"/>
    <mergeCell ref="DE36:DI36"/>
    <mergeCell ref="DJ36:DN36"/>
    <mergeCell ref="DO36:DS36"/>
    <mergeCell ref="DT36:DX36"/>
    <mergeCell ref="DY36:EC36"/>
    <mergeCell ref="ED36:EH36"/>
    <mergeCell ref="DY35:EC35"/>
    <mergeCell ref="ED35:EH35"/>
    <mergeCell ref="EI35:EM35"/>
    <mergeCell ref="EN35:ER35"/>
    <mergeCell ref="ES35:EW35"/>
    <mergeCell ref="A36:C36"/>
    <mergeCell ref="D36:H36"/>
    <mergeCell ref="I36:M36"/>
    <mergeCell ref="N36:R36"/>
    <mergeCell ref="S36:W36"/>
    <mergeCell ref="X36:AB36"/>
    <mergeCell ref="AC36:AG36"/>
    <mergeCell ref="AH36:AL36"/>
    <mergeCell ref="AM36:AQ36"/>
    <mergeCell ref="AR36:AV36"/>
    <mergeCell ref="AW36:BA36"/>
    <mergeCell ref="BB36:BF36"/>
    <mergeCell ref="BG36:BK36"/>
    <mergeCell ref="BL36:BP36"/>
    <mergeCell ref="BQ36:BU36"/>
    <mergeCell ref="BV36:BZ36"/>
    <mergeCell ref="CA36:CE36"/>
    <mergeCell ref="CF36:CJ36"/>
    <mergeCell ref="CK36:CO36"/>
    <mergeCell ref="CF35:CJ35"/>
    <mergeCell ref="CK35:CO35"/>
    <mergeCell ref="CP35:CT35"/>
    <mergeCell ref="CU35:CY35"/>
    <mergeCell ref="CZ35:DD35"/>
    <mergeCell ref="DE35:DI35"/>
    <mergeCell ref="DJ35:DN35"/>
    <mergeCell ref="DO35:DS35"/>
    <mergeCell ref="DT35:DX35"/>
    <mergeCell ref="DO2:DS2"/>
    <mergeCell ref="DT2:DX2"/>
    <mergeCell ref="DY2:EC2"/>
    <mergeCell ref="ED2:EH2"/>
    <mergeCell ref="EI2:EM2"/>
    <mergeCell ref="EN2:ER2"/>
    <mergeCell ref="ES2:EW2"/>
    <mergeCell ref="A35:C35"/>
    <mergeCell ref="D35:H35"/>
    <mergeCell ref="I35:M35"/>
    <mergeCell ref="N35:R35"/>
    <mergeCell ref="S35:W35"/>
    <mergeCell ref="X35:AB35"/>
    <mergeCell ref="AC35:AG35"/>
    <mergeCell ref="AH35:AL35"/>
    <mergeCell ref="AM35:AQ35"/>
    <mergeCell ref="AR35:AV35"/>
    <mergeCell ref="AW35:BA35"/>
    <mergeCell ref="BB35:BF35"/>
    <mergeCell ref="BG35:BK35"/>
    <mergeCell ref="BL35:BP35"/>
    <mergeCell ref="BQ35:BU35"/>
    <mergeCell ref="BV35:BZ35"/>
    <mergeCell ref="CA35:CE35"/>
    <mergeCell ref="A1:EW1"/>
    <mergeCell ref="D2:H2"/>
    <mergeCell ref="I2:M2"/>
    <mergeCell ref="N2:R2"/>
    <mergeCell ref="S2:W2"/>
    <mergeCell ref="X2:AB2"/>
    <mergeCell ref="AC2:AG2"/>
    <mergeCell ref="AH2:AL2"/>
    <mergeCell ref="AM2:AQ2"/>
    <mergeCell ref="AR2:AV2"/>
    <mergeCell ref="AW2:BA2"/>
    <mergeCell ref="BB2:BF2"/>
    <mergeCell ref="BG2:BK2"/>
    <mergeCell ref="BL2:BP2"/>
    <mergeCell ref="BQ2:BU2"/>
    <mergeCell ref="BV2:BZ2"/>
    <mergeCell ref="CA2:CE2"/>
    <mergeCell ref="CF2:CJ2"/>
    <mergeCell ref="CK2:CO2"/>
    <mergeCell ref="CP2:CT2"/>
    <mergeCell ref="CU2:CY2"/>
    <mergeCell ref="CZ2:DD2"/>
    <mergeCell ref="DE2:DI2"/>
    <mergeCell ref="DJ2:DN2"/>
  </mergeCells>
  <phoneticPr fontId="51"/>
  <conditionalFormatting sqref="A4:EW34">
    <cfRule type="expression" dxfId="190" priority="63">
      <formula>$B4="日"</formula>
    </cfRule>
    <cfRule type="expression" dxfId="189" priority="64">
      <formula>$B4="土"</formula>
    </cfRule>
    <cfRule type="expression" dxfId="188" priority="62">
      <formula>AND($A4&lt;&gt;"",ISNUMBER(MATCH(DATE(対象年度,11,$A4),祝日リスト,0)))</formula>
    </cfRule>
  </conditionalFormatting>
  <conditionalFormatting sqref="D4:D34">
    <cfRule type="expression" dxfId="187" priority="3">
      <formula>$D4="休業"</formula>
    </cfRule>
    <cfRule type="expression" dxfId="186" priority="2">
      <formula>$D4="有給"</formula>
    </cfRule>
  </conditionalFormatting>
  <conditionalFormatting sqref="I4:I34">
    <cfRule type="expression" dxfId="185" priority="4">
      <formula>$I4="有給"</formula>
    </cfRule>
    <cfRule type="expression" dxfId="184" priority="5">
      <formula>$I4="休業"</formula>
    </cfRule>
  </conditionalFormatting>
  <conditionalFormatting sqref="N4:N34">
    <cfRule type="expression" dxfId="183" priority="6">
      <formula>$N4="有給"</formula>
    </cfRule>
    <cfRule type="expression" dxfId="182" priority="7">
      <formula>$N4="休業"</formula>
    </cfRule>
  </conditionalFormatting>
  <conditionalFormatting sqref="S4:S34">
    <cfRule type="expression" dxfId="181" priority="8">
      <formula>$S4="有給"</formula>
    </cfRule>
    <cfRule type="expression" dxfId="180" priority="9">
      <formula>$S4="休業"</formula>
    </cfRule>
  </conditionalFormatting>
  <conditionalFormatting sqref="X4:X34">
    <cfRule type="expression" dxfId="179" priority="10">
      <formula>$X4="有給"</formula>
    </cfRule>
    <cfRule type="expression" dxfId="178" priority="11">
      <formula>$X4="休業"</formula>
    </cfRule>
  </conditionalFormatting>
  <conditionalFormatting sqref="AC4:AC34">
    <cfRule type="expression" dxfId="177" priority="12">
      <formula>$AC4="有給"</formula>
    </cfRule>
    <cfRule type="expression" dxfId="176" priority="13">
      <formula>$AC4="休業"</formula>
    </cfRule>
  </conditionalFormatting>
  <conditionalFormatting sqref="AH4:AH34">
    <cfRule type="expression" dxfId="175" priority="14">
      <formula>$AH4="有給"</formula>
    </cfRule>
    <cfRule type="expression" dxfId="174" priority="15">
      <formula>$AH4="休業"</formula>
    </cfRule>
  </conditionalFormatting>
  <conditionalFormatting sqref="AM4:AM34">
    <cfRule type="expression" dxfId="173" priority="17">
      <formula>$AM4="休業"</formula>
    </cfRule>
    <cfRule type="expression" dxfId="172" priority="16">
      <formula>$AM4="有給"</formula>
    </cfRule>
  </conditionalFormatting>
  <conditionalFormatting sqref="AR4:AR34">
    <cfRule type="expression" dxfId="171" priority="19">
      <formula>$AR4="休業"</formula>
    </cfRule>
    <cfRule type="expression" dxfId="170" priority="18">
      <formula>$AR4="有給"</formula>
    </cfRule>
  </conditionalFormatting>
  <conditionalFormatting sqref="AW4:AW34">
    <cfRule type="expression" dxfId="169" priority="20">
      <formula>$AW4="有給"</formula>
    </cfRule>
    <cfRule type="expression" dxfId="168" priority="21">
      <formula>$AW4="休業"</formula>
    </cfRule>
  </conditionalFormatting>
  <conditionalFormatting sqref="BB4:BB34">
    <cfRule type="expression" dxfId="167" priority="22">
      <formula>$BB4="有給"</formula>
    </cfRule>
    <cfRule type="expression" dxfId="166" priority="23">
      <formula>$BB4="休業"</formula>
    </cfRule>
  </conditionalFormatting>
  <conditionalFormatting sqref="BG4:BG34">
    <cfRule type="expression" dxfId="165" priority="24">
      <formula>$BG4="有給"</formula>
    </cfRule>
    <cfRule type="expression" dxfId="164" priority="25">
      <formula>$BG4="休業"</formula>
    </cfRule>
  </conditionalFormatting>
  <conditionalFormatting sqref="BL4:BL34">
    <cfRule type="expression" dxfId="163" priority="26">
      <formula>$BL4="有給"</formula>
    </cfRule>
    <cfRule type="expression" dxfId="162" priority="27">
      <formula>$BL4="休業"</formula>
    </cfRule>
  </conditionalFormatting>
  <conditionalFormatting sqref="BQ4:BQ34">
    <cfRule type="expression" dxfId="161" priority="28">
      <formula>$BQ4="有給"</formula>
    </cfRule>
    <cfRule type="expression" dxfId="160" priority="29">
      <formula>$BQ4="休業"</formula>
    </cfRule>
  </conditionalFormatting>
  <conditionalFormatting sqref="BV4:BV34">
    <cfRule type="expression" dxfId="159" priority="30">
      <formula>$BV4="有給"</formula>
    </cfRule>
    <cfRule type="expression" dxfId="158" priority="31">
      <formula>$BV4="休業"</formula>
    </cfRule>
  </conditionalFormatting>
  <conditionalFormatting sqref="CA4:CA34">
    <cfRule type="expression" dxfId="157" priority="33">
      <formula>$CA4="休業"</formula>
    </cfRule>
    <cfRule type="expression" dxfId="156" priority="32">
      <formula>$CA4="有給"</formula>
    </cfRule>
  </conditionalFormatting>
  <conditionalFormatting sqref="CF4:CF34">
    <cfRule type="expression" dxfId="155" priority="34">
      <formula>$CF4="有給"</formula>
    </cfRule>
    <cfRule type="expression" dxfId="154" priority="35">
      <formula>$CF4="休業"</formula>
    </cfRule>
  </conditionalFormatting>
  <conditionalFormatting sqref="CK4:CK34">
    <cfRule type="expression" dxfId="153" priority="37">
      <formula>$CK4="休業"</formula>
    </cfRule>
    <cfRule type="expression" dxfId="152" priority="36">
      <formula>$CK4="有給"</formula>
    </cfRule>
  </conditionalFormatting>
  <conditionalFormatting sqref="CP4:CP34">
    <cfRule type="expression" dxfId="151" priority="38">
      <formula>$CP4="有給"</formula>
    </cfRule>
    <cfRule type="expression" dxfId="150" priority="39">
      <formula>$CP4="休業"</formula>
    </cfRule>
  </conditionalFormatting>
  <conditionalFormatting sqref="CU4:CU34">
    <cfRule type="expression" dxfId="149" priority="40">
      <formula>$CU4="有給"</formula>
    </cfRule>
    <cfRule type="expression" dxfId="148" priority="41">
      <formula>$CU4="休業"</formula>
    </cfRule>
  </conditionalFormatting>
  <conditionalFormatting sqref="CZ4:CZ34">
    <cfRule type="expression" dxfId="147" priority="42">
      <formula>$CZ4="有給"</formula>
    </cfRule>
    <cfRule type="expression" dxfId="146" priority="43">
      <formula>$CZ4="休業"</formula>
    </cfRule>
  </conditionalFormatting>
  <conditionalFormatting sqref="DE4:DE34">
    <cfRule type="expression" dxfId="145" priority="44">
      <formula>$DE4="有給"</formula>
    </cfRule>
    <cfRule type="expression" dxfId="144" priority="45">
      <formula>$DE4="休業"</formula>
    </cfRule>
  </conditionalFormatting>
  <conditionalFormatting sqref="DJ4:DJ34">
    <cfRule type="expression" dxfId="143" priority="46">
      <formula>$DJ4="有給"</formula>
    </cfRule>
    <cfRule type="expression" dxfId="142" priority="47">
      <formula>$DJ4="休業"</formula>
    </cfRule>
  </conditionalFormatting>
  <conditionalFormatting sqref="DO4:DO34">
    <cfRule type="expression" dxfId="141" priority="48">
      <formula>$DO4="有給"</formula>
    </cfRule>
    <cfRule type="expression" dxfId="140" priority="49">
      <formula>$DO4="休業"</formula>
    </cfRule>
  </conditionalFormatting>
  <conditionalFormatting sqref="DT4:DT34">
    <cfRule type="expression" dxfId="139" priority="51">
      <formula>$DT4="休業"</formula>
    </cfRule>
    <cfRule type="expression" dxfId="138" priority="50">
      <formula>$DT4="有給"</formula>
    </cfRule>
  </conditionalFormatting>
  <conditionalFormatting sqref="DY4:DY34">
    <cfRule type="expression" dxfId="137" priority="52">
      <formula>$DY4="有給"</formula>
    </cfRule>
    <cfRule type="expression" dxfId="136" priority="53">
      <formula>$DY4="休業"</formula>
    </cfRule>
  </conditionalFormatting>
  <conditionalFormatting sqref="ED4:ED34">
    <cfRule type="expression" dxfId="135" priority="54">
      <formula>$ED4="有給"</formula>
    </cfRule>
    <cfRule type="expression" dxfId="134" priority="55">
      <formula>$ED4="休業"</formula>
    </cfRule>
  </conditionalFormatting>
  <conditionalFormatting sqref="EI4:EI34">
    <cfRule type="expression" dxfId="133" priority="56">
      <formula>$EI4="有給"</formula>
    </cfRule>
    <cfRule type="expression" dxfId="132" priority="57">
      <formula>$EI4="休業"</formula>
    </cfRule>
  </conditionalFormatting>
  <conditionalFormatting sqref="EN4:EN34">
    <cfRule type="expression" dxfId="131" priority="58">
      <formula>$EN4="有給"</formula>
    </cfRule>
    <cfRule type="expression" dxfId="130" priority="59">
      <formula>$EN4="休業"</formula>
    </cfRule>
  </conditionalFormatting>
  <conditionalFormatting sqref="ES4:ES34">
    <cfRule type="expression" dxfId="129" priority="60">
      <formula>$ES4="有給"</formula>
    </cfRule>
    <cfRule type="expression" dxfId="128" priority="61">
      <formula>$ES4="休業"</formula>
    </cfRule>
  </conditionalFormatting>
  <pageMargins left="0.31496062992125984" right="0.31496062992125984" top="0.98425196850393704" bottom="0.98425196850393704" header="0.51181102362204722" footer="0.51181102362204722"/>
  <pageSetup paperSize="8" scale="14" orientation="landscape" horizontalDpi="300" verticalDpi="300" r:id="rId1"/>
  <headerFooter>
    <oddFooter>&amp;C&amp;"ＭＳ Ｐゴシック,標準"制作：有限会社水越設備&amp;Rsp-mizukoshi.jp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00000000-0002-0000-0E00-000000000000}">
          <x14:formula1>
            <xm:f>現場マスタ!$C$4:$C$43</xm:f>
          </x14:formula1>
          <x14:formula2>
            <xm:f>0</xm:f>
          </x14:formula2>
          <xm:sqref>D4:E34 I4:J34 N4:O34 S4:T34 X4:Y34 AC4:AD34 AH4:AI34 AM4:AN34 AR4:AS34 AW4:AX34 BB4:BC34 BG4:BH34 BL4:BM34 BQ4:BR34 BV4:BW34 CA4:CB34 CF4:CG34 CK4:CL34 CP4:CQ34 CU4:CV34 CZ4:DA34 DE4:DF34 DJ4:DK34 DO4:DP34 DT4:DU34 DY4:DZ34 ED4:EE34 EI4:EJ34 EN4:EO34 ES4:ET34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EW40"/>
  <sheetViews>
    <sheetView zoomScaleNormal="100" workbookViewId="0">
      <pane xSplit="3" ySplit="3" topLeftCell="D4" activePane="bottomRight" state="frozen"/>
      <selection sqref="A1:EW1"/>
      <selection pane="topRight" sqref="A1:EW1"/>
      <selection pane="bottomLeft" sqref="A1:EW1"/>
      <selection pane="bottomRight" sqref="A1:EW1"/>
    </sheetView>
  </sheetViews>
  <sheetFormatPr defaultColWidth="8.7109375" defaultRowHeight="15"/>
  <cols>
    <col min="1" max="1" width="5" customWidth="1"/>
    <col min="2" max="3" width="4" customWidth="1"/>
    <col min="4" max="5" width="13" customWidth="1"/>
    <col min="6" max="7" width="6" customWidth="1"/>
    <col min="8" max="8" width="7" customWidth="1"/>
    <col min="9" max="10" width="13" customWidth="1"/>
    <col min="11" max="12" width="6" customWidth="1"/>
    <col min="13" max="13" width="7" customWidth="1"/>
    <col min="14" max="15" width="13" customWidth="1"/>
    <col min="16" max="17" width="6" customWidth="1"/>
    <col min="18" max="18" width="7" customWidth="1"/>
    <col min="19" max="20" width="13" customWidth="1"/>
    <col min="21" max="22" width="6" customWidth="1"/>
    <col min="23" max="23" width="7" customWidth="1"/>
    <col min="24" max="25" width="13" customWidth="1"/>
    <col min="26" max="27" width="6" customWidth="1"/>
    <col min="28" max="28" width="7" customWidth="1"/>
    <col min="29" max="30" width="13" customWidth="1"/>
    <col min="31" max="32" width="6" customWidth="1"/>
    <col min="33" max="33" width="7" customWidth="1"/>
    <col min="34" max="35" width="13" customWidth="1"/>
    <col min="36" max="37" width="6" customWidth="1"/>
    <col min="38" max="38" width="7" customWidth="1"/>
    <col min="39" max="40" width="13" customWidth="1"/>
    <col min="41" max="42" width="6" customWidth="1"/>
    <col min="43" max="43" width="7" customWidth="1"/>
    <col min="44" max="45" width="13" customWidth="1"/>
    <col min="46" max="47" width="6" customWidth="1"/>
    <col min="48" max="48" width="7" customWidth="1"/>
    <col min="49" max="50" width="13" customWidth="1"/>
    <col min="51" max="52" width="6" customWidth="1"/>
    <col min="53" max="53" width="7" customWidth="1"/>
    <col min="54" max="55" width="13" customWidth="1"/>
    <col min="56" max="57" width="6" customWidth="1"/>
    <col min="58" max="58" width="7" customWidth="1"/>
    <col min="59" max="60" width="13" customWidth="1"/>
    <col min="61" max="62" width="6" customWidth="1"/>
    <col min="63" max="63" width="7" customWidth="1"/>
    <col min="64" max="65" width="13" customWidth="1"/>
    <col min="66" max="67" width="6" customWidth="1"/>
    <col min="68" max="68" width="7" customWidth="1"/>
    <col min="69" max="70" width="13" customWidth="1"/>
    <col min="71" max="72" width="6" customWidth="1"/>
    <col min="73" max="73" width="7" customWidth="1"/>
    <col min="74" max="75" width="13" customWidth="1"/>
    <col min="76" max="77" width="6" customWidth="1"/>
    <col min="78" max="78" width="7" customWidth="1"/>
    <col min="79" max="80" width="13" customWidth="1"/>
    <col min="81" max="82" width="6" customWidth="1"/>
    <col min="83" max="83" width="7" customWidth="1"/>
    <col min="84" max="85" width="13" customWidth="1"/>
    <col min="86" max="87" width="6" customWidth="1"/>
    <col min="88" max="88" width="7" customWidth="1"/>
    <col min="89" max="90" width="13" customWidth="1"/>
    <col min="91" max="92" width="6" customWidth="1"/>
    <col min="93" max="93" width="7" customWidth="1"/>
    <col min="94" max="95" width="13" customWidth="1"/>
    <col min="96" max="97" width="6" customWidth="1"/>
    <col min="98" max="98" width="7" customWidth="1"/>
    <col min="99" max="100" width="13" customWidth="1"/>
    <col min="101" max="102" width="6" customWidth="1"/>
    <col min="103" max="103" width="7" customWidth="1"/>
    <col min="104" max="105" width="13" customWidth="1"/>
    <col min="106" max="107" width="6" customWidth="1"/>
    <col min="108" max="108" width="7" customWidth="1"/>
    <col min="109" max="110" width="13" customWidth="1"/>
    <col min="111" max="112" width="6" customWidth="1"/>
    <col min="113" max="113" width="7" customWidth="1"/>
    <col min="114" max="115" width="13" customWidth="1"/>
    <col min="116" max="117" width="6" customWidth="1"/>
    <col min="118" max="118" width="7" customWidth="1"/>
    <col min="119" max="120" width="13" customWidth="1"/>
    <col min="121" max="122" width="6" customWidth="1"/>
    <col min="123" max="123" width="7" customWidth="1"/>
    <col min="124" max="125" width="13" customWidth="1"/>
    <col min="126" max="127" width="6" customWidth="1"/>
    <col min="128" max="128" width="7" customWidth="1"/>
    <col min="129" max="130" width="13" customWidth="1"/>
    <col min="131" max="132" width="6" customWidth="1"/>
    <col min="133" max="133" width="7" customWidth="1"/>
    <col min="134" max="135" width="13" customWidth="1"/>
    <col min="136" max="137" width="6" customWidth="1"/>
    <col min="138" max="138" width="7" customWidth="1"/>
    <col min="139" max="140" width="13" customWidth="1"/>
    <col min="141" max="142" width="6" customWidth="1"/>
    <col min="143" max="143" width="7" customWidth="1"/>
    <col min="144" max="145" width="13" customWidth="1"/>
    <col min="146" max="147" width="6" customWidth="1"/>
    <col min="148" max="148" width="7" customWidth="1"/>
    <col min="149" max="150" width="13" customWidth="1"/>
    <col min="151" max="152" width="6" customWidth="1"/>
    <col min="153" max="153" width="7" customWidth="1"/>
  </cols>
  <sheetData>
    <row r="1" spans="1:153" ht="36" customHeight="1">
      <c r="A1" s="96" t="str">
        <f>" "&amp;対象年度&amp;"年 12月分　出面表　"</f>
        <v xml:space="preserve"> 2026年 12月分　出面表　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Y1" s="96"/>
      <c r="BZ1" s="96"/>
      <c r="CA1" s="96"/>
      <c r="CB1" s="96"/>
      <c r="CC1" s="96"/>
      <c r="CD1" s="96"/>
      <c r="CE1" s="96"/>
      <c r="CF1" s="96"/>
      <c r="CG1" s="96"/>
      <c r="CH1" s="96"/>
      <c r="CI1" s="96"/>
      <c r="CJ1" s="96"/>
      <c r="CK1" s="96"/>
      <c r="CL1" s="96"/>
      <c r="CM1" s="96"/>
      <c r="CN1" s="96"/>
      <c r="CO1" s="96"/>
      <c r="CP1" s="96"/>
      <c r="CQ1" s="96"/>
      <c r="CR1" s="96"/>
      <c r="CS1" s="96"/>
      <c r="CT1" s="96"/>
      <c r="CU1" s="96"/>
      <c r="CV1" s="96"/>
      <c r="CW1" s="96"/>
      <c r="CX1" s="96"/>
      <c r="CY1" s="96"/>
      <c r="CZ1" s="96"/>
      <c r="DA1" s="96"/>
      <c r="DB1" s="96"/>
      <c r="DC1" s="96"/>
      <c r="DD1" s="96"/>
      <c r="DE1" s="96"/>
      <c r="DF1" s="96"/>
      <c r="DG1" s="96"/>
      <c r="DH1" s="96"/>
      <c r="DI1" s="96"/>
      <c r="DJ1" s="96"/>
      <c r="DK1" s="96"/>
      <c r="DL1" s="96"/>
      <c r="DM1" s="96"/>
      <c r="DN1" s="96"/>
      <c r="DO1" s="96"/>
      <c r="DP1" s="96"/>
      <c r="DQ1" s="96"/>
      <c r="DR1" s="96"/>
      <c r="DS1" s="96"/>
      <c r="DT1" s="96"/>
      <c r="DU1" s="96"/>
      <c r="DV1" s="96"/>
      <c r="DW1" s="96"/>
      <c r="DX1" s="96"/>
      <c r="DY1" s="96"/>
      <c r="DZ1" s="96"/>
      <c r="EA1" s="96"/>
      <c r="EB1" s="96"/>
      <c r="EC1" s="96"/>
      <c r="ED1" s="96"/>
      <c r="EE1" s="96"/>
      <c r="EF1" s="96"/>
      <c r="EG1" s="96"/>
      <c r="EH1" s="96"/>
      <c r="EI1" s="96"/>
      <c r="EJ1" s="96"/>
      <c r="EK1" s="96"/>
      <c r="EL1" s="96"/>
      <c r="EM1" s="96"/>
      <c r="EN1" s="96"/>
      <c r="EO1" s="96"/>
      <c r="EP1" s="96"/>
      <c r="EQ1" s="96"/>
      <c r="ER1" s="96"/>
      <c r="ES1" s="96"/>
      <c r="ET1" s="96"/>
      <c r="EU1" s="96"/>
      <c r="EV1" s="96"/>
      <c r="EW1" s="96"/>
    </row>
    <row r="2" spans="1:153" ht="25.5" customHeight="1">
      <c r="A2" s="21"/>
      <c r="B2" s="21"/>
      <c r="C2" s="21"/>
      <c r="D2" s="97" t="str">
        <f>IFERROR(IF(従業員マスタ!$C$4="","",対象年度&amp;"年12月　"&amp;従業員マスタ!$C$4),"")</f>
        <v>2026年12月　代表 太郎</v>
      </c>
      <c r="E2" s="97"/>
      <c r="F2" s="97"/>
      <c r="G2" s="97"/>
      <c r="H2" s="97"/>
      <c r="I2" s="97" t="str">
        <f>IFERROR(IF(従業員マスタ!$C$5="","",対象年度&amp;"年12月　"&amp;従業員マスタ!$C$5),"")</f>
        <v>2026年12月　専務 次郎</v>
      </c>
      <c r="J2" s="97"/>
      <c r="K2" s="97"/>
      <c r="L2" s="97"/>
      <c r="M2" s="97"/>
      <c r="N2" s="97" t="str">
        <f>IFERROR(IF(従業員マスタ!$C$6="","",対象年度&amp;"年12月　"&amp;従業員マスタ!$C$6),"")</f>
        <v>2026年12月　山田 一郎</v>
      </c>
      <c r="O2" s="97"/>
      <c r="P2" s="97"/>
      <c r="Q2" s="97"/>
      <c r="R2" s="97"/>
      <c r="S2" s="97" t="str">
        <f>IFERROR(IF(従業員マスタ!$C$7="","",対象年度&amp;"年12月　"&amp;従業員マスタ!$C$7),"")</f>
        <v>2026年12月　鈴木 二郎</v>
      </c>
      <c r="T2" s="97"/>
      <c r="U2" s="97"/>
      <c r="V2" s="97"/>
      <c r="W2" s="97"/>
      <c r="X2" s="97" t="str">
        <f>IFERROR(IF(従業員マスタ!$C$8="","",対象年度&amp;"年12月　"&amp;従業員マスタ!$C$8),"")</f>
        <v>2026年12月　佐藤 三郎</v>
      </c>
      <c r="Y2" s="97"/>
      <c r="Z2" s="97"/>
      <c r="AA2" s="97"/>
      <c r="AB2" s="97"/>
      <c r="AC2" s="97" t="str">
        <f>IFERROR(IF(従業員マスタ!$C$9="","",対象年度&amp;"年12月　"&amp;従業員マスタ!$C$9),"")</f>
        <v>2026年12月　高橋 四郎</v>
      </c>
      <c r="AD2" s="97"/>
      <c r="AE2" s="97"/>
      <c r="AF2" s="97"/>
      <c r="AG2" s="97"/>
      <c r="AH2" s="97" t="str">
        <f>IFERROR(IF(従業員マスタ!$C$10="","",対象年度&amp;"年12月　"&amp;従業員マスタ!$C$10),"")</f>
        <v>2026年12月　田中 五郎</v>
      </c>
      <c r="AI2" s="97"/>
      <c r="AJ2" s="97"/>
      <c r="AK2" s="97"/>
      <c r="AL2" s="97"/>
      <c r="AM2" s="97" t="str">
        <f>IFERROR(IF(従業員マスタ!$C$11="","",対象年度&amp;"年12月　"&amp;従業員マスタ!$C$11),"")</f>
        <v>2026年12月　伊藤 六郎</v>
      </c>
      <c r="AN2" s="97"/>
      <c r="AO2" s="97"/>
      <c r="AP2" s="97"/>
      <c r="AQ2" s="97"/>
      <c r="AR2" s="97" t="str">
        <f>IFERROR(IF(従業員マスタ!$C$12="","",対象年度&amp;"年12月　"&amp;従業員マスタ!$C$12),"")</f>
        <v>2026年12月　渡辺 七郎</v>
      </c>
      <c r="AS2" s="97"/>
      <c r="AT2" s="97"/>
      <c r="AU2" s="97"/>
      <c r="AV2" s="97"/>
      <c r="AW2" s="97" t="str">
        <f>IFERROR(IF(従業員マスタ!$C$13="","",対象年度&amp;"年12月　"&amp;従業員マスタ!$C$13),"")</f>
        <v>2026年12月　中村 八郎</v>
      </c>
      <c r="AX2" s="97"/>
      <c r="AY2" s="97"/>
      <c r="AZ2" s="97"/>
      <c r="BA2" s="97"/>
      <c r="BB2" s="97" t="str">
        <f>IFERROR(IF(従業員マスタ!$C$14="","",対象年度&amp;"年12月　"&amp;従業員マスタ!$C$14),"")</f>
        <v>2026年12月　小林 九郎</v>
      </c>
      <c r="BC2" s="97"/>
      <c r="BD2" s="97"/>
      <c r="BE2" s="97"/>
      <c r="BF2" s="97"/>
      <c r="BG2" s="97" t="str">
        <f>IFERROR(IF(従業員マスタ!$C$15="","",対象年度&amp;"年12月　"&amp;従業員マスタ!$C$15),"")</f>
        <v>2026年12月　加藤 十郎</v>
      </c>
      <c r="BH2" s="97"/>
      <c r="BI2" s="97"/>
      <c r="BJ2" s="97"/>
      <c r="BK2" s="97"/>
      <c r="BL2" s="97" t="str">
        <f>IFERROR(IF(従業員マスタ!$C$16="","",対象年度&amp;"年12月　"&amp;従業員マスタ!$C$16),"")</f>
        <v/>
      </c>
      <c r="BM2" s="97"/>
      <c r="BN2" s="97"/>
      <c r="BO2" s="97"/>
      <c r="BP2" s="97"/>
      <c r="BQ2" s="97" t="str">
        <f>IFERROR(IF(従業員マスタ!$C$17="","",対象年度&amp;"年12月　"&amp;従業員マスタ!$C$17),"")</f>
        <v/>
      </c>
      <c r="BR2" s="97"/>
      <c r="BS2" s="97"/>
      <c r="BT2" s="97"/>
      <c r="BU2" s="97"/>
      <c r="BV2" s="97" t="str">
        <f>IFERROR(IF(従業員マスタ!$C$18="","",対象年度&amp;"年12月　"&amp;従業員マスタ!$C$18),"")</f>
        <v/>
      </c>
      <c r="BW2" s="97"/>
      <c r="BX2" s="97"/>
      <c r="BY2" s="97"/>
      <c r="BZ2" s="97"/>
      <c r="CA2" s="97" t="str">
        <f>IFERROR(IF(従業員マスタ!$C$19="","",対象年度&amp;"年12月　"&amp;従業員マスタ!$C$19),"")</f>
        <v/>
      </c>
      <c r="CB2" s="97"/>
      <c r="CC2" s="97"/>
      <c r="CD2" s="97"/>
      <c r="CE2" s="97"/>
      <c r="CF2" s="97" t="str">
        <f>IFERROR(IF(従業員マスタ!$C$20="","",対象年度&amp;"年12月　"&amp;従業員マスタ!$C$20),"")</f>
        <v/>
      </c>
      <c r="CG2" s="97"/>
      <c r="CH2" s="97"/>
      <c r="CI2" s="97"/>
      <c r="CJ2" s="97"/>
      <c r="CK2" s="97" t="str">
        <f>IFERROR(IF(従業員マスタ!$C$21="","",対象年度&amp;"年12月　"&amp;従業員マスタ!$C$21),"")</f>
        <v/>
      </c>
      <c r="CL2" s="97"/>
      <c r="CM2" s="97"/>
      <c r="CN2" s="97"/>
      <c r="CO2" s="97"/>
      <c r="CP2" s="97" t="str">
        <f>IFERROR(IF(従業員マスタ!$C$22="","",対象年度&amp;"年12月　"&amp;従業員マスタ!$C$22),"")</f>
        <v/>
      </c>
      <c r="CQ2" s="97"/>
      <c r="CR2" s="97"/>
      <c r="CS2" s="97"/>
      <c r="CT2" s="97"/>
      <c r="CU2" s="97" t="str">
        <f>IFERROR(IF(従業員マスタ!$C$23="","",対象年度&amp;"年12月　"&amp;従業員マスタ!$C$23),"")</f>
        <v/>
      </c>
      <c r="CV2" s="97"/>
      <c r="CW2" s="97"/>
      <c r="CX2" s="97"/>
      <c r="CY2" s="97"/>
      <c r="CZ2" s="97" t="str">
        <f>IFERROR(IF(従業員マスタ!$C$24="","",対象年度&amp;"年12月　"&amp;従業員マスタ!$C$24),"")</f>
        <v/>
      </c>
      <c r="DA2" s="97"/>
      <c r="DB2" s="97"/>
      <c r="DC2" s="97"/>
      <c r="DD2" s="97"/>
      <c r="DE2" s="97" t="str">
        <f>IFERROR(IF(従業員マスタ!$C$25="","",対象年度&amp;"年12月　"&amp;従業員マスタ!$C$25),"")</f>
        <v/>
      </c>
      <c r="DF2" s="97"/>
      <c r="DG2" s="97"/>
      <c r="DH2" s="97"/>
      <c r="DI2" s="97"/>
      <c r="DJ2" s="97" t="str">
        <f>IFERROR(IF(従業員マスタ!$C$26="","",対象年度&amp;"年12月　"&amp;従業員マスタ!$C$26),"")</f>
        <v/>
      </c>
      <c r="DK2" s="97"/>
      <c r="DL2" s="97"/>
      <c r="DM2" s="97"/>
      <c r="DN2" s="97"/>
      <c r="DO2" s="97" t="str">
        <f>IFERROR(IF(従業員マスタ!$C$27="","",対象年度&amp;"年12月　"&amp;従業員マスタ!$C$27),"")</f>
        <v/>
      </c>
      <c r="DP2" s="97"/>
      <c r="DQ2" s="97"/>
      <c r="DR2" s="97"/>
      <c r="DS2" s="97"/>
      <c r="DT2" s="97" t="str">
        <f>IFERROR(IF(従業員マスタ!$C$28="","",対象年度&amp;"年12月　"&amp;従業員マスタ!$C$28),"")</f>
        <v/>
      </c>
      <c r="DU2" s="97"/>
      <c r="DV2" s="97"/>
      <c r="DW2" s="97"/>
      <c r="DX2" s="97"/>
      <c r="DY2" s="97" t="str">
        <f>IFERROR(IF(従業員マスタ!$C$29="","",対象年度&amp;"年12月　"&amp;従業員マスタ!$C$29),"")</f>
        <v/>
      </c>
      <c r="DZ2" s="97"/>
      <c r="EA2" s="97"/>
      <c r="EB2" s="97"/>
      <c r="EC2" s="97"/>
      <c r="ED2" s="97" t="str">
        <f>IFERROR(IF(従業員マスタ!$C$30="","",対象年度&amp;"年12月　"&amp;従業員マスタ!$C$30),"")</f>
        <v/>
      </c>
      <c r="EE2" s="97"/>
      <c r="EF2" s="97"/>
      <c r="EG2" s="97"/>
      <c r="EH2" s="97"/>
      <c r="EI2" s="97" t="str">
        <f>IFERROR(IF(従業員マスタ!$C$31="","",対象年度&amp;"年12月　"&amp;従業員マスタ!$C$31),"")</f>
        <v/>
      </c>
      <c r="EJ2" s="97"/>
      <c r="EK2" s="97"/>
      <c r="EL2" s="97"/>
      <c r="EM2" s="97"/>
      <c r="EN2" s="97" t="str">
        <f>IFERROR(IF(従業員マスタ!$C$32="","",対象年度&amp;"年12月　"&amp;従業員マスタ!$C$32),"")</f>
        <v/>
      </c>
      <c r="EO2" s="97"/>
      <c r="EP2" s="97"/>
      <c r="EQ2" s="97"/>
      <c r="ER2" s="97"/>
      <c r="ES2" s="97" t="str">
        <f>IFERROR(IF(従業員マスタ!$C$33="","",対象年度&amp;"年12月　"&amp;従業員マスタ!$C$33),"")</f>
        <v/>
      </c>
      <c r="ET2" s="97"/>
      <c r="EU2" s="97"/>
      <c r="EV2" s="97"/>
      <c r="EW2" s="97"/>
    </row>
    <row r="3" spans="1:153" ht="24" customHeight="1">
      <c r="A3" s="22" t="s">
        <v>108</v>
      </c>
      <c r="B3" s="22" t="s">
        <v>109</v>
      </c>
      <c r="C3" s="22" t="s">
        <v>110</v>
      </c>
      <c r="D3" s="23" t="s">
        <v>111</v>
      </c>
      <c r="E3" s="24" t="s">
        <v>112</v>
      </c>
      <c r="F3" s="22" t="s">
        <v>113</v>
      </c>
      <c r="G3" s="22" t="s">
        <v>114</v>
      </c>
      <c r="H3" s="25" t="s">
        <v>115</v>
      </c>
      <c r="I3" s="23" t="s">
        <v>111</v>
      </c>
      <c r="J3" s="24" t="s">
        <v>112</v>
      </c>
      <c r="K3" s="22" t="s">
        <v>113</v>
      </c>
      <c r="L3" s="22" t="s">
        <v>114</v>
      </c>
      <c r="M3" s="25" t="s">
        <v>115</v>
      </c>
      <c r="N3" s="23" t="s">
        <v>111</v>
      </c>
      <c r="O3" s="24" t="s">
        <v>112</v>
      </c>
      <c r="P3" s="22" t="s">
        <v>113</v>
      </c>
      <c r="Q3" s="22" t="s">
        <v>114</v>
      </c>
      <c r="R3" s="25" t="s">
        <v>115</v>
      </c>
      <c r="S3" s="23" t="s">
        <v>111</v>
      </c>
      <c r="T3" s="24" t="s">
        <v>112</v>
      </c>
      <c r="U3" s="22" t="s">
        <v>113</v>
      </c>
      <c r="V3" s="22" t="s">
        <v>114</v>
      </c>
      <c r="W3" s="25" t="s">
        <v>115</v>
      </c>
      <c r="X3" s="23" t="s">
        <v>111</v>
      </c>
      <c r="Y3" s="24" t="s">
        <v>112</v>
      </c>
      <c r="Z3" s="22" t="s">
        <v>113</v>
      </c>
      <c r="AA3" s="22" t="s">
        <v>114</v>
      </c>
      <c r="AB3" s="25" t="s">
        <v>115</v>
      </c>
      <c r="AC3" s="23" t="s">
        <v>111</v>
      </c>
      <c r="AD3" s="24" t="s">
        <v>112</v>
      </c>
      <c r="AE3" s="22" t="s">
        <v>113</v>
      </c>
      <c r="AF3" s="22" t="s">
        <v>114</v>
      </c>
      <c r="AG3" s="25" t="s">
        <v>115</v>
      </c>
      <c r="AH3" s="23" t="s">
        <v>111</v>
      </c>
      <c r="AI3" s="24" t="s">
        <v>112</v>
      </c>
      <c r="AJ3" s="22" t="s">
        <v>113</v>
      </c>
      <c r="AK3" s="22" t="s">
        <v>114</v>
      </c>
      <c r="AL3" s="25" t="s">
        <v>115</v>
      </c>
      <c r="AM3" s="23" t="s">
        <v>111</v>
      </c>
      <c r="AN3" s="24" t="s">
        <v>112</v>
      </c>
      <c r="AO3" s="22" t="s">
        <v>113</v>
      </c>
      <c r="AP3" s="22" t="s">
        <v>114</v>
      </c>
      <c r="AQ3" s="25" t="s">
        <v>115</v>
      </c>
      <c r="AR3" s="23" t="s">
        <v>111</v>
      </c>
      <c r="AS3" s="24" t="s">
        <v>112</v>
      </c>
      <c r="AT3" s="22" t="s">
        <v>113</v>
      </c>
      <c r="AU3" s="22" t="s">
        <v>114</v>
      </c>
      <c r="AV3" s="25" t="s">
        <v>115</v>
      </c>
      <c r="AW3" s="23" t="s">
        <v>111</v>
      </c>
      <c r="AX3" s="24" t="s">
        <v>112</v>
      </c>
      <c r="AY3" s="22" t="s">
        <v>113</v>
      </c>
      <c r="AZ3" s="22" t="s">
        <v>114</v>
      </c>
      <c r="BA3" s="25" t="s">
        <v>115</v>
      </c>
      <c r="BB3" s="23" t="s">
        <v>111</v>
      </c>
      <c r="BC3" s="24" t="s">
        <v>112</v>
      </c>
      <c r="BD3" s="22" t="s">
        <v>113</v>
      </c>
      <c r="BE3" s="22" t="s">
        <v>114</v>
      </c>
      <c r="BF3" s="25" t="s">
        <v>115</v>
      </c>
      <c r="BG3" s="23" t="s">
        <v>111</v>
      </c>
      <c r="BH3" s="24" t="s">
        <v>112</v>
      </c>
      <c r="BI3" s="22" t="s">
        <v>113</v>
      </c>
      <c r="BJ3" s="22" t="s">
        <v>114</v>
      </c>
      <c r="BK3" s="25" t="s">
        <v>115</v>
      </c>
      <c r="BL3" s="23" t="s">
        <v>111</v>
      </c>
      <c r="BM3" s="24" t="s">
        <v>112</v>
      </c>
      <c r="BN3" s="22" t="s">
        <v>113</v>
      </c>
      <c r="BO3" s="22" t="s">
        <v>114</v>
      </c>
      <c r="BP3" s="25" t="s">
        <v>115</v>
      </c>
      <c r="BQ3" s="23" t="s">
        <v>111</v>
      </c>
      <c r="BR3" s="24" t="s">
        <v>112</v>
      </c>
      <c r="BS3" s="22" t="s">
        <v>113</v>
      </c>
      <c r="BT3" s="22" t="s">
        <v>114</v>
      </c>
      <c r="BU3" s="25" t="s">
        <v>115</v>
      </c>
      <c r="BV3" s="23" t="s">
        <v>111</v>
      </c>
      <c r="BW3" s="24" t="s">
        <v>112</v>
      </c>
      <c r="BX3" s="22" t="s">
        <v>113</v>
      </c>
      <c r="BY3" s="22" t="s">
        <v>114</v>
      </c>
      <c r="BZ3" s="25" t="s">
        <v>115</v>
      </c>
      <c r="CA3" s="23" t="s">
        <v>111</v>
      </c>
      <c r="CB3" s="24" t="s">
        <v>112</v>
      </c>
      <c r="CC3" s="22" t="s">
        <v>113</v>
      </c>
      <c r="CD3" s="22" t="s">
        <v>114</v>
      </c>
      <c r="CE3" s="25" t="s">
        <v>115</v>
      </c>
      <c r="CF3" s="23" t="s">
        <v>111</v>
      </c>
      <c r="CG3" s="24" t="s">
        <v>112</v>
      </c>
      <c r="CH3" s="22" t="s">
        <v>113</v>
      </c>
      <c r="CI3" s="22" t="s">
        <v>114</v>
      </c>
      <c r="CJ3" s="25" t="s">
        <v>115</v>
      </c>
      <c r="CK3" s="23" t="s">
        <v>111</v>
      </c>
      <c r="CL3" s="24" t="s">
        <v>112</v>
      </c>
      <c r="CM3" s="22" t="s">
        <v>113</v>
      </c>
      <c r="CN3" s="22" t="s">
        <v>114</v>
      </c>
      <c r="CO3" s="25" t="s">
        <v>115</v>
      </c>
      <c r="CP3" s="23" t="s">
        <v>111</v>
      </c>
      <c r="CQ3" s="24" t="s">
        <v>112</v>
      </c>
      <c r="CR3" s="22" t="s">
        <v>113</v>
      </c>
      <c r="CS3" s="22" t="s">
        <v>114</v>
      </c>
      <c r="CT3" s="25" t="s">
        <v>115</v>
      </c>
      <c r="CU3" s="23" t="s">
        <v>111</v>
      </c>
      <c r="CV3" s="24" t="s">
        <v>112</v>
      </c>
      <c r="CW3" s="22" t="s">
        <v>113</v>
      </c>
      <c r="CX3" s="22" t="s">
        <v>114</v>
      </c>
      <c r="CY3" s="25" t="s">
        <v>115</v>
      </c>
      <c r="CZ3" s="23" t="s">
        <v>111</v>
      </c>
      <c r="DA3" s="24" t="s">
        <v>112</v>
      </c>
      <c r="DB3" s="22" t="s">
        <v>113</v>
      </c>
      <c r="DC3" s="22" t="s">
        <v>114</v>
      </c>
      <c r="DD3" s="25" t="s">
        <v>115</v>
      </c>
      <c r="DE3" s="23" t="s">
        <v>111</v>
      </c>
      <c r="DF3" s="24" t="s">
        <v>112</v>
      </c>
      <c r="DG3" s="22" t="s">
        <v>113</v>
      </c>
      <c r="DH3" s="22" t="s">
        <v>114</v>
      </c>
      <c r="DI3" s="25" t="s">
        <v>115</v>
      </c>
      <c r="DJ3" s="23" t="s">
        <v>111</v>
      </c>
      <c r="DK3" s="24" t="s">
        <v>112</v>
      </c>
      <c r="DL3" s="22" t="s">
        <v>113</v>
      </c>
      <c r="DM3" s="22" t="s">
        <v>114</v>
      </c>
      <c r="DN3" s="25" t="s">
        <v>115</v>
      </c>
      <c r="DO3" s="23" t="s">
        <v>111</v>
      </c>
      <c r="DP3" s="24" t="s">
        <v>112</v>
      </c>
      <c r="DQ3" s="22" t="s">
        <v>113</v>
      </c>
      <c r="DR3" s="22" t="s">
        <v>114</v>
      </c>
      <c r="DS3" s="25" t="s">
        <v>115</v>
      </c>
      <c r="DT3" s="23" t="s">
        <v>111</v>
      </c>
      <c r="DU3" s="24" t="s">
        <v>112</v>
      </c>
      <c r="DV3" s="22" t="s">
        <v>113</v>
      </c>
      <c r="DW3" s="22" t="s">
        <v>114</v>
      </c>
      <c r="DX3" s="25" t="s">
        <v>115</v>
      </c>
      <c r="DY3" s="23" t="s">
        <v>111</v>
      </c>
      <c r="DZ3" s="24" t="s">
        <v>112</v>
      </c>
      <c r="EA3" s="22" t="s">
        <v>113</v>
      </c>
      <c r="EB3" s="22" t="s">
        <v>114</v>
      </c>
      <c r="EC3" s="25" t="s">
        <v>115</v>
      </c>
      <c r="ED3" s="23" t="s">
        <v>111</v>
      </c>
      <c r="EE3" s="24" t="s">
        <v>112</v>
      </c>
      <c r="EF3" s="22" t="s">
        <v>113</v>
      </c>
      <c r="EG3" s="22" t="s">
        <v>114</v>
      </c>
      <c r="EH3" s="25" t="s">
        <v>115</v>
      </c>
      <c r="EI3" s="23" t="s">
        <v>111</v>
      </c>
      <c r="EJ3" s="24" t="s">
        <v>112</v>
      </c>
      <c r="EK3" s="22" t="s">
        <v>113</v>
      </c>
      <c r="EL3" s="22" t="s">
        <v>114</v>
      </c>
      <c r="EM3" s="25" t="s">
        <v>115</v>
      </c>
      <c r="EN3" s="23" t="s">
        <v>111</v>
      </c>
      <c r="EO3" s="24" t="s">
        <v>112</v>
      </c>
      <c r="EP3" s="22" t="s">
        <v>113</v>
      </c>
      <c r="EQ3" s="22" t="s">
        <v>114</v>
      </c>
      <c r="ER3" s="25" t="s">
        <v>115</v>
      </c>
      <c r="ES3" s="23" t="s">
        <v>111</v>
      </c>
      <c r="ET3" s="24" t="s">
        <v>112</v>
      </c>
      <c r="EU3" s="22" t="s">
        <v>113</v>
      </c>
      <c r="EV3" s="22" t="s">
        <v>114</v>
      </c>
      <c r="EW3" s="25" t="s">
        <v>115</v>
      </c>
    </row>
    <row r="4" spans="1:153" ht="19.5" customHeight="1">
      <c r="A4" s="26">
        <f>IF(DAY(DATE(対象年度,12,1))&lt;&gt;1,"",1)</f>
        <v>1</v>
      </c>
      <c r="B4" s="26" t="str">
        <f>IF(DAY(DATE(対象年度,12,1))&lt;&gt;1,"",CHOOSE(WEEKDAY(DATE(対象年度,12,1),2),"月","火","水","木","金","土","日"))</f>
        <v>火</v>
      </c>
      <c r="C4" s="26" t="str">
        <f>IF(DAY(DATE(対象年度,12,1))&lt;&gt;1,"",IF(ISNUMBER(MATCH(DATE(対象年度,12,1),祝日リスト,0)),"祝",""))</f>
        <v/>
      </c>
      <c r="D4" s="27"/>
      <c r="E4" s="28"/>
      <c r="F4" s="29" t="str">
        <f t="shared" ref="F4:F34" si="0">IF(D4="","",IF(ISNUMBER(SEARCH("夜勤",D4)),"",IF(A4="","","○")))</f>
        <v/>
      </c>
      <c r="G4" s="30" t="str">
        <f t="shared" ref="G4:G34" si="1">IF(A4="","",IF(OR(AND(E4&lt;&gt;"",NOT(OR(E4="有給",E4="休業"))),ISNUMBER(SEARCH("夜勤",D4))),"○",""))</f>
        <v/>
      </c>
      <c r="H4" s="31"/>
      <c r="I4" s="27"/>
      <c r="J4" s="28"/>
      <c r="K4" s="29" t="str">
        <f t="shared" ref="K4:K34" si="2">IF(I4="","",IF(ISNUMBER(SEARCH("夜勤",I4)),"",IF(A4="","","○")))</f>
        <v/>
      </c>
      <c r="L4" s="30" t="str">
        <f t="shared" ref="L4:L34" si="3">IF(A4="","",IF(OR(AND(J4&lt;&gt;"",NOT(OR(J4="有給",J4="休業"))),ISNUMBER(SEARCH("夜勤",I4))),"○",""))</f>
        <v/>
      </c>
      <c r="M4" s="31"/>
      <c r="N4" s="27"/>
      <c r="O4" s="28"/>
      <c r="P4" s="29" t="str">
        <f t="shared" ref="P4:P34" si="4">IF(N4="","",IF(ISNUMBER(SEARCH("夜勤",N4)),"",IF(A4="","","○")))</f>
        <v/>
      </c>
      <c r="Q4" s="30" t="str">
        <f t="shared" ref="Q4:Q34" si="5">IF(A4="","",IF(OR(AND(O4&lt;&gt;"",NOT(OR(O4="有給",O4="休業"))),ISNUMBER(SEARCH("夜勤",N4))),"○",""))</f>
        <v/>
      </c>
      <c r="R4" s="31"/>
      <c r="S4" s="27"/>
      <c r="T4" s="28"/>
      <c r="U4" s="29" t="str">
        <f t="shared" ref="U4:U34" si="6">IF(S4="","",IF(ISNUMBER(SEARCH("夜勤",S4)),"",IF(A4="","","○")))</f>
        <v/>
      </c>
      <c r="V4" s="30" t="str">
        <f t="shared" ref="V4:V34" si="7">IF(A4="","",IF(OR(AND(T4&lt;&gt;"",NOT(OR(T4="有給",T4="休業"))),ISNUMBER(SEARCH("夜勤",S4))),"○",""))</f>
        <v/>
      </c>
      <c r="W4" s="31"/>
      <c r="X4" s="27"/>
      <c r="Y4" s="28"/>
      <c r="Z4" s="29" t="str">
        <f t="shared" ref="Z4:Z34" si="8">IF(X4="","",IF(ISNUMBER(SEARCH("夜勤",X4)),"",IF(A4="","","○")))</f>
        <v/>
      </c>
      <c r="AA4" s="30" t="str">
        <f t="shared" ref="AA4:AA34" si="9">IF(A4="","",IF(OR(AND(Y4&lt;&gt;"",NOT(OR(Y4="有給",Y4="休業"))),ISNUMBER(SEARCH("夜勤",X4))),"○",""))</f>
        <v/>
      </c>
      <c r="AB4" s="31"/>
      <c r="AC4" s="27"/>
      <c r="AD4" s="28"/>
      <c r="AE4" s="29" t="str">
        <f t="shared" ref="AE4:AE34" si="10">IF(AC4="","",IF(ISNUMBER(SEARCH("夜勤",AC4)),"",IF(A4="","","○")))</f>
        <v/>
      </c>
      <c r="AF4" s="30" t="str">
        <f t="shared" ref="AF4:AF34" si="11">IF(A4="","",IF(OR(AND(AD4&lt;&gt;"",NOT(OR(AD4="有給",AD4="休業"))),ISNUMBER(SEARCH("夜勤",AC4))),"○",""))</f>
        <v/>
      </c>
      <c r="AG4" s="31"/>
      <c r="AH4" s="27"/>
      <c r="AI4" s="28"/>
      <c r="AJ4" s="29" t="str">
        <f t="shared" ref="AJ4:AJ34" si="12">IF(AH4="","",IF(ISNUMBER(SEARCH("夜勤",AH4)),"",IF(A4="","","○")))</f>
        <v/>
      </c>
      <c r="AK4" s="30" t="str">
        <f t="shared" ref="AK4:AK34" si="13">IF(A4="","",IF(OR(AND(AI4&lt;&gt;"",NOT(OR(AI4="有給",AI4="休業"))),ISNUMBER(SEARCH("夜勤",AH4))),"○",""))</f>
        <v/>
      </c>
      <c r="AL4" s="31"/>
      <c r="AM4" s="27"/>
      <c r="AN4" s="28"/>
      <c r="AO4" s="29" t="str">
        <f t="shared" ref="AO4:AO34" si="14">IF(AM4="","",IF(ISNUMBER(SEARCH("夜勤",AM4)),"",IF(A4="","","○")))</f>
        <v/>
      </c>
      <c r="AP4" s="30" t="str">
        <f t="shared" ref="AP4:AP34" si="15">IF(A4="","",IF(OR(AND(AN4&lt;&gt;"",NOT(OR(AN4="有給",AN4="休業"))),ISNUMBER(SEARCH("夜勤",AM4))),"○",""))</f>
        <v/>
      </c>
      <c r="AQ4" s="31"/>
      <c r="AR4" s="27"/>
      <c r="AS4" s="28"/>
      <c r="AT4" s="29" t="str">
        <f t="shared" ref="AT4:AT34" si="16">IF(AR4="","",IF(ISNUMBER(SEARCH("夜勤",AR4)),"",IF(A4="","","○")))</f>
        <v/>
      </c>
      <c r="AU4" s="30" t="str">
        <f t="shared" ref="AU4:AU34" si="17">IF(A4="","",IF(OR(AND(AS4&lt;&gt;"",NOT(OR(AS4="有給",AS4="休業"))),ISNUMBER(SEARCH("夜勤",AR4))),"○",""))</f>
        <v/>
      </c>
      <c r="AV4" s="31"/>
      <c r="AW4" s="27"/>
      <c r="AX4" s="28"/>
      <c r="AY4" s="29" t="str">
        <f t="shared" ref="AY4:AY34" si="18">IF(AW4="","",IF(ISNUMBER(SEARCH("夜勤",AW4)),"",IF(A4="","","○")))</f>
        <v/>
      </c>
      <c r="AZ4" s="30" t="str">
        <f t="shared" ref="AZ4:AZ34" si="19">IF(A4="","",IF(OR(AND(AX4&lt;&gt;"",NOT(OR(AX4="有給",AX4="休業"))),ISNUMBER(SEARCH("夜勤",AW4))),"○",""))</f>
        <v/>
      </c>
      <c r="BA4" s="31"/>
      <c r="BB4" s="27"/>
      <c r="BC4" s="28"/>
      <c r="BD4" s="29" t="str">
        <f t="shared" ref="BD4:BD34" si="20">IF(BB4="","",IF(ISNUMBER(SEARCH("夜勤",BB4)),"",IF(A4="","","○")))</f>
        <v/>
      </c>
      <c r="BE4" s="30" t="str">
        <f t="shared" ref="BE4:BE34" si="21">IF(A4="","",IF(OR(AND(BC4&lt;&gt;"",NOT(OR(BC4="有給",BC4="休業"))),ISNUMBER(SEARCH("夜勤",BB4))),"○",""))</f>
        <v/>
      </c>
      <c r="BF4" s="31"/>
      <c r="BG4" s="27"/>
      <c r="BH4" s="28"/>
      <c r="BI4" s="29" t="str">
        <f t="shared" ref="BI4:BI34" si="22">IF(BG4="","",IF(ISNUMBER(SEARCH("夜勤",BG4)),"",IF(A4="","","○")))</f>
        <v/>
      </c>
      <c r="BJ4" s="30" t="str">
        <f t="shared" ref="BJ4:BJ34" si="23">IF(A4="","",IF(OR(AND(BH4&lt;&gt;"",NOT(OR(BH4="有給",BH4="休業"))),ISNUMBER(SEARCH("夜勤",BG4))),"○",""))</f>
        <v/>
      </c>
      <c r="BK4" s="31"/>
      <c r="BL4" s="27"/>
      <c r="BM4" s="28"/>
      <c r="BN4" s="29" t="str">
        <f t="shared" ref="BN4:BN34" si="24">IF(BL4="","",IF(ISNUMBER(SEARCH("夜勤",BL4)),"",IF(A4="","","○")))</f>
        <v/>
      </c>
      <c r="BO4" s="30" t="str">
        <f t="shared" ref="BO4:BO34" si="25">IF(A4="","",IF(OR(AND(BM4&lt;&gt;"",NOT(OR(BM4="有給",BM4="休業"))),ISNUMBER(SEARCH("夜勤",BL4))),"○",""))</f>
        <v/>
      </c>
      <c r="BP4" s="31"/>
      <c r="BQ4" s="27"/>
      <c r="BR4" s="28"/>
      <c r="BS4" s="29" t="str">
        <f t="shared" ref="BS4:BS34" si="26">IF(BQ4="","",IF(ISNUMBER(SEARCH("夜勤",BQ4)),"",IF(A4="","","○")))</f>
        <v/>
      </c>
      <c r="BT4" s="30" t="str">
        <f t="shared" ref="BT4:BT34" si="27">IF(A4="","",IF(OR(AND(BR4&lt;&gt;"",NOT(OR(BR4="有給",BR4="休業"))),ISNUMBER(SEARCH("夜勤",BQ4))),"○",""))</f>
        <v/>
      </c>
      <c r="BU4" s="31"/>
      <c r="BV4" s="27"/>
      <c r="BW4" s="28"/>
      <c r="BX4" s="29" t="str">
        <f t="shared" ref="BX4:BX34" si="28">IF(BV4="","",IF(ISNUMBER(SEARCH("夜勤",BV4)),"",IF(A4="","","○")))</f>
        <v/>
      </c>
      <c r="BY4" s="30" t="str">
        <f t="shared" ref="BY4:BY34" si="29">IF(A4="","",IF(OR(AND(BW4&lt;&gt;"",NOT(OR(BW4="有給",BW4="休業"))),ISNUMBER(SEARCH("夜勤",BV4))),"○",""))</f>
        <v/>
      </c>
      <c r="BZ4" s="31"/>
      <c r="CA4" s="27"/>
      <c r="CB4" s="28"/>
      <c r="CC4" s="29" t="str">
        <f t="shared" ref="CC4:CC34" si="30">IF(CA4="","",IF(ISNUMBER(SEARCH("夜勤",CA4)),"",IF(A4="","","○")))</f>
        <v/>
      </c>
      <c r="CD4" s="30" t="str">
        <f t="shared" ref="CD4:CD34" si="31">IF(A4="","",IF(OR(AND(CB4&lt;&gt;"",NOT(OR(CB4="有給",CB4="休業"))),ISNUMBER(SEARCH("夜勤",CA4))),"○",""))</f>
        <v/>
      </c>
      <c r="CE4" s="31"/>
      <c r="CF4" s="27"/>
      <c r="CG4" s="28"/>
      <c r="CH4" s="29" t="str">
        <f t="shared" ref="CH4:CH34" si="32">IF(CF4="","",IF(ISNUMBER(SEARCH("夜勤",CF4)),"",IF(A4="","","○")))</f>
        <v/>
      </c>
      <c r="CI4" s="30" t="str">
        <f t="shared" ref="CI4:CI34" si="33">IF(A4="","",IF(OR(AND(CG4&lt;&gt;"",NOT(OR(CG4="有給",CG4="休業"))),ISNUMBER(SEARCH("夜勤",CF4))),"○",""))</f>
        <v/>
      </c>
      <c r="CJ4" s="31"/>
      <c r="CK4" s="27"/>
      <c r="CL4" s="28"/>
      <c r="CM4" s="29" t="str">
        <f t="shared" ref="CM4:CM34" si="34">IF(CK4="","",IF(ISNUMBER(SEARCH("夜勤",CK4)),"",IF(A4="","","○")))</f>
        <v/>
      </c>
      <c r="CN4" s="30" t="str">
        <f t="shared" ref="CN4:CN34" si="35">IF(A4="","",IF(OR(AND(CL4&lt;&gt;"",NOT(OR(CL4="有給",CL4="休業"))),ISNUMBER(SEARCH("夜勤",CK4))),"○",""))</f>
        <v/>
      </c>
      <c r="CO4" s="31"/>
      <c r="CP4" s="27"/>
      <c r="CQ4" s="28"/>
      <c r="CR4" s="29" t="str">
        <f t="shared" ref="CR4:CR34" si="36">IF(CP4="","",IF(ISNUMBER(SEARCH("夜勤",CP4)),"",IF(A4="","","○")))</f>
        <v/>
      </c>
      <c r="CS4" s="30" t="str">
        <f t="shared" ref="CS4:CS34" si="37">IF(A4="","",IF(OR(AND(CQ4&lt;&gt;"",NOT(OR(CQ4="有給",CQ4="休業"))),ISNUMBER(SEARCH("夜勤",CP4))),"○",""))</f>
        <v/>
      </c>
      <c r="CT4" s="31"/>
      <c r="CU4" s="27"/>
      <c r="CV4" s="28"/>
      <c r="CW4" s="29" t="str">
        <f t="shared" ref="CW4:CW34" si="38">IF(CU4="","",IF(ISNUMBER(SEARCH("夜勤",CU4)),"",IF(A4="","","○")))</f>
        <v/>
      </c>
      <c r="CX4" s="30" t="str">
        <f t="shared" ref="CX4:CX34" si="39">IF(A4="","",IF(OR(AND(CV4&lt;&gt;"",NOT(OR(CV4="有給",CV4="休業"))),ISNUMBER(SEARCH("夜勤",CU4))),"○",""))</f>
        <v/>
      </c>
      <c r="CY4" s="31"/>
      <c r="CZ4" s="27"/>
      <c r="DA4" s="28"/>
      <c r="DB4" s="29" t="str">
        <f t="shared" ref="DB4:DB34" si="40">IF(CZ4="","",IF(ISNUMBER(SEARCH("夜勤",CZ4)),"",IF(A4="","","○")))</f>
        <v/>
      </c>
      <c r="DC4" s="30" t="str">
        <f t="shared" ref="DC4:DC34" si="41">IF(A4="","",IF(OR(AND(DA4&lt;&gt;"",NOT(OR(DA4="有給",DA4="休業"))),ISNUMBER(SEARCH("夜勤",CZ4))),"○",""))</f>
        <v/>
      </c>
      <c r="DD4" s="31"/>
      <c r="DE4" s="27"/>
      <c r="DF4" s="28"/>
      <c r="DG4" s="29" t="str">
        <f t="shared" ref="DG4:DG34" si="42">IF(DE4="","",IF(ISNUMBER(SEARCH("夜勤",DE4)),"",IF(A4="","","○")))</f>
        <v/>
      </c>
      <c r="DH4" s="30" t="str">
        <f t="shared" ref="DH4:DH34" si="43">IF(A4="","",IF(OR(AND(DF4&lt;&gt;"",NOT(OR(DF4="有給",DF4="休業"))),ISNUMBER(SEARCH("夜勤",DE4))),"○",""))</f>
        <v/>
      </c>
      <c r="DI4" s="31"/>
      <c r="DJ4" s="27"/>
      <c r="DK4" s="28"/>
      <c r="DL4" s="29" t="str">
        <f t="shared" ref="DL4:DL34" si="44">IF(DJ4="","",IF(ISNUMBER(SEARCH("夜勤",DJ4)),"",IF(A4="","","○")))</f>
        <v/>
      </c>
      <c r="DM4" s="30" t="str">
        <f t="shared" ref="DM4:DM34" si="45">IF(A4="","",IF(OR(AND(DK4&lt;&gt;"",NOT(OR(DK4="有給",DK4="休業"))),ISNUMBER(SEARCH("夜勤",DJ4))),"○",""))</f>
        <v/>
      </c>
      <c r="DN4" s="31"/>
      <c r="DO4" s="27"/>
      <c r="DP4" s="28"/>
      <c r="DQ4" s="29" t="str">
        <f t="shared" ref="DQ4:DQ34" si="46">IF(DO4="","",IF(ISNUMBER(SEARCH("夜勤",DO4)),"",IF(A4="","","○")))</f>
        <v/>
      </c>
      <c r="DR4" s="30" t="str">
        <f t="shared" ref="DR4:DR34" si="47">IF(A4="","",IF(OR(AND(DP4&lt;&gt;"",NOT(OR(DP4="有給",DP4="休業"))),ISNUMBER(SEARCH("夜勤",DO4))),"○",""))</f>
        <v/>
      </c>
      <c r="DS4" s="31"/>
      <c r="DT4" s="27"/>
      <c r="DU4" s="28"/>
      <c r="DV4" s="29" t="str">
        <f t="shared" ref="DV4:DV34" si="48">IF(DT4="","",IF(ISNUMBER(SEARCH("夜勤",DT4)),"",IF(A4="","","○")))</f>
        <v/>
      </c>
      <c r="DW4" s="30" t="str">
        <f t="shared" ref="DW4:DW34" si="49">IF(A4="","",IF(OR(AND(DU4&lt;&gt;"",NOT(OR(DU4="有給",DU4="休業"))),ISNUMBER(SEARCH("夜勤",DT4))),"○",""))</f>
        <v/>
      </c>
      <c r="DX4" s="31"/>
      <c r="DY4" s="27"/>
      <c r="DZ4" s="28"/>
      <c r="EA4" s="29" t="str">
        <f t="shared" ref="EA4:EA34" si="50">IF(DY4="","",IF(ISNUMBER(SEARCH("夜勤",DY4)),"",IF(A4="","","○")))</f>
        <v/>
      </c>
      <c r="EB4" s="30" t="str">
        <f t="shared" ref="EB4:EB34" si="51">IF(A4="","",IF(OR(AND(DZ4&lt;&gt;"",NOT(OR(DZ4="有給",DZ4="休業"))),ISNUMBER(SEARCH("夜勤",DY4))),"○",""))</f>
        <v/>
      </c>
      <c r="EC4" s="31"/>
      <c r="ED4" s="27"/>
      <c r="EE4" s="28"/>
      <c r="EF4" s="29" t="str">
        <f t="shared" ref="EF4:EF34" si="52">IF(ED4="","",IF(ISNUMBER(SEARCH("夜勤",ED4)),"",IF(A4="","","○")))</f>
        <v/>
      </c>
      <c r="EG4" s="30" t="str">
        <f t="shared" ref="EG4:EG34" si="53">IF(A4="","",IF(OR(AND(EE4&lt;&gt;"",NOT(OR(EE4="有給",EE4="休業"))),ISNUMBER(SEARCH("夜勤",ED4))),"○",""))</f>
        <v/>
      </c>
      <c r="EH4" s="31"/>
      <c r="EI4" s="27"/>
      <c r="EJ4" s="28"/>
      <c r="EK4" s="29" t="str">
        <f t="shared" ref="EK4:EK34" si="54">IF(EI4="","",IF(ISNUMBER(SEARCH("夜勤",EI4)),"",IF(A4="","","○")))</f>
        <v/>
      </c>
      <c r="EL4" s="30" t="str">
        <f t="shared" ref="EL4:EL34" si="55">IF(A4="","",IF(OR(AND(EJ4&lt;&gt;"",NOT(OR(EJ4="有給",EJ4="休業"))),ISNUMBER(SEARCH("夜勤",EI4))),"○",""))</f>
        <v/>
      </c>
      <c r="EM4" s="31"/>
      <c r="EN4" s="27"/>
      <c r="EO4" s="28"/>
      <c r="EP4" s="29" t="str">
        <f t="shared" ref="EP4:EP34" si="56">IF(EN4="","",IF(ISNUMBER(SEARCH("夜勤",EN4)),"",IF(A4="","","○")))</f>
        <v/>
      </c>
      <c r="EQ4" s="30" t="str">
        <f t="shared" ref="EQ4:EQ34" si="57">IF(A4="","",IF(OR(AND(EO4&lt;&gt;"",NOT(OR(EO4="有給",EO4="休業"))),ISNUMBER(SEARCH("夜勤",EN4))),"○",""))</f>
        <v/>
      </c>
      <c r="ER4" s="31"/>
      <c r="ES4" s="27"/>
      <c r="ET4" s="28"/>
      <c r="EU4" s="29" t="str">
        <f t="shared" ref="EU4:EU34" si="58">IF(ES4="","",IF(ISNUMBER(SEARCH("夜勤",ES4)),"",IF(A4="","","○")))</f>
        <v/>
      </c>
      <c r="EV4" s="30" t="str">
        <f t="shared" ref="EV4:EV34" si="59">IF(A4="","",IF(OR(AND(ET4&lt;&gt;"",NOT(OR(ET4="有給",ET4="休業"))),ISNUMBER(SEARCH("夜勤",ES4))),"○",""))</f>
        <v/>
      </c>
      <c r="EW4" s="31"/>
    </row>
    <row r="5" spans="1:153" ht="19.5" customHeight="1">
      <c r="A5" s="32">
        <f>IF(DAY(DATE(対象年度,12,2))&lt;&gt;2,"",2)</f>
        <v>2</v>
      </c>
      <c r="B5" s="32" t="str">
        <f>IF(DAY(DATE(対象年度,12,2))&lt;&gt;2,"",CHOOSE(WEEKDAY(DATE(対象年度,12,2),2),"月","火","水","木","金","土","日"))</f>
        <v>水</v>
      </c>
      <c r="C5" s="32" t="str">
        <f>IF(DAY(DATE(対象年度,12,2))&lt;&gt;2,"",IF(ISNUMBER(MATCH(DATE(対象年度,12,2),祝日リスト,0)),"祝",""))</f>
        <v/>
      </c>
      <c r="D5" s="33"/>
      <c r="E5" s="34"/>
      <c r="F5" s="35" t="str">
        <f t="shared" si="0"/>
        <v/>
      </c>
      <c r="G5" s="36" t="str">
        <f t="shared" si="1"/>
        <v/>
      </c>
      <c r="H5" s="37"/>
      <c r="I5" s="33"/>
      <c r="J5" s="34"/>
      <c r="K5" s="35" t="str">
        <f t="shared" si="2"/>
        <v/>
      </c>
      <c r="L5" s="36" t="str">
        <f t="shared" si="3"/>
        <v/>
      </c>
      <c r="M5" s="37"/>
      <c r="N5" s="33"/>
      <c r="O5" s="34"/>
      <c r="P5" s="35" t="str">
        <f t="shared" si="4"/>
        <v/>
      </c>
      <c r="Q5" s="36" t="str">
        <f t="shared" si="5"/>
        <v/>
      </c>
      <c r="R5" s="37"/>
      <c r="S5" s="33"/>
      <c r="T5" s="34"/>
      <c r="U5" s="35" t="str">
        <f t="shared" si="6"/>
        <v/>
      </c>
      <c r="V5" s="36" t="str">
        <f t="shared" si="7"/>
        <v/>
      </c>
      <c r="W5" s="37"/>
      <c r="X5" s="33"/>
      <c r="Y5" s="34"/>
      <c r="Z5" s="35" t="str">
        <f t="shared" si="8"/>
        <v/>
      </c>
      <c r="AA5" s="36" t="str">
        <f t="shared" si="9"/>
        <v/>
      </c>
      <c r="AB5" s="37"/>
      <c r="AC5" s="33"/>
      <c r="AD5" s="34"/>
      <c r="AE5" s="35" t="str">
        <f t="shared" si="10"/>
        <v/>
      </c>
      <c r="AF5" s="36" t="str">
        <f t="shared" si="11"/>
        <v/>
      </c>
      <c r="AG5" s="37"/>
      <c r="AH5" s="33"/>
      <c r="AI5" s="34"/>
      <c r="AJ5" s="35" t="str">
        <f t="shared" si="12"/>
        <v/>
      </c>
      <c r="AK5" s="36" t="str">
        <f t="shared" si="13"/>
        <v/>
      </c>
      <c r="AL5" s="37"/>
      <c r="AM5" s="33"/>
      <c r="AN5" s="34"/>
      <c r="AO5" s="35" t="str">
        <f t="shared" si="14"/>
        <v/>
      </c>
      <c r="AP5" s="36" t="str">
        <f t="shared" si="15"/>
        <v/>
      </c>
      <c r="AQ5" s="37"/>
      <c r="AR5" s="33"/>
      <c r="AS5" s="34"/>
      <c r="AT5" s="35" t="str">
        <f t="shared" si="16"/>
        <v/>
      </c>
      <c r="AU5" s="36" t="str">
        <f t="shared" si="17"/>
        <v/>
      </c>
      <c r="AV5" s="37"/>
      <c r="AW5" s="33"/>
      <c r="AX5" s="34"/>
      <c r="AY5" s="35" t="str">
        <f t="shared" si="18"/>
        <v/>
      </c>
      <c r="AZ5" s="36" t="str">
        <f t="shared" si="19"/>
        <v/>
      </c>
      <c r="BA5" s="37"/>
      <c r="BB5" s="33"/>
      <c r="BC5" s="34"/>
      <c r="BD5" s="35" t="str">
        <f t="shared" si="20"/>
        <v/>
      </c>
      <c r="BE5" s="36" t="str">
        <f t="shared" si="21"/>
        <v/>
      </c>
      <c r="BF5" s="37"/>
      <c r="BG5" s="33"/>
      <c r="BH5" s="34"/>
      <c r="BI5" s="35" t="str">
        <f t="shared" si="22"/>
        <v/>
      </c>
      <c r="BJ5" s="36" t="str">
        <f t="shared" si="23"/>
        <v/>
      </c>
      <c r="BK5" s="37"/>
      <c r="BL5" s="33"/>
      <c r="BM5" s="34"/>
      <c r="BN5" s="35" t="str">
        <f t="shared" si="24"/>
        <v/>
      </c>
      <c r="BO5" s="36" t="str">
        <f t="shared" si="25"/>
        <v/>
      </c>
      <c r="BP5" s="37"/>
      <c r="BQ5" s="33"/>
      <c r="BR5" s="34"/>
      <c r="BS5" s="35" t="str">
        <f t="shared" si="26"/>
        <v/>
      </c>
      <c r="BT5" s="36" t="str">
        <f t="shared" si="27"/>
        <v/>
      </c>
      <c r="BU5" s="37"/>
      <c r="BV5" s="33"/>
      <c r="BW5" s="34"/>
      <c r="BX5" s="35" t="str">
        <f t="shared" si="28"/>
        <v/>
      </c>
      <c r="BY5" s="36" t="str">
        <f t="shared" si="29"/>
        <v/>
      </c>
      <c r="BZ5" s="37"/>
      <c r="CA5" s="33"/>
      <c r="CB5" s="34"/>
      <c r="CC5" s="35" t="str">
        <f t="shared" si="30"/>
        <v/>
      </c>
      <c r="CD5" s="36" t="str">
        <f t="shared" si="31"/>
        <v/>
      </c>
      <c r="CE5" s="37"/>
      <c r="CF5" s="33"/>
      <c r="CG5" s="34"/>
      <c r="CH5" s="35" t="str">
        <f t="shared" si="32"/>
        <v/>
      </c>
      <c r="CI5" s="36" t="str">
        <f t="shared" si="33"/>
        <v/>
      </c>
      <c r="CJ5" s="37"/>
      <c r="CK5" s="33"/>
      <c r="CL5" s="34"/>
      <c r="CM5" s="35" t="str">
        <f t="shared" si="34"/>
        <v/>
      </c>
      <c r="CN5" s="36" t="str">
        <f t="shared" si="35"/>
        <v/>
      </c>
      <c r="CO5" s="37"/>
      <c r="CP5" s="33"/>
      <c r="CQ5" s="34"/>
      <c r="CR5" s="35" t="str">
        <f t="shared" si="36"/>
        <v/>
      </c>
      <c r="CS5" s="36" t="str">
        <f t="shared" si="37"/>
        <v/>
      </c>
      <c r="CT5" s="37"/>
      <c r="CU5" s="33"/>
      <c r="CV5" s="34"/>
      <c r="CW5" s="35" t="str">
        <f t="shared" si="38"/>
        <v/>
      </c>
      <c r="CX5" s="36" t="str">
        <f t="shared" si="39"/>
        <v/>
      </c>
      <c r="CY5" s="37"/>
      <c r="CZ5" s="33"/>
      <c r="DA5" s="34"/>
      <c r="DB5" s="35" t="str">
        <f t="shared" si="40"/>
        <v/>
      </c>
      <c r="DC5" s="36" t="str">
        <f t="shared" si="41"/>
        <v/>
      </c>
      <c r="DD5" s="37"/>
      <c r="DE5" s="33"/>
      <c r="DF5" s="34"/>
      <c r="DG5" s="35" t="str">
        <f t="shared" si="42"/>
        <v/>
      </c>
      <c r="DH5" s="36" t="str">
        <f t="shared" si="43"/>
        <v/>
      </c>
      <c r="DI5" s="37"/>
      <c r="DJ5" s="33"/>
      <c r="DK5" s="34"/>
      <c r="DL5" s="35" t="str">
        <f t="shared" si="44"/>
        <v/>
      </c>
      <c r="DM5" s="36" t="str">
        <f t="shared" si="45"/>
        <v/>
      </c>
      <c r="DN5" s="37"/>
      <c r="DO5" s="33"/>
      <c r="DP5" s="34"/>
      <c r="DQ5" s="35" t="str">
        <f t="shared" si="46"/>
        <v/>
      </c>
      <c r="DR5" s="36" t="str">
        <f t="shared" si="47"/>
        <v/>
      </c>
      <c r="DS5" s="37"/>
      <c r="DT5" s="33"/>
      <c r="DU5" s="34"/>
      <c r="DV5" s="35" t="str">
        <f t="shared" si="48"/>
        <v/>
      </c>
      <c r="DW5" s="36" t="str">
        <f t="shared" si="49"/>
        <v/>
      </c>
      <c r="DX5" s="37"/>
      <c r="DY5" s="33"/>
      <c r="DZ5" s="34"/>
      <c r="EA5" s="35" t="str">
        <f t="shared" si="50"/>
        <v/>
      </c>
      <c r="EB5" s="36" t="str">
        <f t="shared" si="51"/>
        <v/>
      </c>
      <c r="EC5" s="37"/>
      <c r="ED5" s="33"/>
      <c r="EE5" s="34"/>
      <c r="EF5" s="35" t="str">
        <f t="shared" si="52"/>
        <v/>
      </c>
      <c r="EG5" s="36" t="str">
        <f t="shared" si="53"/>
        <v/>
      </c>
      <c r="EH5" s="37"/>
      <c r="EI5" s="33"/>
      <c r="EJ5" s="34"/>
      <c r="EK5" s="35" t="str">
        <f t="shared" si="54"/>
        <v/>
      </c>
      <c r="EL5" s="36" t="str">
        <f t="shared" si="55"/>
        <v/>
      </c>
      <c r="EM5" s="37"/>
      <c r="EN5" s="33"/>
      <c r="EO5" s="34"/>
      <c r="EP5" s="35" t="str">
        <f t="shared" si="56"/>
        <v/>
      </c>
      <c r="EQ5" s="36" t="str">
        <f t="shared" si="57"/>
        <v/>
      </c>
      <c r="ER5" s="37"/>
      <c r="ES5" s="33"/>
      <c r="ET5" s="34"/>
      <c r="EU5" s="35" t="str">
        <f t="shared" si="58"/>
        <v/>
      </c>
      <c r="EV5" s="36" t="str">
        <f t="shared" si="59"/>
        <v/>
      </c>
      <c r="EW5" s="37"/>
    </row>
    <row r="6" spans="1:153" ht="19.5" customHeight="1">
      <c r="A6" s="32">
        <f>IF(DAY(DATE(対象年度,12,3))&lt;&gt;3,"",3)</f>
        <v>3</v>
      </c>
      <c r="B6" s="32" t="str">
        <f>IF(DAY(DATE(対象年度,12,3))&lt;&gt;3,"",CHOOSE(WEEKDAY(DATE(対象年度,12,3),2),"月","火","水","木","金","土","日"))</f>
        <v>木</v>
      </c>
      <c r="C6" s="32" t="str">
        <f>IF(DAY(DATE(対象年度,12,3))&lt;&gt;3,"",IF(ISNUMBER(MATCH(DATE(対象年度,12,3),祝日リスト,0)),"祝",""))</f>
        <v/>
      </c>
      <c r="D6" s="33"/>
      <c r="E6" s="34"/>
      <c r="F6" s="35" t="str">
        <f t="shared" si="0"/>
        <v/>
      </c>
      <c r="G6" s="36" t="str">
        <f t="shared" si="1"/>
        <v/>
      </c>
      <c r="H6" s="37"/>
      <c r="I6" s="33"/>
      <c r="J6" s="34"/>
      <c r="K6" s="35" t="str">
        <f t="shared" si="2"/>
        <v/>
      </c>
      <c r="L6" s="36" t="str">
        <f t="shared" si="3"/>
        <v/>
      </c>
      <c r="M6" s="37"/>
      <c r="N6" s="33"/>
      <c r="O6" s="34"/>
      <c r="P6" s="35" t="str">
        <f t="shared" si="4"/>
        <v/>
      </c>
      <c r="Q6" s="36" t="str">
        <f t="shared" si="5"/>
        <v/>
      </c>
      <c r="R6" s="37"/>
      <c r="S6" s="33"/>
      <c r="T6" s="34"/>
      <c r="U6" s="35" t="str">
        <f t="shared" si="6"/>
        <v/>
      </c>
      <c r="V6" s="36" t="str">
        <f t="shared" si="7"/>
        <v/>
      </c>
      <c r="W6" s="37"/>
      <c r="X6" s="33"/>
      <c r="Y6" s="34"/>
      <c r="Z6" s="35" t="str">
        <f t="shared" si="8"/>
        <v/>
      </c>
      <c r="AA6" s="36" t="str">
        <f t="shared" si="9"/>
        <v/>
      </c>
      <c r="AB6" s="37"/>
      <c r="AC6" s="33"/>
      <c r="AD6" s="34"/>
      <c r="AE6" s="35" t="str">
        <f t="shared" si="10"/>
        <v/>
      </c>
      <c r="AF6" s="36" t="str">
        <f t="shared" si="11"/>
        <v/>
      </c>
      <c r="AG6" s="37"/>
      <c r="AH6" s="33"/>
      <c r="AI6" s="34"/>
      <c r="AJ6" s="35" t="str">
        <f t="shared" si="12"/>
        <v/>
      </c>
      <c r="AK6" s="36" t="str">
        <f t="shared" si="13"/>
        <v/>
      </c>
      <c r="AL6" s="37"/>
      <c r="AM6" s="33"/>
      <c r="AN6" s="34"/>
      <c r="AO6" s="35" t="str">
        <f t="shared" si="14"/>
        <v/>
      </c>
      <c r="AP6" s="36" t="str">
        <f t="shared" si="15"/>
        <v/>
      </c>
      <c r="AQ6" s="37"/>
      <c r="AR6" s="33"/>
      <c r="AS6" s="34"/>
      <c r="AT6" s="35" t="str">
        <f t="shared" si="16"/>
        <v/>
      </c>
      <c r="AU6" s="36" t="str">
        <f t="shared" si="17"/>
        <v/>
      </c>
      <c r="AV6" s="37"/>
      <c r="AW6" s="33"/>
      <c r="AX6" s="34"/>
      <c r="AY6" s="35" t="str">
        <f t="shared" si="18"/>
        <v/>
      </c>
      <c r="AZ6" s="36" t="str">
        <f t="shared" si="19"/>
        <v/>
      </c>
      <c r="BA6" s="37"/>
      <c r="BB6" s="33"/>
      <c r="BC6" s="34"/>
      <c r="BD6" s="35" t="str">
        <f t="shared" si="20"/>
        <v/>
      </c>
      <c r="BE6" s="36" t="str">
        <f t="shared" si="21"/>
        <v/>
      </c>
      <c r="BF6" s="37"/>
      <c r="BG6" s="33"/>
      <c r="BH6" s="34"/>
      <c r="BI6" s="35" t="str">
        <f t="shared" si="22"/>
        <v/>
      </c>
      <c r="BJ6" s="36" t="str">
        <f t="shared" si="23"/>
        <v/>
      </c>
      <c r="BK6" s="37"/>
      <c r="BL6" s="33"/>
      <c r="BM6" s="34"/>
      <c r="BN6" s="35" t="str">
        <f t="shared" si="24"/>
        <v/>
      </c>
      <c r="BO6" s="36" t="str">
        <f t="shared" si="25"/>
        <v/>
      </c>
      <c r="BP6" s="37"/>
      <c r="BQ6" s="33"/>
      <c r="BR6" s="34"/>
      <c r="BS6" s="35" t="str">
        <f t="shared" si="26"/>
        <v/>
      </c>
      <c r="BT6" s="36" t="str">
        <f t="shared" si="27"/>
        <v/>
      </c>
      <c r="BU6" s="37"/>
      <c r="BV6" s="33"/>
      <c r="BW6" s="34"/>
      <c r="BX6" s="35" t="str">
        <f t="shared" si="28"/>
        <v/>
      </c>
      <c r="BY6" s="36" t="str">
        <f t="shared" si="29"/>
        <v/>
      </c>
      <c r="BZ6" s="37"/>
      <c r="CA6" s="33"/>
      <c r="CB6" s="34"/>
      <c r="CC6" s="35" t="str">
        <f t="shared" si="30"/>
        <v/>
      </c>
      <c r="CD6" s="36" t="str">
        <f t="shared" si="31"/>
        <v/>
      </c>
      <c r="CE6" s="37"/>
      <c r="CF6" s="33"/>
      <c r="CG6" s="34"/>
      <c r="CH6" s="35" t="str">
        <f t="shared" si="32"/>
        <v/>
      </c>
      <c r="CI6" s="36" t="str">
        <f t="shared" si="33"/>
        <v/>
      </c>
      <c r="CJ6" s="37"/>
      <c r="CK6" s="33"/>
      <c r="CL6" s="34"/>
      <c r="CM6" s="35" t="str">
        <f t="shared" si="34"/>
        <v/>
      </c>
      <c r="CN6" s="36" t="str">
        <f t="shared" si="35"/>
        <v/>
      </c>
      <c r="CO6" s="37"/>
      <c r="CP6" s="33"/>
      <c r="CQ6" s="34"/>
      <c r="CR6" s="35" t="str">
        <f t="shared" si="36"/>
        <v/>
      </c>
      <c r="CS6" s="36" t="str">
        <f t="shared" si="37"/>
        <v/>
      </c>
      <c r="CT6" s="37"/>
      <c r="CU6" s="33"/>
      <c r="CV6" s="34"/>
      <c r="CW6" s="35" t="str">
        <f t="shared" si="38"/>
        <v/>
      </c>
      <c r="CX6" s="36" t="str">
        <f t="shared" si="39"/>
        <v/>
      </c>
      <c r="CY6" s="37"/>
      <c r="CZ6" s="33"/>
      <c r="DA6" s="34"/>
      <c r="DB6" s="35" t="str">
        <f t="shared" si="40"/>
        <v/>
      </c>
      <c r="DC6" s="36" t="str">
        <f t="shared" si="41"/>
        <v/>
      </c>
      <c r="DD6" s="37"/>
      <c r="DE6" s="33"/>
      <c r="DF6" s="34"/>
      <c r="DG6" s="35" t="str">
        <f t="shared" si="42"/>
        <v/>
      </c>
      <c r="DH6" s="36" t="str">
        <f t="shared" si="43"/>
        <v/>
      </c>
      <c r="DI6" s="37"/>
      <c r="DJ6" s="33"/>
      <c r="DK6" s="34"/>
      <c r="DL6" s="35" t="str">
        <f t="shared" si="44"/>
        <v/>
      </c>
      <c r="DM6" s="36" t="str">
        <f t="shared" si="45"/>
        <v/>
      </c>
      <c r="DN6" s="37"/>
      <c r="DO6" s="33"/>
      <c r="DP6" s="34"/>
      <c r="DQ6" s="35" t="str">
        <f t="shared" si="46"/>
        <v/>
      </c>
      <c r="DR6" s="36" t="str">
        <f t="shared" si="47"/>
        <v/>
      </c>
      <c r="DS6" s="37"/>
      <c r="DT6" s="33"/>
      <c r="DU6" s="34"/>
      <c r="DV6" s="35" t="str">
        <f t="shared" si="48"/>
        <v/>
      </c>
      <c r="DW6" s="36" t="str">
        <f t="shared" si="49"/>
        <v/>
      </c>
      <c r="DX6" s="37"/>
      <c r="DY6" s="33"/>
      <c r="DZ6" s="34"/>
      <c r="EA6" s="35" t="str">
        <f t="shared" si="50"/>
        <v/>
      </c>
      <c r="EB6" s="36" t="str">
        <f t="shared" si="51"/>
        <v/>
      </c>
      <c r="EC6" s="37"/>
      <c r="ED6" s="33"/>
      <c r="EE6" s="34"/>
      <c r="EF6" s="35" t="str">
        <f t="shared" si="52"/>
        <v/>
      </c>
      <c r="EG6" s="36" t="str">
        <f t="shared" si="53"/>
        <v/>
      </c>
      <c r="EH6" s="37"/>
      <c r="EI6" s="33"/>
      <c r="EJ6" s="34"/>
      <c r="EK6" s="35" t="str">
        <f t="shared" si="54"/>
        <v/>
      </c>
      <c r="EL6" s="36" t="str">
        <f t="shared" si="55"/>
        <v/>
      </c>
      <c r="EM6" s="37"/>
      <c r="EN6" s="33"/>
      <c r="EO6" s="34"/>
      <c r="EP6" s="35" t="str">
        <f t="shared" si="56"/>
        <v/>
      </c>
      <c r="EQ6" s="36" t="str">
        <f t="shared" si="57"/>
        <v/>
      </c>
      <c r="ER6" s="37"/>
      <c r="ES6" s="33"/>
      <c r="ET6" s="34"/>
      <c r="EU6" s="35" t="str">
        <f t="shared" si="58"/>
        <v/>
      </c>
      <c r="EV6" s="36" t="str">
        <f t="shared" si="59"/>
        <v/>
      </c>
      <c r="EW6" s="37"/>
    </row>
    <row r="7" spans="1:153" ht="19.5" customHeight="1">
      <c r="A7" s="32">
        <f>IF(DAY(DATE(対象年度,12,4))&lt;&gt;4,"",4)</f>
        <v>4</v>
      </c>
      <c r="B7" s="32" t="str">
        <f>IF(DAY(DATE(対象年度,12,4))&lt;&gt;4,"",CHOOSE(WEEKDAY(DATE(対象年度,12,4),2),"月","火","水","木","金","土","日"))</f>
        <v>金</v>
      </c>
      <c r="C7" s="32" t="str">
        <f>IF(DAY(DATE(対象年度,12,4))&lt;&gt;4,"",IF(ISNUMBER(MATCH(DATE(対象年度,12,4),祝日リスト,0)),"祝",""))</f>
        <v/>
      </c>
      <c r="D7" s="33"/>
      <c r="E7" s="34"/>
      <c r="F7" s="35" t="str">
        <f t="shared" si="0"/>
        <v/>
      </c>
      <c r="G7" s="36" t="str">
        <f t="shared" si="1"/>
        <v/>
      </c>
      <c r="H7" s="37"/>
      <c r="I7" s="33"/>
      <c r="J7" s="34"/>
      <c r="K7" s="35" t="str">
        <f t="shared" si="2"/>
        <v/>
      </c>
      <c r="L7" s="36" t="str">
        <f t="shared" si="3"/>
        <v/>
      </c>
      <c r="M7" s="37"/>
      <c r="N7" s="33"/>
      <c r="O7" s="34"/>
      <c r="P7" s="35" t="str">
        <f t="shared" si="4"/>
        <v/>
      </c>
      <c r="Q7" s="36" t="str">
        <f t="shared" si="5"/>
        <v/>
      </c>
      <c r="R7" s="37"/>
      <c r="S7" s="33"/>
      <c r="T7" s="34"/>
      <c r="U7" s="35" t="str">
        <f t="shared" si="6"/>
        <v/>
      </c>
      <c r="V7" s="36" t="str">
        <f t="shared" si="7"/>
        <v/>
      </c>
      <c r="W7" s="37"/>
      <c r="X7" s="33"/>
      <c r="Y7" s="34"/>
      <c r="Z7" s="35" t="str">
        <f t="shared" si="8"/>
        <v/>
      </c>
      <c r="AA7" s="36" t="str">
        <f t="shared" si="9"/>
        <v/>
      </c>
      <c r="AB7" s="37"/>
      <c r="AC7" s="33"/>
      <c r="AD7" s="34"/>
      <c r="AE7" s="35" t="str">
        <f t="shared" si="10"/>
        <v/>
      </c>
      <c r="AF7" s="36" t="str">
        <f t="shared" si="11"/>
        <v/>
      </c>
      <c r="AG7" s="37"/>
      <c r="AH7" s="33"/>
      <c r="AI7" s="34"/>
      <c r="AJ7" s="35" t="str">
        <f t="shared" si="12"/>
        <v/>
      </c>
      <c r="AK7" s="36" t="str">
        <f t="shared" si="13"/>
        <v/>
      </c>
      <c r="AL7" s="37"/>
      <c r="AM7" s="33"/>
      <c r="AN7" s="34"/>
      <c r="AO7" s="35" t="str">
        <f t="shared" si="14"/>
        <v/>
      </c>
      <c r="AP7" s="36" t="str">
        <f t="shared" si="15"/>
        <v/>
      </c>
      <c r="AQ7" s="37"/>
      <c r="AR7" s="33"/>
      <c r="AS7" s="34"/>
      <c r="AT7" s="35" t="str">
        <f t="shared" si="16"/>
        <v/>
      </c>
      <c r="AU7" s="36" t="str">
        <f t="shared" si="17"/>
        <v/>
      </c>
      <c r="AV7" s="37"/>
      <c r="AW7" s="33"/>
      <c r="AX7" s="34"/>
      <c r="AY7" s="35" t="str">
        <f t="shared" si="18"/>
        <v/>
      </c>
      <c r="AZ7" s="36" t="str">
        <f t="shared" si="19"/>
        <v/>
      </c>
      <c r="BA7" s="37"/>
      <c r="BB7" s="33"/>
      <c r="BC7" s="34"/>
      <c r="BD7" s="35" t="str">
        <f t="shared" si="20"/>
        <v/>
      </c>
      <c r="BE7" s="36" t="str">
        <f t="shared" si="21"/>
        <v/>
      </c>
      <c r="BF7" s="37"/>
      <c r="BG7" s="33"/>
      <c r="BH7" s="34"/>
      <c r="BI7" s="35" t="str">
        <f t="shared" si="22"/>
        <v/>
      </c>
      <c r="BJ7" s="36" t="str">
        <f t="shared" si="23"/>
        <v/>
      </c>
      <c r="BK7" s="37"/>
      <c r="BL7" s="33"/>
      <c r="BM7" s="34"/>
      <c r="BN7" s="35" t="str">
        <f t="shared" si="24"/>
        <v/>
      </c>
      <c r="BO7" s="36" t="str">
        <f t="shared" si="25"/>
        <v/>
      </c>
      <c r="BP7" s="37"/>
      <c r="BQ7" s="33"/>
      <c r="BR7" s="34"/>
      <c r="BS7" s="35" t="str">
        <f t="shared" si="26"/>
        <v/>
      </c>
      <c r="BT7" s="36" t="str">
        <f t="shared" si="27"/>
        <v/>
      </c>
      <c r="BU7" s="37"/>
      <c r="BV7" s="33"/>
      <c r="BW7" s="34"/>
      <c r="BX7" s="35" t="str">
        <f t="shared" si="28"/>
        <v/>
      </c>
      <c r="BY7" s="36" t="str">
        <f t="shared" si="29"/>
        <v/>
      </c>
      <c r="BZ7" s="37"/>
      <c r="CA7" s="33"/>
      <c r="CB7" s="34"/>
      <c r="CC7" s="35" t="str">
        <f t="shared" si="30"/>
        <v/>
      </c>
      <c r="CD7" s="36" t="str">
        <f t="shared" si="31"/>
        <v/>
      </c>
      <c r="CE7" s="37"/>
      <c r="CF7" s="33"/>
      <c r="CG7" s="34"/>
      <c r="CH7" s="35" t="str">
        <f t="shared" si="32"/>
        <v/>
      </c>
      <c r="CI7" s="36" t="str">
        <f t="shared" si="33"/>
        <v/>
      </c>
      <c r="CJ7" s="37"/>
      <c r="CK7" s="33"/>
      <c r="CL7" s="34"/>
      <c r="CM7" s="35" t="str">
        <f t="shared" si="34"/>
        <v/>
      </c>
      <c r="CN7" s="36" t="str">
        <f t="shared" si="35"/>
        <v/>
      </c>
      <c r="CO7" s="37"/>
      <c r="CP7" s="33"/>
      <c r="CQ7" s="34"/>
      <c r="CR7" s="35" t="str">
        <f t="shared" si="36"/>
        <v/>
      </c>
      <c r="CS7" s="36" t="str">
        <f t="shared" si="37"/>
        <v/>
      </c>
      <c r="CT7" s="37"/>
      <c r="CU7" s="33"/>
      <c r="CV7" s="34"/>
      <c r="CW7" s="35" t="str">
        <f t="shared" si="38"/>
        <v/>
      </c>
      <c r="CX7" s="36" t="str">
        <f t="shared" si="39"/>
        <v/>
      </c>
      <c r="CY7" s="37"/>
      <c r="CZ7" s="33"/>
      <c r="DA7" s="34"/>
      <c r="DB7" s="35" t="str">
        <f t="shared" si="40"/>
        <v/>
      </c>
      <c r="DC7" s="36" t="str">
        <f t="shared" si="41"/>
        <v/>
      </c>
      <c r="DD7" s="37"/>
      <c r="DE7" s="33"/>
      <c r="DF7" s="34"/>
      <c r="DG7" s="35" t="str">
        <f t="shared" si="42"/>
        <v/>
      </c>
      <c r="DH7" s="36" t="str">
        <f t="shared" si="43"/>
        <v/>
      </c>
      <c r="DI7" s="37"/>
      <c r="DJ7" s="33"/>
      <c r="DK7" s="34"/>
      <c r="DL7" s="35" t="str">
        <f t="shared" si="44"/>
        <v/>
      </c>
      <c r="DM7" s="36" t="str">
        <f t="shared" si="45"/>
        <v/>
      </c>
      <c r="DN7" s="37"/>
      <c r="DO7" s="33"/>
      <c r="DP7" s="34"/>
      <c r="DQ7" s="35" t="str">
        <f t="shared" si="46"/>
        <v/>
      </c>
      <c r="DR7" s="36" t="str">
        <f t="shared" si="47"/>
        <v/>
      </c>
      <c r="DS7" s="37"/>
      <c r="DT7" s="33"/>
      <c r="DU7" s="34"/>
      <c r="DV7" s="35" t="str">
        <f t="shared" si="48"/>
        <v/>
      </c>
      <c r="DW7" s="36" t="str">
        <f t="shared" si="49"/>
        <v/>
      </c>
      <c r="DX7" s="37"/>
      <c r="DY7" s="33"/>
      <c r="DZ7" s="34"/>
      <c r="EA7" s="35" t="str">
        <f t="shared" si="50"/>
        <v/>
      </c>
      <c r="EB7" s="36" t="str">
        <f t="shared" si="51"/>
        <v/>
      </c>
      <c r="EC7" s="37"/>
      <c r="ED7" s="33"/>
      <c r="EE7" s="34"/>
      <c r="EF7" s="35" t="str">
        <f t="shared" si="52"/>
        <v/>
      </c>
      <c r="EG7" s="36" t="str">
        <f t="shared" si="53"/>
        <v/>
      </c>
      <c r="EH7" s="37"/>
      <c r="EI7" s="33"/>
      <c r="EJ7" s="34"/>
      <c r="EK7" s="35" t="str">
        <f t="shared" si="54"/>
        <v/>
      </c>
      <c r="EL7" s="36" t="str">
        <f t="shared" si="55"/>
        <v/>
      </c>
      <c r="EM7" s="37"/>
      <c r="EN7" s="33"/>
      <c r="EO7" s="34"/>
      <c r="EP7" s="35" t="str">
        <f t="shared" si="56"/>
        <v/>
      </c>
      <c r="EQ7" s="36" t="str">
        <f t="shared" si="57"/>
        <v/>
      </c>
      <c r="ER7" s="37"/>
      <c r="ES7" s="33"/>
      <c r="ET7" s="34"/>
      <c r="EU7" s="35" t="str">
        <f t="shared" si="58"/>
        <v/>
      </c>
      <c r="EV7" s="36" t="str">
        <f t="shared" si="59"/>
        <v/>
      </c>
      <c r="EW7" s="37"/>
    </row>
    <row r="8" spans="1:153" ht="19.5" customHeight="1">
      <c r="A8" s="32">
        <f>IF(DAY(DATE(対象年度,12,5))&lt;&gt;5,"",5)</f>
        <v>5</v>
      </c>
      <c r="B8" s="32" t="str">
        <f>IF(DAY(DATE(対象年度,12,5))&lt;&gt;5,"",CHOOSE(WEEKDAY(DATE(対象年度,12,5),2),"月","火","水","木","金","土","日"))</f>
        <v>土</v>
      </c>
      <c r="C8" s="32" t="str">
        <f>IF(DAY(DATE(対象年度,12,5))&lt;&gt;5,"",IF(ISNUMBER(MATCH(DATE(対象年度,12,5),祝日リスト,0)),"祝",""))</f>
        <v/>
      </c>
      <c r="D8" s="33"/>
      <c r="E8" s="34"/>
      <c r="F8" s="35" t="str">
        <f t="shared" si="0"/>
        <v/>
      </c>
      <c r="G8" s="36" t="str">
        <f t="shared" si="1"/>
        <v/>
      </c>
      <c r="H8" s="37"/>
      <c r="I8" s="33"/>
      <c r="J8" s="34"/>
      <c r="K8" s="35" t="str">
        <f t="shared" si="2"/>
        <v/>
      </c>
      <c r="L8" s="36" t="str">
        <f t="shared" si="3"/>
        <v/>
      </c>
      <c r="M8" s="37"/>
      <c r="N8" s="33"/>
      <c r="O8" s="34"/>
      <c r="P8" s="35" t="str">
        <f t="shared" si="4"/>
        <v/>
      </c>
      <c r="Q8" s="36" t="str">
        <f t="shared" si="5"/>
        <v/>
      </c>
      <c r="R8" s="37"/>
      <c r="S8" s="33"/>
      <c r="T8" s="34"/>
      <c r="U8" s="35" t="str">
        <f t="shared" si="6"/>
        <v/>
      </c>
      <c r="V8" s="36" t="str">
        <f t="shared" si="7"/>
        <v/>
      </c>
      <c r="W8" s="37"/>
      <c r="X8" s="33"/>
      <c r="Y8" s="34"/>
      <c r="Z8" s="35" t="str">
        <f t="shared" si="8"/>
        <v/>
      </c>
      <c r="AA8" s="36" t="str">
        <f t="shared" si="9"/>
        <v/>
      </c>
      <c r="AB8" s="37"/>
      <c r="AC8" s="33"/>
      <c r="AD8" s="34"/>
      <c r="AE8" s="35" t="str">
        <f t="shared" si="10"/>
        <v/>
      </c>
      <c r="AF8" s="36" t="str">
        <f t="shared" si="11"/>
        <v/>
      </c>
      <c r="AG8" s="37"/>
      <c r="AH8" s="33"/>
      <c r="AI8" s="34"/>
      <c r="AJ8" s="35" t="str">
        <f t="shared" si="12"/>
        <v/>
      </c>
      <c r="AK8" s="36" t="str">
        <f t="shared" si="13"/>
        <v/>
      </c>
      <c r="AL8" s="37"/>
      <c r="AM8" s="33"/>
      <c r="AN8" s="34"/>
      <c r="AO8" s="35" t="str">
        <f t="shared" si="14"/>
        <v/>
      </c>
      <c r="AP8" s="36" t="str">
        <f t="shared" si="15"/>
        <v/>
      </c>
      <c r="AQ8" s="37"/>
      <c r="AR8" s="33"/>
      <c r="AS8" s="34"/>
      <c r="AT8" s="35" t="str">
        <f t="shared" si="16"/>
        <v/>
      </c>
      <c r="AU8" s="36" t="str">
        <f t="shared" si="17"/>
        <v/>
      </c>
      <c r="AV8" s="37"/>
      <c r="AW8" s="33"/>
      <c r="AX8" s="34"/>
      <c r="AY8" s="35" t="str">
        <f t="shared" si="18"/>
        <v/>
      </c>
      <c r="AZ8" s="36" t="str">
        <f t="shared" si="19"/>
        <v/>
      </c>
      <c r="BA8" s="37"/>
      <c r="BB8" s="33"/>
      <c r="BC8" s="34"/>
      <c r="BD8" s="35" t="str">
        <f t="shared" si="20"/>
        <v/>
      </c>
      <c r="BE8" s="36" t="str">
        <f t="shared" si="21"/>
        <v/>
      </c>
      <c r="BF8" s="37"/>
      <c r="BG8" s="33"/>
      <c r="BH8" s="34"/>
      <c r="BI8" s="35" t="str">
        <f t="shared" si="22"/>
        <v/>
      </c>
      <c r="BJ8" s="36" t="str">
        <f t="shared" si="23"/>
        <v/>
      </c>
      <c r="BK8" s="37"/>
      <c r="BL8" s="33"/>
      <c r="BM8" s="34"/>
      <c r="BN8" s="35" t="str">
        <f t="shared" si="24"/>
        <v/>
      </c>
      <c r="BO8" s="36" t="str">
        <f t="shared" si="25"/>
        <v/>
      </c>
      <c r="BP8" s="37"/>
      <c r="BQ8" s="33"/>
      <c r="BR8" s="34"/>
      <c r="BS8" s="35" t="str">
        <f t="shared" si="26"/>
        <v/>
      </c>
      <c r="BT8" s="36" t="str">
        <f t="shared" si="27"/>
        <v/>
      </c>
      <c r="BU8" s="37"/>
      <c r="BV8" s="33"/>
      <c r="BW8" s="34"/>
      <c r="BX8" s="35" t="str">
        <f t="shared" si="28"/>
        <v/>
      </c>
      <c r="BY8" s="36" t="str">
        <f t="shared" si="29"/>
        <v/>
      </c>
      <c r="BZ8" s="37"/>
      <c r="CA8" s="33"/>
      <c r="CB8" s="34"/>
      <c r="CC8" s="35" t="str">
        <f t="shared" si="30"/>
        <v/>
      </c>
      <c r="CD8" s="36" t="str">
        <f t="shared" si="31"/>
        <v/>
      </c>
      <c r="CE8" s="37"/>
      <c r="CF8" s="33"/>
      <c r="CG8" s="34"/>
      <c r="CH8" s="35" t="str">
        <f t="shared" si="32"/>
        <v/>
      </c>
      <c r="CI8" s="36" t="str">
        <f t="shared" si="33"/>
        <v/>
      </c>
      <c r="CJ8" s="37"/>
      <c r="CK8" s="33"/>
      <c r="CL8" s="34"/>
      <c r="CM8" s="35" t="str">
        <f t="shared" si="34"/>
        <v/>
      </c>
      <c r="CN8" s="36" t="str">
        <f t="shared" si="35"/>
        <v/>
      </c>
      <c r="CO8" s="37"/>
      <c r="CP8" s="33"/>
      <c r="CQ8" s="34"/>
      <c r="CR8" s="35" t="str">
        <f t="shared" si="36"/>
        <v/>
      </c>
      <c r="CS8" s="36" t="str">
        <f t="shared" si="37"/>
        <v/>
      </c>
      <c r="CT8" s="37"/>
      <c r="CU8" s="33"/>
      <c r="CV8" s="34"/>
      <c r="CW8" s="35" t="str">
        <f t="shared" si="38"/>
        <v/>
      </c>
      <c r="CX8" s="36" t="str">
        <f t="shared" si="39"/>
        <v/>
      </c>
      <c r="CY8" s="37"/>
      <c r="CZ8" s="33"/>
      <c r="DA8" s="34"/>
      <c r="DB8" s="35" t="str">
        <f t="shared" si="40"/>
        <v/>
      </c>
      <c r="DC8" s="36" t="str">
        <f t="shared" si="41"/>
        <v/>
      </c>
      <c r="DD8" s="37"/>
      <c r="DE8" s="33"/>
      <c r="DF8" s="34"/>
      <c r="DG8" s="35" t="str">
        <f t="shared" si="42"/>
        <v/>
      </c>
      <c r="DH8" s="36" t="str">
        <f t="shared" si="43"/>
        <v/>
      </c>
      <c r="DI8" s="37"/>
      <c r="DJ8" s="33"/>
      <c r="DK8" s="34"/>
      <c r="DL8" s="35" t="str">
        <f t="shared" si="44"/>
        <v/>
      </c>
      <c r="DM8" s="36" t="str">
        <f t="shared" si="45"/>
        <v/>
      </c>
      <c r="DN8" s="37"/>
      <c r="DO8" s="33"/>
      <c r="DP8" s="34"/>
      <c r="DQ8" s="35" t="str">
        <f t="shared" si="46"/>
        <v/>
      </c>
      <c r="DR8" s="36" t="str">
        <f t="shared" si="47"/>
        <v/>
      </c>
      <c r="DS8" s="37"/>
      <c r="DT8" s="33"/>
      <c r="DU8" s="34"/>
      <c r="DV8" s="35" t="str">
        <f t="shared" si="48"/>
        <v/>
      </c>
      <c r="DW8" s="36" t="str">
        <f t="shared" si="49"/>
        <v/>
      </c>
      <c r="DX8" s="37"/>
      <c r="DY8" s="33"/>
      <c r="DZ8" s="34"/>
      <c r="EA8" s="35" t="str">
        <f t="shared" si="50"/>
        <v/>
      </c>
      <c r="EB8" s="36" t="str">
        <f t="shared" si="51"/>
        <v/>
      </c>
      <c r="EC8" s="37"/>
      <c r="ED8" s="33"/>
      <c r="EE8" s="34"/>
      <c r="EF8" s="35" t="str">
        <f t="shared" si="52"/>
        <v/>
      </c>
      <c r="EG8" s="36" t="str">
        <f t="shared" si="53"/>
        <v/>
      </c>
      <c r="EH8" s="37"/>
      <c r="EI8" s="33"/>
      <c r="EJ8" s="34"/>
      <c r="EK8" s="35" t="str">
        <f t="shared" si="54"/>
        <v/>
      </c>
      <c r="EL8" s="36" t="str">
        <f t="shared" si="55"/>
        <v/>
      </c>
      <c r="EM8" s="37"/>
      <c r="EN8" s="33"/>
      <c r="EO8" s="34"/>
      <c r="EP8" s="35" t="str">
        <f t="shared" si="56"/>
        <v/>
      </c>
      <c r="EQ8" s="36" t="str">
        <f t="shared" si="57"/>
        <v/>
      </c>
      <c r="ER8" s="37"/>
      <c r="ES8" s="33"/>
      <c r="ET8" s="34"/>
      <c r="EU8" s="35" t="str">
        <f t="shared" si="58"/>
        <v/>
      </c>
      <c r="EV8" s="36" t="str">
        <f t="shared" si="59"/>
        <v/>
      </c>
      <c r="EW8" s="37"/>
    </row>
    <row r="9" spans="1:153" ht="19.5" customHeight="1">
      <c r="A9" s="32">
        <f>IF(DAY(DATE(対象年度,12,6))&lt;&gt;6,"",6)</f>
        <v>6</v>
      </c>
      <c r="B9" s="32" t="str">
        <f>IF(DAY(DATE(対象年度,12,6))&lt;&gt;6,"",CHOOSE(WEEKDAY(DATE(対象年度,12,6),2),"月","火","水","木","金","土","日"))</f>
        <v>日</v>
      </c>
      <c r="C9" s="32" t="str">
        <f>IF(DAY(DATE(対象年度,12,6))&lt;&gt;6,"",IF(ISNUMBER(MATCH(DATE(対象年度,12,6),祝日リスト,0)),"祝",""))</f>
        <v/>
      </c>
      <c r="D9" s="33"/>
      <c r="E9" s="34"/>
      <c r="F9" s="35" t="str">
        <f t="shared" si="0"/>
        <v/>
      </c>
      <c r="G9" s="36" t="str">
        <f t="shared" si="1"/>
        <v/>
      </c>
      <c r="H9" s="37"/>
      <c r="I9" s="33"/>
      <c r="J9" s="34"/>
      <c r="K9" s="35" t="str">
        <f t="shared" si="2"/>
        <v/>
      </c>
      <c r="L9" s="36" t="str">
        <f t="shared" si="3"/>
        <v/>
      </c>
      <c r="M9" s="37"/>
      <c r="N9" s="33"/>
      <c r="O9" s="34"/>
      <c r="P9" s="35" t="str">
        <f t="shared" si="4"/>
        <v/>
      </c>
      <c r="Q9" s="36" t="str">
        <f t="shared" si="5"/>
        <v/>
      </c>
      <c r="R9" s="37"/>
      <c r="S9" s="33"/>
      <c r="T9" s="34"/>
      <c r="U9" s="35" t="str">
        <f t="shared" si="6"/>
        <v/>
      </c>
      <c r="V9" s="36" t="str">
        <f t="shared" si="7"/>
        <v/>
      </c>
      <c r="W9" s="37"/>
      <c r="X9" s="33"/>
      <c r="Y9" s="34"/>
      <c r="Z9" s="35" t="str">
        <f t="shared" si="8"/>
        <v/>
      </c>
      <c r="AA9" s="36" t="str">
        <f t="shared" si="9"/>
        <v/>
      </c>
      <c r="AB9" s="37"/>
      <c r="AC9" s="33"/>
      <c r="AD9" s="34"/>
      <c r="AE9" s="35" t="str">
        <f t="shared" si="10"/>
        <v/>
      </c>
      <c r="AF9" s="36" t="str">
        <f t="shared" si="11"/>
        <v/>
      </c>
      <c r="AG9" s="37"/>
      <c r="AH9" s="33"/>
      <c r="AI9" s="34"/>
      <c r="AJ9" s="35" t="str">
        <f t="shared" si="12"/>
        <v/>
      </c>
      <c r="AK9" s="36" t="str">
        <f t="shared" si="13"/>
        <v/>
      </c>
      <c r="AL9" s="37"/>
      <c r="AM9" s="33"/>
      <c r="AN9" s="34"/>
      <c r="AO9" s="35" t="str">
        <f t="shared" si="14"/>
        <v/>
      </c>
      <c r="AP9" s="36" t="str">
        <f t="shared" si="15"/>
        <v/>
      </c>
      <c r="AQ9" s="37"/>
      <c r="AR9" s="33"/>
      <c r="AS9" s="34"/>
      <c r="AT9" s="35" t="str">
        <f t="shared" si="16"/>
        <v/>
      </c>
      <c r="AU9" s="36" t="str">
        <f t="shared" si="17"/>
        <v/>
      </c>
      <c r="AV9" s="37"/>
      <c r="AW9" s="33"/>
      <c r="AX9" s="34"/>
      <c r="AY9" s="35" t="str">
        <f t="shared" si="18"/>
        <v/>
      </c>
      <c r="AZ9" s="36" t="str">
        <f t="shared" si="19"/>
        <v/>
      </c>
      <c r="BA9" s="37"/>
      <c r="BB9" s="33"/>
      <c r="BC9" s="34"/>
      <c r="BD9" s="35" t="str">
        <f t="shared" si="20"/>
        <v/>
      </c>
      <c r="BE9" s="36" t="str">
        <f t="shared" si="21"/>
        <v/>
      </c>
      <c r="BF9" s="37"/>
      <c r="BG9" s="33"/>
      <c r="BH9" s="34"/>
      <c r="BI9" s="35" t="str">
        <f t="shared" si="22"/>
        <v/>
      </c>
      <c r="BJ9" s="36" t="str">
        <f t="shared" si="23"/>
        <v/>
      </c>
      <c r="BK9" s="37"/>
      <c r="BL9" s="33"/>
      <c r="BM9" s="34"/>
      <c r="BN9" s="35" t="str">
        <f t="shared" si="24"/>
        <v/>
      </c>
      <c r="BO9" s="36" t="str">
        <f t="shared" si="25"/>
        <v/>
      </c>
      <c r="BP9" s="37"/>
      <c r="BQ9" s="33"/>
      <c r="BR9" s="34"/>
      <c r="BS9" s="35" t="str">
        <f t="shared" si="26"/>
        <v/>
      </c>
      <c r="BT9" s="36" t="str">
        <f t="shared" si="27"/>
        <v/>
      </c>
      <c r="BU9" s="37"/>
      <c r="BV9" s="33"/>
      <c r="BW9" s="34"/>
      <c r="BX9" s="35" t="str">
        <f t="shared" si="28"/>
        <v/>
      </c>
      <c r="BY9" s="36" t="str">
        <f t="shared" si="29"/>
        <v/>
      </c>
      <c r="BZ9" s="37"/>
      <c r="CA9" s="33"/>
      <c r="CB9" s="34"/>
      <c r="CC9" s="35" t="str">
        <f t="shared" si="30"/>
        <v/>
      </c>
      <c r="CD9" s="36" t="str">
        <f t="shared" si="31"/>
        <v/>
      </c>
      <c r="CE9" s="37"/>
      <c r="CF9" s="33"/>
      <c r="CG9" s="34"/>
      <c r="CH9" s="35" t="str">
        <f t="shared" si="32"/>
        <v/>
      </c>
      <c r="CI9" s="36" t="str">
        <f t="shared" si="33"/>
        <v/>
      </c>
      <c r="CJ9" s="37"/>
      <c r="CK9" s="33"/>
      <c r="CL9" s="34"/>
      <c r="CM9" s="35" t="str">
        <f t="shared" si="34"/>
        <v/>
      </c>
      <c r="CN9" s="36" t="str">
        <f t="shared" si="35"/>
        <v/>
      </c>
      <c r="CO9" s="37"/>
      <c r="CP9" s="33"/>
      <c r="CQ9" s="34"/>
      <c r="CR9" s="35" t="str">
        <f t="shared" si="36"/>
        <v/>
      </c>
      <c r="CS9" s="36" t="str">
        <f t="shared" si="37"/>
        <v/>
      </c>
      <c r="CT9" s="37"/>
      <c r="CU9" s="33"/>
      <c r="CV9" s="34"/>
      <c r="CW9" s="35" t="str">
        <f t="shared" si="38"/>
        <v/>
      </c>
      <c r="CX9" s="36" t="str">
        <f t="shared" si="39"/>
        <v/>
      </c>
      <c r="CY9" s="37"/>
      <c r="CZ9" s="33"/>
      <c r="DA9" s="34"/>
      <c r="DB9" s="35" t="str">
        <f t="shared" si="40"/>
        <v/>
      </c>
      <c r="DC9" s="36" t="str">
        <f t="shared" si="41"/>
        <v/>
      </c>
      <c r="DD9" s="37"/>
      <c r="DE9" s="33"/>
      <c r="DF9" s="34"/>
      <c r="DG9" s="35" t="str">
        <f t="shared" si="42"/>
        <v/>
      </c>
      <c r="DH9" s="36" t="str">
        <f t="shared" si="43"/>
        <v/>
      </c>
      <c r="DI9" s="37"/>
      <c r="DJ9" s="33"/>
      <c r="DK9" s="34"/>
      <c r="DL9" s="35" t="str">
        <f t="shared" si="44"/>
        <v/>
      </c>
      <c r="DM9" s="36" t="str">
        <f t="shared" si="45"/>
        <v/>
      </c>
      <c r="DN9" s="37"/>
      <c r="DO9" s="33"/>
      <c r="DP9" s="34"/>
      <c r="DQ9" s="35" t="str">
        <f t="shared" si="46"/>
        <v/>
      </c>
      <c r="DR9" s="36" t="str">
        <f t="shared" si="47"/>
        <v/>
      </c>
      <c r="DS9" s="37"/>
      <c r="DT9" s="33"/>
      <c r="DU9" s="34"/>
      <c r="DV9" s="35" t="str">
        <f t="shared" si="48"/>
        <v/>
      </c>
      <c r="DW9" s="36" t="str">
        <f t="shared" si="49"/>
        <v/>
      </c>
      <c r="DX9" s="37"/>
      <c r="DY9" s="33"/>
      <c r="DZ9" s="34"/>
      <c r="EA9" s="35" t="str">
        <f t="shared" si="50"/>
        <v/>
      </c>
      <c r="EB9" s="36" t="str">
        <f t="shared" si="51"/>
        <v/>
      </c>
      <c r="EC9" s="37"/>
      <c r="ED9" s="33"/>
      <c r="EE9" s="34"/>
      <c r="EF9" s="35" t="str">
        <f t="shared" si="52"/>
        <v/>
      </c>
      <c r="EG9" s="36" t="str">
        <f t="shared" si="53"/>
        <v/>
      </c>
      <c r="EH9" s="37"/>
      <c r="EI9" s="33"/>
      <c r="EJ9" s="34"/>
      <c r="EK9" s="35" t="str">
        <f t="shared" si="54"/>
        <v/>
      </c>
      <c r="EL9" s="36" t="str">
        <f t="shared" si="55"/>
        <v/>
      </c>
      <c r="EM9" s="37"/>
      <c r="EN9" s="33"/>
      <c r="EO9" s="34"/>
      <c r="EP9" s="35" t="str">
        <f t="shared" si="56"/>
        <v/>
      </c>
      <c r="EQ9" s="36" t="str">
        <f t="shared" si="57"/>
        <v/>
      </c>
      <c r="ER9" s="37"/>
      <c r="ES9" s="33"/>
      <c r="ET9" s="34"/>
      <c r="EU9" s="35" t="str">
        <f t="shared" si="58"/>
        <v/>
      </c>
      <c r="EV9" s="36" t="str">
        <f t="shared" si="59"/>
        <v/>
      </c>
      <c r="EW9" s="37"/>
    </row>
    <row r="10" spans="1:153" ht="19.5" customHeight="1">
      <c r="A10" s="32">
        <f>IF(DAY(DATE(対象年度,12,7))&lt;&gt;7,"",7)</f>
        <v>7</v>
      </c>
      <c r="B10" s="32" t="str">
        <f>IF(DAY(DATE(対象年度,12,7))&lt;&gt;7,"",CHOOSE(WEEKDAY(DATE(対象年度,12,7),2),"月","火","水","木","金","土","日"))</f>
        <v>月</v>
      </c>
      <c r="C10" s="32" t="str">
        <f>IF(DAY(DATE(対象年度,12,7))&lt;&gt;7,"",IF(ISNUMBER(MATCH(DATE(対象年度,12,7),祝日リスト,0)),"祝",""))</f>
        <v/>
      </c>
      <c r="D10" s="33"/>
      <c r="E10" s="34"/>
      <c r="F10" s="35" t="str">
        <f t="shared" si="0"/>
        <v/>
      </c>
      <c r="G10" s="36" t="str">
        <f t="shared" si="1"/>
        <v/>
      </c>
      <c r="H10" s="37"/>
      <c r="I10" s="33"/>
      <c r="J10" s="34"/>
      <c r="K10" s="35" t="str">
        <f t="shared" si="2"/>
        <v/>
      </c>
      <c r="L10" s="36" t="str">
        <f t="shared" si="3"/>
        <v/>
      </c>
      <c r="M10" s="37"/>
      <c r="N10" s="33"/>
      <c r="O10" s="34"/>
      <c r="P10" s="35" t="str">
        <f t="shared" si="4"/>
        <v/>
      </c>
      <c r="Q10" s="36" t="str">
        <f t="shared" si="5"/>
        <v/>
      </c>
      <c r="R10" s="37"/>
      <c r="S10" s="33"/>
      <c r="T10" s="34"/>
      <c r="U10" s="35" t="str">
        <f t="shared" si="6"/>
        <v/>
      </c>
      <c r="V10" s="36" t="str">
        <f t="shared" si="7"/>
        <v/>
      </c>
      <c r="W10" s="37"/>
      <c r="X10" s="33"/>
      <c r="Y10" s="34"/>
      <c r="Z10" s="35" t="str">
        <f t="shared" si="8"/>
        <v/>
      </c>
      <c r="AA10" s="36" t="str">
        <f t="shared" si="9"/>
        <v/>
      </c>
      <c r="AB10" s="37"/>
      <c r="AC10" s="33"/>
      <c r="AD10" s="34"/>
      <c r="AE10" s="35" t="str">
        <f t="shared" si="10"/>
        <v/>
      </c>
      <c r="AF10" s="36" t="str">
        <f t="shared" si="11"/>
        <v/>
      </c>
      <c r="AG10" s="37"/>
      <c r="AH10" s="33"/>
      <c r="AI10" s="34"/>
      <c r="AJ10" s="35" t="str">
        <f t="shared" si="12"/>
        <v/>
      </c>
      <c r="AK10" s="36" t="str">
        <f t="shared" si="13"/>
        <v/>
      </c>
      <c r="AL10" s="37"/>
      <c r="AM10" s="33"/>
      <c r="AN10" s="34"/>
      <c r="AO10" s="35" t="str">
        <f t="shared" si="14"/>
        <v/>
      </c>
      <c r="AP10" s="36" t="str">
        <f t="shared" si="15"/>
        <v/>
      </c>
      <c r="AQ10" s="37"/>
      <c r="AR10" s="33"/>
      <c r="AS10" s="34"/>
      <c r="AT10" s="35" t="str">
        <f t="shared" si="16"/>
        <v/>
      </c>
      <c r="AU10" s="36" t="str">
        <f t="shared" si="17"/>
        <v/>
      </c>
      <c r="AV10" s="37"/>
      <c r="AW10" s="33"/>
      <c r="AX10" s="34"/>
      <c r="AY10" s="35" t="str">
        <f t="shared" si="18"/>
        <v/>
      </c>
      <c r="AZ10" s="36" t="str">
        <f t="shared" si="19"/>
        <v/>
      </c>
      <c r="BA10" s="37"/>
      <c r="BB10" s="33"/>
      <c r="BC10" s="34"/>
      <c r="BD10" s="35" t="str">
        <f t="shared" si="20"/>
        <v/>
      </c>
      <c r="BE10" s="36" t="str">
        <f t="shared" si="21"/>
        <v/>
      </c>
      <c r="BF10" s="37"/>
      <c r="BG10" s="33"/>
      <c r="BH10" s="34"/>
      <c r="BI10" s="35" t="str">
        <f t="shared" si="22"/>
        <v/>
      </c>
      <c r="BJ10" s="36" t="str">
        <f t="shared" si="23"/>
        <v/>
      </c>
      <c r="BK10" s="37"/>
      <c r="BL10" s="33"/>
      <c r="BM10" s="34"/>
      <c r="BN10" s="35" t="str">
        <f t="shared" si="24"/>
        <v/>
      </c>
      <c r="BO10" s="36" t="str">
        <f t="shared" si="25"/>
        <v/>
      </c>
      <c r="BP10" s="37"/>
      <c r="BQ10" s="33"/>
      <c r="BR10" s="34"/>
      <c r="BS10" s="35" t="str">
        <f t="shared" si="26"/>
        <v/>
      </c>
      <c r="BT10" s="36" t="str">
        <f t="shared" si="27"/>
        <v/>
      </c>
      <c r="BU10" s="37"/>
      <c r="BV10" s="33"/>
      <c r="BW10" s="34"/>
      <c r="BX10" s="35" t="str">
        <f t="shared" si="28"/>
        <v/>
      </c>
      <c r="BY10" s="36" t="str">
        <f t="shared" si="29"/>
        <v/>
      </c>
      <c r="BZ10" s="37"/>
      <c r="CA10" s="33"/>
      <c r="CB10" s="34"/>
      <c r="CC10" s="35" t="str">
        <f t="shared" si="30"/>
        <v/>
      </c>
      <c r="CD10" s="36" t="str">
        <f t="shared" si="31"/>
        <v/>
      </c>
      <c r="CE10" s="37"/>
      <c r="CF10" s="33"/>
      <c r="CG10" s="34"/>
      <c r="CH10" s="35" t="str">
        <f t="shared" si="32"/>
        <v/>
      </c>
      <c r="CI10" s="36" t="str">
        <f t="shared" si="33"/>
        <v/>
      </c>
      <c r="CJ10" s="37"/>
      <c r="CK10" s="33"/>
      <c r="CL10" s="34"/>
      <c r="CM10" s="35" t="str">
        <f t="shared" si="34"/>
        <v/>
      </c>
      <c r="CN10" s="36" t="str">
        <f t="shared" si="35"/>
        <v/>
      </c>
      <c r="CO10" s="37"/>
      <c r="CP10" s="33"/>
      <c r="CQ10" s="34"/>
      <c r="CR10" s="35" t="str">
        <f t="shared" si="36"/>
        <v/>
      </c>
      <c r="CS10" s="36" t="str">
        <f t="shared" si="37"/>
        <v/>
      </c>
      <c r="CT10" s="37"/>
      <c r="CU10" s="33"/>
      <c r="CV10" s="34"/>
      <c r="CW10" s="35" t="str">
        <f t="shared" si="38"/>
        <v/>
      </c>
      <c r="CX10" s="36" t="str">
        <f t="shared" si="39"/>
        <v/>
      </c>
      <c r="CY10" s="37"/>
      <c r="CZ10" s="33"/>
      <c r="DA10" s="34"/>
      <c r="DB10" s="35" t="str">
        <f t="shared" si="40"/>
        <v/>
      </c>
      <c r="DC10" s="36" t="str">
        <f t="shared" si="41"/>
        <v/>
      </c>
      <c r="DD10" s="37"/>
      <c r="DE10" s="33"/>
      <c r="DF10" s="34"/>
      <c r="DG10" s="35" t="str">
        <f t="shared" si="42"/>
        <v/>
      </c>
      <c r="DH10" s="36" t="str">
        <f t="shared" si="43"/>
        <v/>
      </c>
      <c r="DI10" s="37"/>
      <c r="DJ10" s="33"/>
      <c r="DK10" s="34"/>
      <c r="DL10" s="35" t="str">
        <f t="shared" si="44"/>
        <v/>
      </c>
      <c r="DM10" s="36" t="str">
        <f t="shared" si="45"/>
        <v/>
      </c>
      <c r="DN10" s="37"/>
      <c r="DO10" s="33"/>
      <c r="DP10" s="34"/>
      <c r="DQ10" s="35" t="str">
        <f t="shared" si="46"/>
        <v/>
      </c>
      <c r="DR10" s="36" t="str">
        <f t="shared" si="47"/>
        <v/>
      </c>
      <c r="DS10" s="37"/>
      <c r="DT10" s="33"/>
      <c r="DU10" s="34"/>
      <c r="DV10" s="35" t="str">
        <f t="shared" si="48"/>
        <v/>
      </c>
      <c r="DW10" s="36" t="str">
        <f t="shared" si="49"/>
        <v/>
      </c>
      <c r="DX10" s="37"/>
      <c r="DY10" s="33"/>
      <c r="DZ10" s="34"/>
      <c r="EA10" s="35" t="str">
        <f t="shared" si="50"/>
        <v/>
      </c>
      <c r="EB10" s="36" t="str">
        <f t="shared" si="51"/>
        <v/>
      </c>
      <c r="EC10" s="37"/>
      <c r="ED10" s="33"/>
      <c r="EE10" s="34"/>
      <c r="EF10" s="35" t="str">
        <f t="shared" si="52"/>
        <v/>
      </c>
      <c r="EG10" s="36" t="str">
        <f t="shared" si="53"/>
        <v/>
      </c>
      <c r="EH10" s="37"/>
      <c r="EI10" s="33"/>
      <c r="EJ10" s="34"/>
      <c r="EK10" s="35" t="str">
        <f t="shared" si="54"/>
        <v/>
      </c>
      <c r="EL10" s="36" t="str">
        <f t="shared" si="55"/>
        <v/>
      </c>
      <c r="EM10" s="37"/>
      <c r="EN10" s="33"/>
      <c r="EO10" s="34"/>
      <c r="EP10" s="35" t="str">
        <f t="shared" si="56"/>
        <v/>
      </c>
      <c r="EQ10" s="36" t="str">
        <f t="shared" si="57"/>
        <v/>
      </c>
      <c r="ER10" s="37"/>
      <c r="ES10" s="33"/>
      <c r="ET10" s="34"/>
      <c r="EU10" s="35" t="str">
        <f t="shared" si="58"/>
        <v/>
      </c>
      <c r="EV10" s="36" t="str">
        <f t="shared" si="59"/>
        <v/>
      </c>
      <c r="EW10" s="37"/>
    </row>
    <row r="11" spans="1:153" ht="19.5" customHeight="1">
      <c r="A11" s="32">
        <f>IF(DAY(DATE(対象年度,12,8))&lt;&gt;8,"",8)</f>
        <v>8</v>
      </c>
      <c r="B11" s="32" t="str">
        <f>IF(DAY(DATE(対象年度,12,8))&lt;&gt;8,"",CHOOSE(WEEKDAY(DATE(対象年度,12,8),2),"月","火","水","木","金","土","日"))</f>
        <v>火</v>
      </c>
      <c r="C11" s="32" t="str">
        <f>IF(DAY(DATE(対象年度,12,8))&lt;&gt;8,"",IF(ISNUMBER(MATCH(DATE(対象年度,12,8),祝日リスト,0)),"祝",""))</f>
        <v/>
      </c>
      <c r="D11" s="33"/>
      <c r="E11" s="34"/>
      <c r="F11" s="35" t="str">
        <f t="shared" si="0"/>
        <v/>
      </c>
      <c r="G11" s="36" t="str">
        <f t="shared" si="1"/>
        <v/>
      </c>
      <c r="H11" s="37"/>
      <c r="I11" s="33"/>
      <c r="J11" s="34"/>
      <c r="K11" s="35" t="str">
        <f t="shared" si="2"/>
        <v/>
      </c>
      <c r="L11" s="36" t="str">
        <f t="shared" si="3"/>
        <v/>
      </c>
      <c r="M11" s="37"/>
      <c r="N11" s="33"/>
      <c r="O11" s="34"/>
      <c r="P11" s="35" t="str">
        <f t="shared" si="4"/>
        <v/>
      </c>
      <c r="Q11" s="36" t="str">
        <f t="shared" si="5"/>
        <v/>
      </c>
      <c r="R11" s="37"/>
      <c r="S11" s="33"/>
      <c r="T11" s="34"/>
      <c r="U11" s="35" t="str">
        <f t="shared" si="6"/>
        <v/>
      </c>
      <c r="V11" s="36" t="str">
        <f t="shared" si="7"/>
        <v/>
      </c>
      <c r="W11" s="37"/>
      <c r="X11" s="33"/>
      <c r="Y11" s="34"/>
      <c r="Z11" s="35" t="str">
        <f t="shared" si="8"/>
        <v/>
      </c>
      <c r="AA11" s="36" t="str">
        <f t="shared" si="9"/>
        <v/>
      </c>
      <c r="AB11" s="37"/>
      <c r="AC11" s="33"/>
      <c r="AD11" s="34"/>
      <c r="AE11" s="35" t="str">
        <f t="shared" si="10"/>
        <v/>
      </c>
      <c r="AF11" s="36" t="str">
        <f t="shared" si="11"/>
        <v/>
      </c>
      <c r="AG11" s="37"/>
      <c r="AH11" s="33"/>
      <c r="AI11" s="34"/>
      <c r="AJ11" s="35" t="str">
        <f t="shared" si="12"/>
        <v/>
      </c>
      <c r="AK11" s="36" t="str">
        <f t="shared" si="13"/>
        <v/>
      </c>
      <c r="AL11" s="37"/>
      <c r="AM11" s="33"/>
      <c r="AN11" s="34"/>
      <c r="AO11" s="35" t="str">
        <f t="shared" si="14"/>
        <v/>
      </c>
      <c r="AP11" s="36" t="str">
        <f t="shared" si="15"/>
        <v/>
      </c>
      <c r="AQ11" s="37"/>
      <c r="AR11" s="33"/>
      <c r="AS11" s="34"/>
      <c r="AT11" s="35" t="str">
        <f t="shared" si="16"/>
        <v/>
      </c>
      <c r="AU11" s="36" t="str">
        <f t="shared" si="17"/>
        <v/>
      </c>
      <c r="AV11" s="37"/>
      <c r="AW11" s="33"/>
      <c r="AX11" s="34"/>
      <c r="AY11" s="35" t="str">
        <f t="shared" si="18"/>
        <v/>
      </c>
      <c r="AZ11" s="36" t="str">
        <f t="shared" si="19"/>
        <v/>
      </c>
      <c r="BA11" s="37"/>
      <c r="BB11" s="33"/>
      <c r="BC11" s="34"/>
      <c r="BD11" s="35" t="str">
        <f t="shared" si="20"/>
        <v/>
      </c>
      <c r="BE11" s="36" t="str">
        <f t="shared" si="21"/>
        <v/>
      </c>
      <c r="BF11" s="37"/>
      <c r="BG11" s="33"/>
      <c r="BH11" s="34"/>
      <c r="BI11" s="35" t="str">
        <f t="shared" si="22"/>
        <v/>
      </c>
      <c r="BJ11" s="36" t="str">
        <f t="shared" si="23"/>
        <v/>
      </c>
      <c r="BK11" s="37"/>
      <c r="BL11" s="33"/>
      <c r="BM11" s="34"/>
      <c r="BN11" s="35" t="str">
        <f t="shared" si="24"/>
        <v/>
      </c>
      <c r="BO11" s="36" t="str">
        <f t="shared" si="25"/>
        <v/>
      </c>
      <c r="BP11" s="37"/>
      <c r="BQ11" s="33"/>
      <c r="BR11" s="34"/>
      <c r="BS11" s="35" t="str">
        <f t="shared" si="26"/>
        <v/>
      </c>
      <c r="BT11" s="36" t="str">
        <f t="shared" si="27"/>
        <v/>
      </c>
      <c r="BU11" s="37"/>
      <c r="BV11" s="33"/>
      <c r="BW11" s="34"/>
      <c r="BX11" s="35" t="str">
        <f t="shared" si="28"/>
        <v/>
      </c>
      <c r="BY11" s="36" t="str">
        <f t="shared" si="29"/>
        <v/>
      </c>
      <c r="BZ11" s="37"/>
      <c r="CA11" s="33"/>
      <c r="CB11" s="34"/>
      <c r="CC11" s="35" t="str">
        <f t="shared" si="30"/>
        <v/>
      </c>
      <c r="CD11" s="36" t="str">
        <f t="shared" si="31"/>
        <v/>
      </c>
      <c r="CE11" s="37"/>
      <c r="CF11" s="33"/>
      <c r="CG11" s="34"/>
      <c r="CH11" s="35" t="str">
        <f t="shared" si="32"/>
        <v/>
      </c>
      <c r="CI11" s="36" t="str">
        <f t="shared" si="33"/>
        <v/>
      </c>
      <c r="CJ11" s="37"/>
      <c r="CK11" s="33"/>
      <c r="CL11" s="34"/>
      <c r="CM11" s="35" t="str">
        <f t="shared" si="34"/>
        <v/>
      </c>
      <c r="CN11" s="36" t="str">
        <f t="shared" si="35"/>
        <v/>
      </c>
      <c r="CO11" s="37"/>
      <c r="CP11" s="33"/>
      <c r="CQ11" s="34"/>
      <c r="CR11" s="35" t="str">
        <f t="shared" si="36"/>
        <v/>
      </c>
      <c r="CS11" s="36" t="str">
        <f t="shared" si="37"/>
        <v/>
      </c>
      <c r="CT11" s="37"/>
      <c r="CU11" s="33"/>
      <c r="CV11" s="34"/>
      <c r="CW11" s="35" t="str">
        <f t="shared" si="38"/>
        <v/>
      </c>
      <c r="CX11" s="36" t="str">
        <f t="shared" si="39"/>
        <v/>
      </c>
      <c r="CY11" s="37"/>
      <c r="CZ11" s="33"/>
      <c r="DA11" s="34"/>
      <c r="DB11" s="35" t="str">
        <f t="shared" si="40"/>
        <v/>
      </c>
      <c r="DC11" s="36" t="str">
        <f t="shared" si="41"/>
        <v/>
      </c>
      <c r="DD11" s="37"/>
      <c r="DE11" s="33"/>
      <c r="DF11" s="34"/>
      <c r="DG11" s="35" t="str">
        <f t="shared" si="42"/>
        <v/>
      </c>
      <c r="DH11" s="36" t="str">
        <f t="shared" si="43"/>
        <v/>
      </c>
      <c r="DI11" s="37"/>
      <c r="DJ11" s="33"/>
      <c r="DK11" s="34"/>
      <c r="DL11" s="35" t="str">
        <f t="shared" si="44"/>
        <v/>
      </c>
      <c r="DM11" s="36" t="str">
        <f t="shared" si="45"/>
        <v/>
      </c>
      <c r="DN11" s="37"/>
      <c r="DO11" s="33"/>
      <c r="DP11" s="34"/>
      <c r="DQ11" s="35" t="str">
        <f t="shared" si="46"/>
        <v/>
      </c>
      <c r="DR11" s="36" t="str">
        <f t="shared" si="47"/>
        <v/>
      </c>
      <c r="DS11" s="37"/>
      <c r="DT11" s="33"/>
      <c r="DU11" s="34"/>
      <c r="DV11" s="35" t="str">
        <f t="shared" si="48"/>
        <v/>
      </c>
      <c r="DW11" s="36" t="str">
        <f t="shared" si="49"/>
        <v/>
      </c>
      <c r="DX11" s="37"/>
      <c r="DY11" s="33"/>
      <c r="DZ11" s="34"/>
      <c r="EA11" s="35" t="str">
        <f t="shared" si="50"/>
        <v/>
      </c>
      <c r="EB11" s="36" t="str">
        <f t="shared" si="51"/>
        <v/>
      </c>
      <c r="EC11" s="37"/>
      <c r="ED11" s="33"/>
      <c r="EE11" s="34"/>
      <c r="EF11" s="35" t="str">
        <f t="shared" si="52"/>
        <v/>
      </c>
      <c r="EG11" s="36" t="str">
        <f t="shared" si="53"/>
        <v/>
      </c>
      <c r="EH11" s="37"/>
      <c r="EI11" s="33"/>
      <c r="EJ11" s="34"/>
      <c r="EK11" s="35" t="str">
        <f t="shared" si="54"/>
        <v/>
      </c>
      <c r="EL11" s="36" t="str">
        <f t="shared" si="55"/>
        <v/>
      </c>
      <c r="EM11" s="37"/>
      <c r="EN11" s="33"/>
      <c r="EO11" s="34"/>
      <c r="EP11" s="35" t="str">
        <f t="shared" si="56"/>
        <v/>
      </c>
      <c r="EQ11" s="36" t="str">
        <f t="shared" si="57"/>
        <v/>
      </c>
      <c r="ER11" s="37"/>
      <c r="ES11" s="33"/>
      <c r="ET11" s="34"/>
      <c r="EU11" s="35" t="str">
        <f t="shared" si="58"/>
        <v/>
      </c>
      <c r="EV11" s="36" t="str">
        <f t="shared" si="59"/>
        <v/>
      </c>
      <c r="EW11" s="37"/>
    </row>
    <row r="12" spans="1:153" ht="19.5" customHeight="1">
      <c r="A12" s="32">
        <f>IF(DAY(DATE(対象年度,12,9))&lt;&gt;9,"",9)</f>
        <v>9</v>
      </c>
      <c r="B12" s="32" t="str">
        <f>IF(DAY(DATE(対象年度,12,9))&lt;&gt;9,"",CHOOSE(WEEKDAY(DATE(対象年度,12,9),2),"月","火","水","木","金","土","日"))</f>
        <v>水</v>
      </c>
      <c r="C12" s="32" t="str">
        <f>IF(DAY(DATE(対象年度,12,9))&lt;&gt;9,"",IF(ISNUMBER(MATCH(DATE(対象年度,12,9),祝日リスト,0)),"祝",""))</f>
        <v/>
      </c>
      <c r="D12" s="33"/>
      <c r="E12" s="34"/>
      <c r="F12" s="35" t="str">
        <f t="shared" si="0"/>
        <v/>
      </c>
      <c r="G12" s="36" t="str">
        <f t="shared" si="1"/>
        <v/>
      </c>
      <c r="H12" s="37"/>
      <c r="I12" s="33"/>
      <c r="J12" s="34"/>
      <c r="K12" s="35" t="str">
        <f t="shared" si="2"/>
        <v/>
      </c>
      <c r="L12" s="36" t="str">
        <f t="shared" si="3"/>
        <v/>
      </c>
      <c r="M12" s="37"/>
      <c r="N12" s="33"/>
      <c r="O12" s="34"/>
      <c r="P12" s="35" t="str">
        <f t="shared" si="4"/>
        <v/>
      </c>
      <c r="Q12" s="36" t="str">
        <f t="shared" si="5"/>
        <v/>
      </c>
      <c r="R12" s="37"/>
      <c r="S12" s="33"/>
      <c r="T12" s="34"/>
      <c r="U12" s="35" t="str">
        <f t="shared" si="6"/>
        <v/>
      </c>
      <c r="V12" s="36" t="str">
        <f t="shared" si="7"/>
        <v/>
      </c>
      <c r="W12" s="37"/>
      <c r="X12" s="33"/>
      <c r="Y12" s="34"/>
      <c r="Z12" s="35" t="str">
        <f t="shared" si="8"/>
        <v/>
      </c>
      <c r="AA12" s="36" t="str">
        <f t="shared" si="9"/>
        <v/>
      </c>
      <c r="AB12" s="37"/>
      <c r="AC12" s="33"/>
      <c r="AD12" s="34"/>
      <c r="AE12" s="35" t="str">
        <f t="shared" si="10"/>
        <v/>
      </c>
      <c r="AF12" s="36" t="str">
        <f t="shared" si="11"/>
        <v/>
      </c>
      <c r="AG12" s="37"/>
      <c r="AH12" s="33"/>
      <c r="AI12" s="34"/>
      <c r="AJ12" s="35" t="str">
        <f t="shared" si="12"/>
        <v/>
      </c>
      <c r="AK12" s="36" t="str">
        <f t="shared" si="13"/>
        <v/>
      </c>
      <c r="AL12" s="37"/>
      <c r="AM12" s="33"/>
      <c r="AN12" s="34"/>
      <c r="AO12" s="35" t="str">
        <f t="shared" si="14"/>
        <v/>
      </c>
      <c r="AP12" s="36" t="str">
        <f t="shared" si="15"/>
        <v/>
      </c>
      <c r="AQ12" s="37"/>
      <c r="AR12" s="33"/>
      <c r="AS12" s="34"/>
      <c r="AT12" s="35" t="str">
        <f t="shared" si="16"/>
        <v/>
      </c>
      <c r="AU12" s="36" t="str">
        <f t="shared" si="17"/>
        <v/>
      </c>
      <c r="AV12" s="37"/>
      <c r="AW12" s="33"/>
      <c r="AX12" s="34"/>
      <c r="AY12" s="35" t="str">
        <f t="shared" si="18"/>
        <v/>
      </c>
      <c r="AZ12" s="36" t="str">
        <f t="shared" si="19"/>
        <v/>
      </c>
      <c r="BA12" s="37"/>
      <c r="BB12" s="33"/>
      <c r="BC12" s="34"/>
      <c r="BD12" s="35" t="str">
        <f t="shared" si="20"/>
        <v/>
      </c>
      <c r="BE12" s="36" t="str">
        <f t="shared" si="21"/>
        <v/>
      </c>
      <c r="BF12" s="37"/>
      <c r="BG12" s="33"/>
      <c r="BH12" s="34"/>
      <c r="BI12" s="35" t="str">
        <f t="shared" si="22"/>
        <v/>
      </c>
      <c r="BJ12" s="36" t="str">
        <f t="shared" si="23"/>
        <v/>
      </c>
      <c r="BK12" s="37"/>
      <c r="BL12" s="33"/>
      <c r="BM12" s="34"/>
      <c r="BN12" s="35" t="str">
        <f t="shared" si="24"/>
        <v/>
      </c>
      <c r="BO12" s="36" t="str">
        <f t="shared" si="25"/>
        <v/>
      </c>
      <c r="BP12" s="37"/>
      <c r="BQ12" s="33"/>
      <c r="BR12" s="34"/>
      <c r="BS12" s="35" t="str">
        <f t="shared" si="26"/>
        <v/>
      </c>
      <c r="BT12" s="36" t="str">
        <f t="shared" si="27"/>
        <v/>
      </c>
      <c r="BU12" s="37"/>
      <c r="BV12" s="33"/>
      <c r="BW12" s="34"/>
      <c r="BX12" s="35" t="str">
        <f t="shared" si="28"/>
        <v/>
      </c>
      <c r="BY12" s="36" t="str">
        <f t="shared" si="29"/>
        <v/>
      </c>
      <c r="BZ12" s="37"/>
      <c r="CA12" s="33"/>
      <c r="CB12" s="34"/>
      <c r="CC12" s="35" t="str">
        <f t="shared" si="30"/>
        <v/>
      </c>
      <c r="CD12" s="36" t="str">
        <f t="shared" si="31"/>
        <v/>
      </c>
      <c r="CE12" s="37"/>
      <c r="CF12" s="33"/>
      <c r="CG12" s="34"/>
      <c r="CH12" s="35" t="str">
        <f t="shared" si="32"/>
        <v/>
      </c>
      <c r="CI12" s="36" t="str">
        <f t="shared" si="33"/>
        <v/>
      </c>
      <c r="CJ12" s="37"/>
      <c r="CK12" s="33"/>
      <c r="CL12" s="34"/>
      <c r="CM12" s="35" t="str">
        <f t="shared" si="34"/>
        <v/>
      </c>
      <c r="CN12" s="36" t="str">
        <f t="shared" si="35"/>
        <v/>
      </c>
      <c r="CO12" s="37"/>
      <c r="CP12" s="33"/>
      <c r="CQ12" s="34"/>
      <c r="CR12" s="35" t="str">
        <f t="shared" si="36"/>
        <v/>
      </c>
      <c r="CS12" s="36" t="str">
        <f t="shared" si="37"/>
        <v/>
      </c>
      <c r="CT12" s="37"/>
      <c r="CU12" s="33"/>
      <c r="CV12" s="34"/>
      <c r="CW12" s="35" t="str">
        <f t="shared" si="38"/>
        <v/>
      </c>
      <c r="CX12" s="36" t="str">
        <f t="shared" si="39"/>
        <v/>
      </c>
      <c r="CY12" s="37"/>
      <c r="CZ12" s="33"/>
      <c r="DA12" s="34"/>
      <c r="DB12" s="35" t="str">
        <f t="shared" si="40"/>
        <v/>
      </c>
      <c r="DC12" s="36" t="str">
        <f t="shared" si="41"/>
        <v/>
      </c>
      <c r="DD12" s="37"/>
      <c r="DE12" s="33"/>
      <c r="DF12" s="34"/>
      <c r="DG12" s="35" t="str">
        <f t="shared" si="42"/>
        <v/>
      </c>
      <c r="DH12" s="36" t="str">
        <f t="shared" si="43"/>
        <v/>
      </c>
      <c r="DI12" s="37"/>
      <c r="DJ12" s="33"/>
      <c r="DK12" s="34"/>
      <c r="DL12" s="35" t="str">
        <f t="shared" si="44"/>
        <v/>
      </c>
      <c r="DM12" s="36" t="str">
        <f t="shared" si="45"/>
        <v/>
      </c>
      <c r="DN12" s="37"/>
      <c r="DO12" s="33"/>
      <c r="DP12" s="34"/>
      <c r="DQ12" s="35" t="str">
        <f t="shared" si="46"/>
        <v/>
      </c>
      <c r="DR12" s="36" t="str">
        <f t="shared" si="47"/>
        <v/>
      </c>
      <c r="DS12" s="37"/>
      <c r="DT12" s="33"/>
      <c r="DU12" s="34"/>
      <c r="DV12" s="35" t="str">
        <f t="shared" si="48"/>
        <v/>
      </c>
      <c r="DW12" s="36" t="str">
        <f t="shared" si="49"/>
        <v/>
      </c>
      <c r="DX12" s="37"/>
      <c r="DY12" s="33"/>
      <c r="DZ12" s="34"/>
      <c r="EA12" s="35" t="str">
        <f t="shared" si="50"/>
        <v/>
      </c>
      <c r="EB12" s="36" t="str">
        <f t="shared" si="51"/>
        <v/>
      </c>
      <c r="EC12" s="37"/>
      <c r="ED12" s="33"/>
      <c r="EE12" s="34"/>
      <c r="EF12" s="35" t="str">
        <f t="shared" si="52"/>
        <v/>
      </c>
      <c r="EG12" s="36" t="str">
        <f t="shared" si="53"/>
        <v/>
      </c>
      <c r="EH12" s="37"/>
      <c r="EI12" s="33"/>
      <c r="EJ12" s="34"/>
      <c r="EK12" s="35" t="str">
        <f t="shared" si="54"/>
        <v/>
      </c>
      <c r="EL12" s="36" t="str">
        <f t="shared" si="55"/>
        <v/>
      </c>
      <c r="EM12" s="37"/>
      <c r="EN12" s="33"/>
      <c r="EO12" s="34"/>
      <c r="EP12" s="35" t="str">
        <f t="shared" si="56"/>
        <v/>
      </c>
      <c r="EQ12" s="36" t="str">
        <f t="shared" si="57"/>
        <v/>
      </c>
      <c r="ER12" s="37"/>
      <c r="ES12" s="33"/>
      <c r="ET12" s="34"/>
      <c r="EU12" s="35" t="str">
        <f t="shared" si="58"/>
        <v/>
      </c>
      <c r="EV12" s="36" t="str">
        <f t="shared" si="59"/>
        <v/>
      </c>
      <c r="EW12" s="37"/>
    </row>
    <row r="13" spans="1:153" ht="19.5" customHeight="1">
      <c r="A13" s="32">
        <f>IF(DAY(DATE(対象年度,12,10))&lt;&gt;10,"",10)</f>
        <v>10</v>
      </c>
      <c r="B13" s="32" t="str">
        <f>IF(DAY(DATE(対象年度,12,10))&lt;&gt;10,"",CHOOSE(WEEKDAY(DATE(対象年度,12,10),2),"月","火","水","木","金","土","日"))</f>
        <v>木</v>
      </c>
      <c r="C13" s="32" t="str">
        <f>IF(DAY(DATE(対象年度,12,10))&lt;&gt;10,"",IF(ISNUMBER(MATCH(DATE(対象年度,12,10),祝日リスト,0)),"祝",""))</f>
        <v/>
      </c>
      <c r="D13" s="33"/>
      <c r="E13" s="34"/>
      <c r="F13" s="35" t="str">
        <f t="shared" si="0"/>
        <v/>
      </c>
      <c r="G13" s="36" t="str">
        <f t="shared" si="1"/>
        <v/>
      </c>
      <c r="H13" s="37"/>
      <c r="I13" s="33"/>
      <c r="J13" s="34"/>
      <c r="K13" s="35" t="str">
        <f t="shared" si="2"/>
        <v/>
      </c>
      <c r="L13" s="36" t="str">
        <f t="shared" si="3"/>
        <v/>
      </c>
      <c r="M13" s="37"/>
      <c r="N13" s="33"/>
      <c r="O13" s="34"/>
      <c r="P13" s="35" t="str">
        <f t="shared" si="4"/>
        <v/>
      </c>
      <c r="Q13" s="36" t="str">
        <f t="shared" si="5"/>
        <v/>
      </c>
      <c r="R13" s="37"/>
      <c r="S13" s="33"/>
      <c r="T13" s="34"/>
      <c r="U13" s="35" t="str">
        <f t="shared" si="6"/>
        <v/>
      </c>
      <c r="V13" s="36" t="str">
        <f t="shared" si="7"/>
        <v/>
      </c>
      <c r="W13" s="37"/>
      <c r="X13" s="33"/>
      <c r="Y13" s="34"/>
      <c r="Z13" s="35" t="str">
        <f t="shared" si="8"/>
        <v/>
      </c>
      <c r="AA13" s="36" t="str">
        <f t="shared" si="9"/>
        <v/>
      </c>
      <c r="AB13" s="37"/>
      <c r="AC13" s="33"/>
      <c r="AD13" s="34"/>
      <c r="AE13" s="35" t="str">
        <f t="shared" si="10"/>
        <v/>
      </c>
      <c r="AF13" s="36" t="str">
        <f t="shared" si="11"/>
        <v/>
      </c>
      <c r="AG13" s="37"/>
      <c r="AH13" s="33"/>
      <c r="AI13" s="34"/>
      <c r="AJ13" s="35" t="str">
        <f t="shared" si="12"/>
        <v/>
      </c>
      <c r="AK13" s="36" t="str">
        <f t="shared" si="13"/>
        <v/>
      </c>
      <c r="AL13" s="37"/>
      <c r="AM13" s="33"/>
      <c r="AN13" s="34"/>
      <c r="AO13" s="35" t="str">
        <f t="shared" si="14"/>
        <v/>
      </c>
      <c r="AP13" s="36" t="str">
        <f t="shared" si="15"/>
        <v/>
      </c>
      <c r="AQ13" s="37"/>
      <c r="AR13" s="33"/>
      <c r="AS13" s="34"/>
      <c r="AT13" s="35" t="str">
        <f t="shared" si="16"/>
        <v/>
      </c>
      <c r="AU13" s="36" t="str">
        <f t="shared" si="17"/>
        <v/>
      </c>
      <c r="AV13" s="37"/>
      <c r="AW13" s="33"/>
      <c r="AX13" s="34"/>
      <c r="AY13" s="35" t="str">
        <f t="shared" si="18"/>
        <v/>
      </c>
      <c r="AZ13" s="36" t="str">
        <f t="shared" si="19"/>
        <v/>
      </c>
      <c r="BA13" s="37"/>
      <c r="BB13" s="33"/>
      <c r="BC13" s="34"/>
      <c r="BD13" s="35" t="str">
        <f t="shared" si="20"/>
        <v/>
      </c>
      <c r="BE13" s="36" t="str">
        <f t="shared" si="21"/>
        <v/>
      </c>
      <c r="BF13" s="37"/>
      <c r="BG13" s="33"/>
      <c r="BH13" s="34"/>
      <c r="BI13" s="35" t="str">
        <f t="shared" si="22"/>
        <v/>
      </c>
      <c r="BJ13" s="36" t="str">
        <f t="shared" si="23"/>
        <v/>
      </c>
      <c r="BK13" s="37"/>
      <c r="BL13" s="33"/>
      <c r="BM13" s="34"/>
      <c r="BN13" s="35" t="str">
        <f t="shared" si="24"/>
        <v/>
      </c>
      <c r="BO13" s="36" t="str">
        <f t="shared" si="25"/>
        <v/>
      </c>
      <c r="BP13" s="37"/>
      <c r="BQ13" s="33"/>
      <c r="BR13" s="34"/>
      <c r="BS13" s="35" t="str">
        <f t="shared" si="26"/>
        <v/>
      </c>
      <c r="BT13" s="36" t="str">
        <f t="shared" si="27"/>
        <v/>
      </c>
      <c r="BU13" s="37"/>
      <c r="BV13" s="33"/>
      <c r="BW13" s="34"/>
      <c r="BX13" s="35" t="str">
        <f t="shared" si="28"/>
        <v/>
      </c>
      <c r="BY13" s="36" t="str">
        <f t="shared" si="29"/>
        <v/>
      </c>
      <c r="BZ13" s="37"/>
      <c r="CA13" s="33"/>
      <c r="CB13" s="34"/>
      <c r="CC13" s="35" t="str">
        <f t="shared" si="30"/>
        <v/>
      </c>
      <c r="CD13" s="36" t="str">
        <f t="shared" si="31"/>
        <v/>
      </c>
      <c r="CE13" s="37"/>
      <c r="CF13" s="33"/>
      <c r="CG13" s="34"/>
      <c r="CH13" s="35" t="str">
        <f t="shared" si="32"/>
        <v/>
      </c>
      <c r="CI13" s="36" t="str">
        <f t="shared" si="33"/>
        <v/>
      </c>
      <c r="CJ13" s="37"/>
      <c r="CK13" s="33"/>
      <c r="CL13" s="34"/>
      <c r="CM13" s="35" t="str">
        <f t="shared" si="34"/>
        <v/>
      </c>
      <c r="CN13" s="36" t="str">
        <f t="shared" si="35"/>
        <v/>
      </c>
      <c r="CO13" s="37"/>
      <c r="CP13" s="33"/>
      <c r="CQ13" s="34"/>
      <c r="CR13" s="35" t="str">
        <f t="shared" si="36"/>
        <v/>
      </c>
      <c r="CS13" s="36" t="str">
        <f t="shared" si="37"/>
        <v/>
      </c>
      <c r="CT13" s="37"/>
      <c r="CU13" s="33"/>
      <c r="CV13" s="34"/>
      <c r="CW13" s="35" t="str">
        <f t="shared" si="38"/>
        <v/>
      </c>
      <c r="CX13" s="36" t="str">
        <f t="shared" si="39"/>
        <v/>
      </c>
      <c r="CY13" s="37"/>
      <c r="CZ13" s="33"/>
      <c r="DA13" s="34"/>
      <c r="DB13" s="35" t="str">
        <f t="shared" si="40"/>
        <v/>
      </c>
      <c r="DC13" s="36" t="str">
        <f t="shared" si="41"/>
        <v/>
      </c>
      <c r="DD13" s="37"/>
      <c r="DE13" s="33"/>
      <c r="DF13" s="34"/>
      <c r="DG13" s="35" t="str">
        <f t="shared" si="42"/>
        <v/>
      </c>
      <c r="DH13" s="36" t="str">
        <f t="shared" si="43"/>
        <v/>
      </c>
      <c r="DI13" s="37"/>
      <c r="DJ13" s="33"/>
      <c r="DK13" s="34"/>
      <c r="DL13" s="35" t="str">
        <f t="shared" si="44"/>
        <v/>
      </c>
      <c r="DM13" s="36" t="str">
        <f t="shared" si="45"/>
        <v/>
      </c>
      <c r="DN13" s="37"/>
      <c r="DO13" s="33"/>
      <c r="DP13" s="34"/>
      <c r="DQ13" s="35" t="str">
        <f t="shared" si="46"/>
        <v/>
      </c>
      <c r="DR13" s="36" t="str">
        <f t="shared" si="47"/>
        <v/>
      </c>
      <c r="DS13" s="37"/>
      <c r="DT13" s="33"/>
      <c r="DU13" s="34"/>
      <c r="DV13" s="35" t="str">
        <f t="shared" si="48"/>
        <v/>
      </c>
      <c r="DW13" s="36" t="str">
        <f t="shared" si="49"/>
        <v/>
      </c>
      <c r="DX13" s="37"/>
      <c r="DY13" s="33"/>
      <c r="DZ13" s="34"/>
      <c r="EA13" s="35" t="str">
        <f t="shared" si="50"/>
        <v/>
      </c>
      <c r="EB13" s="36" t="str">
        <f t="shared" si="51"/>
        <v/>
      </c>
      <c r="EC13" s="37"/>
      <c r="ED13" s="33"/>
      <c r="EE13" s="34"/>
      <c r="EF13" s="35" t="str">
        <f t="shared" si="52"/>
        <v/>
      </c>
      <c r="EG13" s="36" t="str">
        <f t="shared" si="53"/>
        <v/>
      </c>
      <c r="EH13" s="37"/>
      <c r="EI13" s="33"/>
      <c r="EJ13" s="34"/>
      <c r="EK13" s="35" t="str">
        <f t="shared" si="54"/>
        <v/>
      </c>
      <c r="EL13" s="36" t="str">
        <f t="shared" si="55"/>
        <v/>
      </c>
      <c r="EM13" s="37"/>
      <c r="EN13" s="33"/>
      <c r="EO13" s="34"/>
      <c r="EP13" s="35" t="str">
        <f t="shared" si="56"/>
        <v/>
      </c>
      <c r="EQ13" s="36" t="str">
        <f t="shared" si="57"/>
        <v/>
      </c>
      <c r="ER13" s="37"/>
      <c r="ES13" s="33"/>
      <c r="ET13" s="34"/>
      <c r="EU13" s="35" t="str">
        <f t="shared" si="58"/>
        <v/>
      </c>
      <c r="EV13" s="36" t="str">
        <f t="shared" si="59"/>
        <v/>
      </c>
      <c r="EW13" s="37"/>
    </row>
    <row r="14" spans="1:153" ht="19.5" customHeight="1">
      <c r="A14" s="32">
        <f>IF(DAY(DATE(対象年度,12,11))&lt;&gt;11,"",11)</f>
        <v>11</v>
      </c>
      <c r="B14" s="32" t="str">
        <f>IF(DAY(DATE(対象年度,12,11))&lt;&gt;11,"",CHOOSE(WEEKDAY(DATE(対象年度,12,11),2),"月","火","水","木","金","土","日"))</f>
        <v>金</v>
      </c>
      <c r="C14" s="32" t="str">
        <f>IF(DAY(DATE(対象年度,12,11))&lt;&gt;11,"",IF(ISNUMBER(MATCH(DATE(対象年度,12,11),祝日リスト,0)),"祝",""))</f>
        <v/>
      </c>
      <c r="D14" s="33"/>
      <c r="E14" s="34"/>
      <c r="F14" s="35" t="str">
        <f t="shared" si="0"/>
        <v/>
      </c>
      <c r="G14" s="36" t="str">
        <f t="shared" si="1"/>
        <v/>
      </c>
      <c r="H14" s="37"/>
      <c r="I14" s="33"/>
      <c r="J14" s="34"/>
      <c r="K14" s="35" t="str">
        <f t="shared" si="2"/>
        <v/>
      </c>
      <c r="L14" s="36" t="str">
        <f t="shared" si="3"/>
        <v/>
      </c>
      <c r="M14" s="37"/>
      <c r="N14" s="33"/>
      <c r="O14" s="34"/>
      <c r="P14" s="35" t="str">
        <f t="shared" si="4"/>
        <v/>
      </c>
      <c r="Q14" s="36" t="str">
        <f t="shared" si="5"/>
        <v/>
      </c>
      <c r="R14" s="37"/>
      <c r="S14" s="33"/>
      <c r="T14" s="34"/>
      <c r="U14" s="35" t="str">
        <f t="shared" si="6"/>
        <v/>
      </c>
      <c r="V14" s="36" t="str">
        <f t="shared" si="7"/>
        <v/>
      </c>
      <c r="W14" s="37"/>
      <c r="X14" s="33"/>
      <c r="Y14" s="34"/>
      <c r="Z14" s="35" t="str">
        <f t="shared" si="8"/>
        <v/>
      </c>
      <c r="AA14" s="36" t="str">
        <f t="shared" si="9"/>
        <v/>
      </c>
      <c r="AB14" s="37"/>
      <c r="AC14" s="33"/>
      <c r="AD14" s="34"/>
      <c r="AE14" s="35" t="str">
        <f t="shared" si="10"/>
        <v/>
      </c>
      <c r="AF14" s="36" t="str">
        <f t="shared" si="11"/>
        <v/>
      </c>
      <c r="AG14" s="37"/>
      <c r="AH14" s="33"/>
      <c r="AI14" s="34"/>
      <c r="AJ14" s="35" t="str">
        <f t="shared" si="12"/>
        <v/>
      </c>
      <c r="AK14" s="36" t="str">
        <f t="shared" si="13"/>
        <v/>
      </c>
      <c r="AL14" s="37"/>
      <c r="AM14" s="33"/>
      <c r="AN14" s="34"/>
      <c r="AO14" s="35" t="str">
        <f t="shared" si="14"/>
        <v/>
      </c>
      <c r="AP14" s="36" t="str">
        <f t="shared" si="15"/>
        <v/>
      </c>
      <c r="AQ14" s="37"/>
      <c r="AR14" s="33"/>
      <c r="AS14" s="34"/>
      <c r="AT14" s="35" t="str">
        <f t="shared" si="16"/>
        <v/>
      </c>
      <c r="AU14" s="36" t="str">
        <f t="shared" si="17"/>
        <v/>
      </c>
      <c r="AV14" s="37"/>
      <c r="AW14" s="33"/>
      <c r="AX14" s="34"/>
      <c r="AY14" s="35" t="str">
        <f t="shared" si="18"/>
        <v/>
      </c>
      <c r="AZ14" s="36" t="str">
        <f t="shared" si="19"/>
        <v/>
      </c>
      <c r="BA14" s="37"/>
      <c r="BB14" s="33"/>
      <c r="BC14" s="34"/>
      <c r="BD14" s="35" t="str">
        <f t="shared" si="20"/>
        <v/>
      </c>
      <c r="BE14" s="36" t="str">
        <f t="shared" si="21"/>
        <v/>
      </c>
      <c r="BF14" s="37"/>
      <c r="BG14" s="33"/>
      <c r="BH14" s="34"/>
      <c r="BI14" s="35" t="str">
        <f t="shared" si="22"/>
        <v/>
      </c>
      <c r="BJ14" s="36" t="str">
        <f t="shared" si="23"/>
        <v/>
      </c>
      <c r="BK14" s="37"/>
      <c r="BL14" s="33"/>
      <c r="BM14" s="34"/>
      <c r="BN14" s="35" t="str">
        <f t="shared" si="24"/>
        <v/>
      </c>
      <c r="BO14" s="36" t="str">
        <f t="shared" si="25"/>
        <v/>
      </c>
      <c r="BP14" s="37"/>
      <c r="BQ14" s="33"/>
      <c r="BR14" s="34"/>
      <c r="BS14" s="35" t="str">
        <f t="shared" si="26"/>
        <v/>
      </c>
      <c r="BT14" s="36" t="str">
        <f t="shared" si="27"/>
        <v/>
      </c>
      <c r="BU14" s="37"/>
      <c r="BV14" s="33"/>
      <c r="BW14" s="34"/>
      <c r="BX14" s="35" t="str">
        <f t="shared" si="28"/>
        <v/>
      </c>
      <c r="BY14" s="36" t="str">
        <f t="shared" si="29"/>
        <v/>
      </c>
      <c r="BZ14" s="37"/>
      <c r="CA14" s="33"/>
      <c r="CB14" s="34"/>
      <c r="CC14" s="35" t="str">
        <f t="shared" si="30"/>
        <v/>
      </c>
      <c r="CD14" s="36" t="str">
        <f t="shared" si="31"/>
        <v/>
      </c>
      <c r="CE14" s="37"/>
      <c r="CF14" s="33"/>
      <c r="CG14" s="34"/>
      <c r="CH14" s="35" t="str">
        <f t="shared" si="32"/>
        <v/>
      </c>
      <c r="CI14" s="36" t="str">
        <f t="shared" si="33"/>
        <v/>
      </c>
      <c r="CJ14" s="37"/>
      <c r="CK14" s="33"/>
      <c r="CL14" s="34"/>
      <c r="CM14" s="35" t="str">
        <f t="shared" si="34"/>
        <v/>
      </c>
      <c r="CN14" s="36" t="str">
        <f t="shared" si="35"/>
        <v/>
      </c>
      <c r="CO14" s="37"/>
      <c r="CP14" s="33"/>
      <c r="CQ14" s="34"/>
      <c r="CR14" s="35" t="str">
        <f t="shared" si="36"/>
        <v/>
      </c>
      <c r="CS14" s="36" t="str">
        <f t="shared" si="37"/>
        <v/>
      </c>
      <c r="CT14" s="37"/>
      <c r="CU14" s="33"/>
      <c r="CV14" s="34"/>
      <c r="CW14" s="35" t="str">
        <f t="shared" si="38"/>
        <v/>
      </c>
      <c r="CX14" s="36" t="str">
        <f t="shared" si="39"/>
        <v/>
      </c>
      <c r="CY14" s="37"/>
      <c r="CZ14" s="33"/>
      <c r="DA14" s="34"/>
      <c r="DB14" s="35" t="str">
        <f t="shared" si="40"/>
        <v/>
      </c>
      <c r="DC14" s="36" t="str">
        <f t="shared" si="41"/>
        <v/>
      </c>
      <c r="DD14" s="37"/>
      <c r="DE14" s="33"/>
      <c r="DF14" s="34"/>
      <c r="DG14" s="35" t="str">
        <f t="shared" si="42"/>
        <v/>
      </c>
      <c r="DH14" s="36" t="str">
        <f t="shared" si="43"/>
        <v/>
      </c>
      <c r="DI14" s="37"/>
      <c r="DJ14" s="33"/>
      <c r="DK14" s="34"/>
      <c r="DL14" s="35" t="str">
        <f t="shared" si="44"/>
        <v/>
      </c>
      <c r="DM14" s="36" t="str">
        <f t="shared" si="45"/>
        <v/>
      </c>
      <c r="DN14" s="37"/>
      <c r="DO14" s="33"/>
      <c r="DP14" s="34"/>
      <c r="DQ14" s="35" t="str">
        <f t="shared" si="46"/>
        <v/>
      </c>
      <c r="DR14" s="36" t="str">
        <f t="shared" si="47"/>
        <v/>
      </c>
      <c r="DS14" s="37"/>
      <c r="DT14" s="33"/>
      <c r="DU14" s="34"/>
      <c r="DV14" s="35" t="str">
        <f t="shared" si="48"/>
        <v/>
      </c>
      <c r="DW14" s="36" t="str">
        <f t="shared" si="49"/>
        <v/>
      </c>
      <c r="DX14" s="37"/>
      <c r="DY14" s="33"/>
      <c r="DZ14" s="34"/>
      <c r="EA14" s="35" t="str">
        <f t="shared" si="50"/>
        <v/>
      </c>
      <c r="EB14" s="36" t="str">
        <f t="shared" si="51"/>
        <v/>
      </c>
      <c r="EC14" s="37"/>
      <c r="ED14" s="33"/>
      <c r="EE14" s="34"/>
      <c r="EF14" s="35" t="str">
        <f t="shared" si="52"/>
        <v/>
      </c>
      <c r="EG14" s="36" t="str">
        <f t="shared" si="53"/>
        <v/>
      </c>
      <c r="EH14" s="37"/>
      <c r="EI14" s="33"/>
      <c r="EJ14" s="34"/>
      <c r="EK14" s="35" t="str">
        <f t="shared" si="54"/>
        <v/>
      </c>
      <c r="EL14" s="36" t="str">
        <f t="shared" si="55"/>
        <v/>
      </c>
      <c r="EM14" s="37"/>
      <c r="EN14" s="33"/>
      <c r="EO14" s="34"/>
      <c r="EP14" s="35" t="str">
        <f t="shared" si="56"/>
        <v/>
      </c>
      <c r="EQ14" s="36" t="str">
        <f t="shared" si="57"/>
        <v/>
      </c>
      <c r="ER14" s="37"/>
      <c r="ES14" s="33"/>
      <c r="ET14" s="34"/>
      <c r="EU14" s="35" t="str">
        <f t="shared" si="58"/>
        <v/>
      </c>
      <c r="EV14" s="36" t="str">
        <f t="shared" si="59"/>
        <v/>
      </c>
      <c r="EW14" s="37"/>
    </row>
    <row r="15" spans="1:153" ht="19.5" customHeight="1">
      <c r="A15" s="32">
        <f>IF(DAY(DATE(対象年度,12,12))&lt;&gt;12,"",12)</f>
        <v>12</v>
      </c>
      <c r="B15" s="32" t="str">
        <f>IF(DAY(DATE(対象年度,12,12))&lt;&gt;12,"",CHOOSE(WEEKDAY(DATE(対象年度,12,12),2),"月","火","水","木","金","土","日"))</f>
        <v>土</v>
      </c>
      <c r="C15" s="32" t="str">
        <f>IF(DAY(DATE(対象年度,12,12))&lt;&gt;12,"",IF(ISNUMBER(MATCH(DATE(対象年度,12,12),祝日リスト,0)),"祝",""))</f>
        <v/>
      </c>
      <c r="D15" s="33"/>
      <c r="E15" s="34"/>
      <c r="F15" s="35" t="str">
        <f t="shared" si="0"/>
        <v/>
      </c>
      <c r="G15" s="36" t="str">
        <f t="shared" si="1"/>
        <v/>
      </c>
      <c r="H15" s="37"/>
      <c r="I15" s="33"/>
      <c r="J15" s="34"/>
      <c r="K15" s="35" t="str">
        <f t="shared" si="2"/>
        <v/>
      </c>
      <c r="L15" s="36" t="str">
        <f t="shared" si="3"/>
        <v/>
      </c>
      <c r="M15" s="37"/>
      <c r="N15" s="33"/>
      <c r="O15" s="34"/>
      <c r="P15" s="35" t="str">
        <f t="shared" si="4"/>
        <v/>
      </c>
      <c r="Q15" s="36" t="str">
        <f t="shared" si="5"/>
        <v/>
      </c>
      <c r="R15" s="37"/>
      <c r="S15" s="33"/>
      <c r="T15" s="34"/>
      <c r="U15" s="35" t="str">
        <f t="shared" si="6"/>
        <v/>
      </c>
      <c r="V15" s="36" t="str">
        <f t="shared" si="7"/>
        <v/>
      </c>
      <c r="W15" s="37"/>
      <c r="X15" s="33"/>
      <c r="Y15" s="34"/>
      <c r="Z15" s="35" t="str">
        <f t="shared" si="8"/>
        <v/>
      </c>
      <c r="AA15" s="36" t="str">
        <f t="shared" si="9"/>
        <v/>
      </c>
      <c r="AB15" s="37"/>
      <c r="AC15" s="33"/>
      <c r="AD15" s="34"/>
      <c r="AE15" s="35" t="str">
        <f t="shared" si="10"/>
        <v/>
      </c>
      <c r="AF15" s="36" t="str">
        <f t="shared" si="11"/>
        <v/>
      </c>
      <c r="AG15" s="37"/>
      <c r="AH15" s="33"/>
      <c r="AI15" s="34"/>
      <c r="AJ15" s="35" t="str">
        <f t="shared" si="12"/>
        <v/>
      </c>
      <c r="AK15" s="36" t="str">
        <f t="shared" si="13"/>
        <v/>
      </c>
      <c r="AL15" s="37"/>
      <c r="AM15" s="33"/>
      <c r="AN15" s="34"/>
      <c r="AO15" s="35" t="str">
        <f t="shared" si="14"/>
        <v/>
      </c>
      <c r="AP15" s="36" t="str">
        <f t="shared" si="15"/>
        <v/>
      </c>
      <c r="AQ15" s="37"/>
      <c r="AR15" s="33"/>
      <c r="AS15" s="34"/>
      <c r="AT15" s="35" t="str">
        <f t="shared" si="16"/>
        <v/>
      </c>
      <c r="AU15" s="36" t="str">
        <f t="shared" si="17"/>
        <v/>
      </c>
      <c r="AV15" s="37"/>
      <c r="AW15" s="33"/>
      <c r="AX15" s="34"/>
      <c r="AY15" s="35" t="str">
        <f t="shared" si="18"/>
        <v/>
      </c>
      <c r="AZ15" s="36" t="str">
        <f t="shared" si="19"/>
        <v/>
      </c>
      <c r="BA15" s="37"/>
      <c r="BB15" s="33"/>
      <c r="BC15" s="34"/>
      <c r="BD15" s="35" t="str">
        <f t="shared" si="20"/>
        <v/>
      </c>
      <c r="BE15" s="36" t="str">
        <f t="shared" si="21"/>
        <v/>
      </c>
      <c r="BF15" s="37"/>
      <c r="BG15" s="33"/>
      <c r="BH15" s="34"/>
      <c r="BI15" s="35" t="str">
        <f t="shared" si="22"/>
        <v/>
      </c>
      <c r="BJ15" s="36" t="str">
        <f t="shared" si="23"/>
        <v/>
      </c>
      <c r="BK15" s="37"/>
      <c r="BL15" s="33"/>
      <c r="BM15" s="34"/>
      <c r="BN15" s="35" t="str">
        <f t="shared" si="24"/>
        <v/>
      </c>
      <c r="BO15" s="36" t="str">
        <f t="shared" si="25"/>
        <v/>
      </c>
      <c r="BP15" s="37"/>
      <c r="BQ15" s="33"/>
      <c r="BR15" s="34"/>
      <c r="BS15" s="35" t="str">
        <f t="shared" si="26"/>
        <v/>
      </c>
      <c r="BT15" s="36" t="str">
        <f t="shared" si="27"/>
        <v/>
      </c>
      <c r="BU15" s="37"/>
      <c r="BV15" s="33"/>
      <c r="BW15" s="34"/>
      <c r="BX15" s="35" t="str">
        <f t="shared" si="28"/>
        <v/>
      </c>
      <c r="BY15" s="36" t="str">
        <f t="shared" si="29"/>
        <v/>
      </c>
      <c r="BZ15" s="37"/>
      <c r="CA15" s="33"/>
      <c r="CB15" s="34"/>
      <c r="CC15" s="35" t="str">
        <f t="shared" si="30"/>
        <v/>
      </c>
      <c r="CD15" s="36" t="str">
        <f t="shared" si="31"/>
        <v/>
      </c>
      <c r="CE15" s="37"/>
      <c r="CF15" s="33"/>
      <c r="CG15" s="34"/>
      <c r="CH15" s="35" t="str">
        <f t="shared" si="32"/>
        <v/>
      </c>
      <c r="CI15" s="36" t="str">
        <f t="shared" si="33"/>
        <v/>
      </c>
      <c r="CJ15" s="37"/>
      <c r="CK15" s="33"/>
      <c r="CL15" s="34"/>
      <c r="CM15" s="35" t="str">
        <f t="shared" si="34"/>
        <v/>
      </c>
      <c r="CN15" s="36" t="str">
        <f t="shared" si="35"/>
        <v/>
      </c>
      <c r="CO15" s="37"/>
      <c r="CP15" s="33"/>
      <c r="CQ15" s="34"/>
      <c r="CR15" s="35" t="str">
        <f t="shared" si="36"/>
        <v/>
      </c>
      <c r="CS15" s="36" t="str">
        <f t="shared" si="37"/>
        <v/>
      </c>
      <c r="CT15" s="37"/>
      <c r="CU15" s="33"/>
      <c r="CV15" s="34"/>
      <c r="CW15" s="35" t="str">
        <f t="shared" si="38"/>
        <v/>
      </c>
      <c r="CX15" s="36" t="str">
        <f t="shared" si="39"/>
        <v/>
      </c>
      <c r="CY15" s="37"/>
      <c r="CZ15" s="33"/>
      <c r="DA15" s="34"/>
      <c r="DB15" s="35" t="str">
        <f t="shared" si="40"/>
        <v/>
      </c>
      <c r="DC15" s="36" t="str">
        <f t="shared" si="41"/>
        <v/>
      </c>
      <c r="DD15" s="37"/>
      <c r="DE15" s="33"/>
      <c r="DF15" s="34"/>
      <c r="DG15" s="35" t="str">
        <f t="shared" si="42"/>
        <v/>
      </c>
      <c r="DH15" s="36" t="str">
        <f t="shared" si="43"/>
        <v/>
      </c>
      <c r="DI15" s="37"/>
      <c r="DJ15" s="33"/>
      <c r="DK15" s="34"/>
      <c r="DL15" s="35" t="str">
        <f t="shared" si="44"/>
        <v/>
      </c>
      <c r="DM15" s="36" t="str">
        <f t="shared" si="45"/>
        <v/>
      </c>
      <c r="DN15" s="37"/>
      <c r="DO15" s="33"/>
      <c r="DP15" s="34"/>
      <c r="DQ15" s="35" t="str">
        <f t="shared" si="46"/>
        <v/>
      </c>
      <c r="DR15" s="36" t="str">
        <f t="shared" si="47"/>
        <v/>
      </c>
      <c r="DS15" s="37"/>
      <c r="DT15" s="33"/>
      <c r="DU15" s="34"/>
      <c r="DV15" s="35" t="str">
        <f t="shared" si="48"/>
        <v/>
      </c>
      <c r="DW15" s="36" t="str">
        <f t="shared" si="49"/>
        <v/>
      </c>
      <c r="DX15" s="37"/>
      <c r="DY15" s="33"/>
      <c r="DZ15" s="34"/>
      <c r="EA15" s="35" t="str">
        <f t="shared" si="50"/>
        <v/>
      </c>
      <c r="EB15" s="36" t="str">
        <f t="shared" si="51"/>
        <v/>
      </c>
      <c r="EC15" s="37"/>
      <c r="ED15" s="33"/>
      <c r="EE15" s="34"/>
      <c r="EF15" s="35" t="str">
        <f t="shared" si="52"/>
        <v/>
      </c>
      <c r="EG15" s="36" t="str">
        <f t="shared" si="53"/>
        <v/>
      </c>
      <c r="EH15" s="37"/>
      <c r="EI15" s="33"/>
      <c r="EJ15" s="34"/>
      <c r="EK15" s="35" t="str">
        <f t="shared" si="54"/>
        <v/>
      </c>
      <c r="EL15" s="36" t="str">
        <f t="shared" si="55"/>
        <v/>
      </c>
      <c r="EM15" s="37"/>
      <c r="EN15" s="33"/>
      <c r="EO15" s="34"/>
      <c r="EP15" s="35" t="str">
        <f t="shared" si="56"/>
        <v/>
      </c>
      <c r="EQ15" s="36" t="str">
        <f t="shared" si="57"/>
        <v/>
      </c>
      <c r="ER15" s="37"/>
      <c r="ES15" s="33"/>
      <c r="ET15" s="34"/>
      <c r="EU15" s="35" t="str">
        <f t="shared" si="58"/>
        <v/>
      </c>
      <c r="EV15" s="36" t="str">
        <f t="shared" si="59"/>
        <v/>
      </c>
      <c r="EW15" s="37"/>
    </row>
    <row r="16" spans="1:153" ht="19.5" customHeight="1">
      <c r="A16" s="32">
        <f>IF(DAY(DATE(対象年度,12,13))&lt;&gt;13,"",13)</f>
        <v>13</v>
      </c>
      <c r="B16" s="32" t="str">
        <f>IF(DAY(DATE(対象年度,12,13))&lt;&gt;13,"",CHOOSE(WEEKDAY(DATE(対象年度,12,13),2),"月","火","水","木","金","土","日"))</f>
        <v>日</v>
      </c>
      <c r="C16" s="32" t="str">
        <f>IF(DAY(DATE(対象年度,12,13))&lt;&gt;13,"",IF(ISNUMBER(MATCH(DATE(対象年度,12,13),祝日リスト,0)),"祝",""))</f>
        <v/>
      </c>
      <c r="D16" s="33"/>
      <c r="E16" s="34"/>
      <c r="F16" s="35" t="str">
        <f t="shared" si="0"/>
        <v/>
      </c>
      <c r="G16" s="36" t="str">
        <f t="shared" si="1"/>
        <v/>
      </c>
      <c r="H16" s="37"/>
      <c r="I16" s="33"/>
      <c r="J16" s="34"/>
      <c r="K16" s="35" t="str">
        <f t="shared" si="2"/>
        <v/>
      </c>
      <c r="L16" s="36" t="str">
        <f t="shared" si="3"/>
        <v/>
      </c>
      <c r="M16" s="37"/>
      <c r="N16" s="33"/>
      <c r="O16" s="34"/>
      <c r="P16" s="35" t="str">
        <f t="shared" si="4"/>
        <v/>
      </c>
      <c r="Q16" s="36" t="str">
        <f t="shared" si="5"/>
        <v/>
      </c>
      <c r="R16" s="37"/>
      <c r="S16" s="33"/>
      <c r="T16" s="34"/>
      <c r="U16" s="35" t="str">
        <f t="shared" si="6"/>
        <v/>
      </c>
      <c r="V16" s="36" t="str">
        <f t="shared" si="7"/>
        <v/>
      </c>
      <c r="W16" s="37"/>
      <c r="X16" s="33"/>
      <c r="Y16" s="34"/>
      <c r="Z16" s="35" t="str">
        <f t="shared" si="8"/>
        <v/>
      </c>
      <c r="AA16" s="36" t="str">
        <f t="shared" si="9"/>
        <v/>
      </c>
      <c r="AB16" s="37"/>
      <c r="AC16" s="33"/>
      <c r="AD16" s="34"/>
      <c r="AE16" s="35" t="str">
        <f t="shared" si="10"/>
        <v/>
      </c>
      <c r="AF16" s="36" t="str">
        <f t="shared" si="11"/>
        <v/>
      </c>
      <c r="AG16" s="37"/>
      <c r="AH16" s="33"/>
      <c r="AI16" s="34"/>
      <c r="AJ16" s="35" t="str">
        <f t="shared" si="12"/>
        <v/>
      </c>
      <c r="AK16" s="36" t="str">
        <f t="shared" si="13"/>
        <v/>
      </c>
      <c r="AL16" s="37"/>
      <c r="AM16" s="33"/>
      <c r="AN16" s="34"/>
      <c r="AO16" s="35" t="str">
        <f t="shared" si="14"/>
        <v/>
      </c>
      <c r="AP16" s="36" t="str">
        <f t="shared" si="15"/>
        <v/>
      </c>
      <c r="AQ16" s="37"/>
      <c r="AR16" s="33"/>
      <c r="AS16" s="34"/>
      <c r="AT16" s="35" t="str">
        <f t="shared" si="16"/>
        <v/>
      </c>
      <c r="AU16" s="36" t="str">
        <f t="shared" si="17"/>
        <v/>
      </c>
      <c r="AV16" s="37"/>
      <c r="AW16" s="33"/>
      <c r="AX16" s="34"/>
      <c r="AY16" s="35" t="str">
        <f t="shared" si="18"/>
        <v/>
      </c>
      <c r="AZ16" s="36" t="str">
        <f t="shared" si="19"/>
        <v/>
      </c>
      <c r="BA16" s="37"/>
      <c r="BB16" s="33"/>
      <c r="BC16" s="34"/>
      <c r="BD16" s="35" t="str">
        <f t="shared" si="20"/>
        <v/>
      </c>
      <c r="BE16" s="36" t="str">
        <f t="shared" si="21"/>
        <v/>
      </c>
      <c r="BF16" s="37"/>
      <c r="BG16" s="33"/>
      <c r="BH16" s="34"/>
      <c r="BI16" s="35" t="str">
        <f t="shared" si="22"/>
        <v/>
      </c>
      <c r="BJ16" s="36" t="str">
        <f t="shared" si="23"/>
        <v/>
      </c>
      <c r="BK16" s="37"/>
      <c r="BL16" s="33"/>
      <c r="BM16" s="34"/>
      <c r="BN16" s="35" t="str">
        <f t="shared" si="24"/>
        <v/>
      </c>
      <c r="BO16" s="36" t="str">
        <f t="shared" si="25"/>
        <v/>
      </c>
      <c r="BP16" s="37"/>
      <c r="BQ16" s="33"/>
      <c r="BR16" s="34"/>
      <c r="BS16" s="35" t="str">
        <f t="shared" si="26"/>
        <v/>
      </c>
      <c r="BT16" s="36" t="str">
        <f t="shared" si="27"/>
        <v/>
      </c>
      <c r="BU16" s="37"/>
      <c r="BV16" s="33"/>
      <c r="BW16" s="34"/>
      <c r="BX16" s="35" t="str">
        <f t="shared" si="28"/>
        <v/>
      </c>
      <c r="BY16" s="36" t="str">
        <f t="shared" si="29"/>
        <v/>
      </c>
      <c r="BZ16" s="37"/>
      <c r="CA16" s="33"/>
      <c r="CB16" s="34"/>
      <c r="CC16" s="35" t="str">
        <f t="shared" si="30"/>
        <v/>
      </c>
      <c r="CD16" s="36" t="str">
        <f t="shared" si="31"/>
        <v/>
      </c>
      <c r="CE16" s="37"/>
      <c r="CF16" s="33"/>
      <c r="CG16" s="34"/>
      <c r="CH16" s="35" t="str">
        <f t="shared" si="32"/>
        <v/>
      </c>
      <c r="CI16" s="36" t="str">
        <f t="shared" si="33"/>
        <v/>
      </c>
      <c r="CJ16" s="37"/>
      <c r="CK16" s="33"/>
      <c r="CL16" s="34"/>
      <c r="CM16" s="35" t="str">
        <f t="shared" si="34"/>
        <v/>
      </c>
      <c r="CN16" s="36" t="str">
        <f t="shared" si="35"/>
        <v/>
      </c>
      <c r="CO16" s="37"/>
      <c r="CP16" s="33"/>
      <c r="CQ16" s="34"/>
      <c r="CR16" s="35" t="str">
        <f t="shared" si="36"/>
        <v/>
      </c>
      <c r="CS16" s="36" t="str">
        <f t="shared" si="37"/>
        <v/>
      </c>
      <c r="CT16" s="37"/>
      <c r="CU16" s="33"/>
      <c r="CV16" s="34"/>
      <c r="CW16" s="35" t="str">
        <f t="shared" si="38"/>
        <v/>
      </c>
      <c r="CX16" s="36" t="str">
        <f t="shared" si="39"/>
        <v/>
      </c>
      <c r="CY16" s="37"/>
      <c r="CZ16" s="33"/>
      <c r="DA16" s="34"/>
      <c r="DB16" s="35" t="str">
        <f t="shared" si="40"/>
        <v/>
      </c>
      <c r="DC16" s="36" t="str">
        <f t="shared" si="41"/>
        <v/>
      </c>
      <c r="DD16" s="37"/>
      <c r="DE16" s="33"/>
      <c r="DF16" s="34"/>
      <c r="DG16" s="35" t="str">
        <f t="shared" si="42"/>
        <v/>
      </c>
      <c r="DH16" s="36" t="str">
        <f t="shared" si="43"/>
        <v/>
      </c>
      <c r="DI16" s="37"/>
      <c r="DJ16" s="33"/>
      <c r="DK16" s="34"/>
      <c r="DL16" s="35" t="str">
        <f t="shared" si="44"/>
        <v/>
      </c>
      <c r="DM16" s="36" t="str">
        <f t="shared" si="45"/>
        <v/>
      </c>
      <c r="DN16" s="37"/>
      <c r="DO16" s="33"/>
      <c r="DP16" s="34"/>
      <c r="DQ16" s="35" t="str">
        <f t="shared" si="46"/>
        <v/>
      </c>
      <c r="DR16" s="36" t="str">
        <f t="shared" si="47"/>
        <v/>
      </c>
      <c r="DS16" s="37"/>
      <c r="DT16" s="33"/>
      <c r="DU16" s="34"/>
      <c r="DV16" s="35" t="str">
        <f t="shared" si="48"/>
        <v/>
      </c>
      <c r="DW16" s="36" t="str">
        <f t="shared" si="49"/>
        <v/>
      </c>
      <c r="DX16" s="37"/>
      <c r="DY16" s="33"/>
      <c r="DZ16" s="34"/>
      <c r="EA16" s="35" t="str">
        <f t="shared" si="50"/>
        <v/>
      </c>
      <c r="EB16" s="36" t="str">
        <f t="shared" si="51"/>
        <v/>
      </c>
      <c r="EC16" s="37"/>
      <c r="ED16" s="33"/>
      <c r="EE16" s="34"/>
      <c r="EF16" s="35" t="str">
        <f t="shared" si="52"/>
        <v/>
      </c>
      <c r="EG16" s="36" t="str">
        <f t="shared" si="53"/>
        <v/>
      </c>
      <c r="EH16" s="37"/>
      <c r="EI16" s="33"/>
      <c r="EJ16" s="34"/>
      <c r="EK16" s="35" t="str">
        <f t="shared" si="54"/>
        <v/>
      </c>
      <c r="EL16" s="36" t="str">
        <f t="shared" si="55"/>
        <v/>
      </c>
      <c r="EM16" s="37"/>
      <c r="EN16" s="33"/>
      <c r="EO16" s="34"/>
      <c r="EP16" s="35" t="str">
        <f t="shared" si="56"/>
        <v/>
      </c>
      <c r="EQ16" s="36" t="str">
        <f t="shared" si="57"/>
        <v/>
      </c>
      <c r="ER16" s="37"/>
      <c r="ES16" s="33"/>
      <c r="ET16" s="34"/>
      <c r="EU16" s="35" t="str">
        <f t="shared" si="58"/>
        <v/>
      </c>
      <c r="EV16" s="36" t="str">
        <f t="shared" si="59"/>
        <v/>
      </c>
      <c r="EW16" s="37"/>
    </row>
    <row r="17" spans="1:153" ht="19.5" customHeight="1">
      <c r="A17" s="32">
        <f>IF(DAY(DATE(対象年度,12,14))&lt;&gt;14,"",14)</f>
        <v>14</v>
      </c>
      <c r="B17" s="32" t="str">
        <f>IF(DAY(DATE(対象年度,12,14))&lt;&gt;14,"",CHOOSE(WEEKDAY(DATE(対象年度,12,14),2),"月","火","水","木","金","土","日"))</f>
        <v>月</v>
      </c>
      <c r="C17" s="32" t="str">
        <f>IF(DAY(DATE(対象年度,12,14))&lt;&gt;14,"",IF(ISNUMBER(MATCH(DATE(対象年度,12,14),祝日リスト,0)),"祝",""))</f>
        <v/>
      </c>
      <c r="D17" s="33"/>
      <c r="E17" s="34"/>
      <c r="F17" s="35" t="str">
        <f t="shared" si="0"/>
        <v/>
      </c>
      <c r="G17" s="36" t="str">
        <f t="shared" si="1"/>
        <v/>
      </c>
      <c r="H17" s="37"/>
      <c r="I17" s="33"/>
      <c r="J17" s="34"/>
      <c r="K17" s="35" t="str">
        <f t="shared" si="2"/>
        <v/>
      </c>
      <c r="L17" s="36" t="str">
        <f t="shared" si="3"/>
        <v/>
      </c>
      <c r="M17" s="37"/>
      <c r="N17" s="33"/>
      <c r="O17" s="34"/>
      <c r="P17" s="35" t="str">
        <f t="shared" si="4"/>
        <v/>
      </c>
      <c r="Q17" s="36" t="str">
        <f t="shared" si="5"/>
        <v/>
      </c>
      <c r="R17" s="37"/>
      <c r="S17" s="33"/>
      <c r="T17" s="34"/>
      <c r="U17" s="35" t="str">
        <f t="shared" si="6"/>
        <v/>
      </c>
      <c r="V17" s="36" t="str">
        <f t="shared" si="7"/>
        <v/>
      </c>
      <c r="W17" s="37"/>
      <c r="X17" s="33"/>
      <c r="Y17" s="34"/>
      <c r="Z17" s="35" t="str">
        <f t="shared" si="8"/>
        <v/>
      </c>
      <c r="AA17" s="36" t="str">
        <f t="shared" si="9"/>
        <v/>
      </c>
      <c r="AB17" s="37"/>
      <c r="AC17" s="33"/>
      <c r="AD17" s="34"/>
      <c r="AE17" s="35" t="str">
        <f t="shared" si="10"/>
        <v/>
      </c>
      <c r="AF17" s="36" t="str">
        <f t="shared" si="11"/>
        <v/>
      </c>
      <c r="AG17" s="37"/>
      <c r="AH17" s="33"/>
      <c r="AI17" s="34"/>
      <c r="AJ17" s="35" t="str">
        <f t="shared" si="12"/>
        <v/>
      </c>
      <c r="AK17" s="36" t="str">
        <f t="shared" si="13"/>
        <v/>
      </c>
      <c r="AL17" s="37"/>
      <c r="AM17" s="33"/>
      <c r="AN17" s="34"/>
      <c r="AO17" s="35" t="str">
        <f t="shared" si="14"/>
        <v/>
      </c>
      <c r="AP17" s="36" t="str">
        <f t="shared" si="15"/>
        <v/>
      </c>
      <c r="AQ17" s="37"/>
      <c r="AR17" s="33"/>
      <c r="AS17" s="34"/>
      <c r="AT17" s="35" t="str">
        <f t="shared" si="16"/>
        <v/>
      </c>
      <c r="AU17" s="36" t="str">
        <f t="shared" si="17"/>
        <v/>
      </c>
      <c r="AV17" s="37"/>
      <c r="AW17" s="33"/>
      <c r="AX17" s="34"/>
      <c r="AY17" s="35" t="str">
        <f t="shared" si="18"/>
        <v/>
      </c>
      <c r="AZ17" s="36" t="str">
        <f t="shared" si="19"/>
        <v/>
      </c>
      <c r="BA17" s="37"/>
      <c r="BB17" s="33"/>
      <c r="BC17" s="34"/>
      <c r="BD17" s="35" t="str">
        <f t="shared" si="20"/>
        <v/>
      </c>
      <c r="BE17" s="36" t="str">
        <f t="shared" si="21"/>
        <v/>
      </c>
      <c r="BF17" s="37"/>
      <c r="BG17" s="33"/>
      <c r="BH17" s="34"/>
      <c r="BI17" s="35" t="str">
        <f t="shared" si="22"/>
        <v/>
      </c>
      <c r="BJ17" s="36" t="str">
        <f t="shared" si="23"/>
        <v/>
      </c>
      <c r="BK17" s="37"/>
      <c r="BL17" s="33"/>
      <c r="BM17" s="34"/>
      <c r="BN17" s="35" t="str">
        <f t="shared" si="24"/>
        <v/>
      </c>
      <c r="BO17" s="36" t="str">
        <f t="shared" si="25"/>
        <v/>
      </c>
      <c r="BP17" s="37"/>
      <c r="BQ17" s="33"/>
      <c r="BR17" s="34"/>
      <c r="BS17" s="35" t="str">
        <f t="shared" si="26"/>
        <v/>
      </c>
      <c r="BT17" s="36" t="str">
        <f t="shared" si="27"/>
        <v/>
      </c>
      <c r="BU17" s="37"/>
      <c r="BV17" s="33"/>
      <c r="BW17" s="34"/>
      <c r="BX17" s="35" t="str">
        <f t="shared" si="28"/>
        <v/>
      </c>
      <c r="BY17" s="36" t="str">
        <f t="shared" si="29"/>
        <v/>
      </c>
      <c r="BZ17" s="37"/>
      <c r="CA17" s="33"/>
      <c r="CB17" s="34"/>
      <c r="CC17" s="35" t="str">
        <f t="shared" si="30"/>
        <v/>
      </c>
      <c r="CD17" s="36" t="str">
        <f t="shared" si="31"/>
        <v/>
      </c>
      <c r="CE17" s="37"/>
      <c r="CF17" s="33"/>
      <c r="CG17" s="34"/>
      <c r="CH17" s="35" t="str">
        <f t="shared" si="32"/>
        <v/>
      </c>
      <c r="CI17" s="36" t="str">
        <f t="shared" si="33"/>
        <v/>
      </c>
      <c r="CJ17" s="37"/>
      <c r="CK17" s="33"/>
      <c r="CL17" s="34"/>
      <c r="CM17" s="35" t="str">
        <f t="shared" si="34"/>
        <v/>
      </c>
      <c r="CN17" s="36" t="str">
        <f t="shared" si="35"/>
        <v/>
      </c>
      <c r="CO17" s="37"/>
      <c r="CP17" s="33"/>
      <c r="CQ17" s="34"/>
      <c r="CR17" s="35" t="str">
        <f t="shared" si="36"/>
        <v/>
      </c>
      <c r="CS17" s="36" t="str">
        <f t="shared" si="37"/>
        <v/>
      </c>
      <c r="CT17" s="37"/>
      <c r="CU17" s="33"/>
      <c r="CV17" s="34"/>
      <c r="CW17" s="35" t="str">
        <f t="shared" si="38"/>
        <v/>
      </c>
      <c r="CX17" s="36" t="str">
        <f t="shared" si="39"/>
        <v/>
      </c>
      <c r="CY17" s="37"/>
      <c r="CZ17" s="33"/>
      <c r="DA17" s="34"/>
      <c r="DB17" s="35" t="str">
        <f t="shared" si="40"/>
        <v/>
      </c>
      <c r="DC17" s="36" t="str">
        <f t="shared" si="41"/>
        <v/>
      </c>
      <c r="DD17" s="37"/>
      <c r="DE17" s="33"/>
      <c r="DF17" s="34"/>
      <c r="DG17" s="35" t="str">
        <f t="shared" si="42"/>
        <v/>
      </c>
      <c r="DH17" s="36" t="str">
        <f t="shared" si="43"/>
        <v/>
      </c>
      <c r="DI17" s="37"/>
      <c r="DJ17" s="33"/>
      <c r="DK17" s="34"/>
      <c r="DL17" s="35" t="str">
        <f t="shared" si="44"/>
        <v/>
      </c>
      <c r="DM17" s="36" t="str">
        <f t="shared" si="45"/>
        <v/>
      </c>
      <c r="DN17" s="37"/>
      <c r="DO17" s="33"/>
      <c r="DP17" s="34"/>
      <c r="DQ17" s="35" t="str">
        <f t="shared" si="46"/>
        <v/>
      </c>
      <c r="DR17" s="36" t="str">
        <f t="shared" si="47"/>
        <v/>
      </c>
      <c r="DS17" s="37"/>
      <c r="DT17" s="33"/>
      <c r="DU17" s="34"/>
      <c r="DV17" s="35" t="str">
        <f t="shared" si="48"/>
        <v/>
      </c>
      <c r="DW17" s="36" t="str">
        <f t="shared" si="49"/>
        <v/>
      </c>
      <c r="DX17" s="37"/>
      <c r="DY17" s="33"/>
      <c r="DZ17" s="34"/>
      <c r="EA17" s="35" t="str">
        <f t="shared" si="50"/>
        <v/>
      </c>
      <c r="EB17" s="36" t="str">
        <f t="shared" si="51"/>
        <v/>
      </c>
      <c r="EC17" s="37"/>
      <c r="ED17" s="33"/>
      <c r="EE17" s="34"/>
      <c r="EF17" s="35" t="str">
        <f t="shared" si="52"/>
        <v/>
      </c>
      <c r="EG17" s="36" t="str">
        <f t="shared" si="53"/>
        <v/>
      </c>
      <c r="EH17" s="37"/>
      <c r="EI17" s="33"/>
      <c r="EJ17" s="34"/>
      <c r="EK17" s="35" t="str">
        <f t="shared" si="54"/>
        <v/>
      </c>
      <c r="EL17" s="36" t="str">
        <f t="shared" si="55"/>
        <v/>
      </c>
      <c r="EM17" s="37"/>
      <c r="EN17" s="33"/>
      <c r="EO17" s="34"/>
      <c r="EP17" s="35" t="str">
        <f t="shared" si="56"/>
        <v/>
      </c>
      <c r="EQ17" s="36" t="str">
        <f t="shared" si="57"/>
        <v/>
      </c>
      <c r="ER17" s="37"/>
      <c r="ES17" s="33"/>
      <c r="ET17" s="34"/>
      <c r="EU17" s="35" t="str">
        <f t="shared" si="58"/>
        <v/>
      </c>
      <c r="EV17" s="36" t="str">
        <f t="shared" si="59"/>
        <v/>
      </c>
      <c r="EW17" s="37"/>
    </row>
    <row r="18" spans="1:153" ht="19.5" customHeight="1">
      <c r="A18" s="32">
        <f>IF(DAY(DATE(対象年度,12,15))&lt;&gt;15,"",15)</f>
        <v>15</v>
      </c>
      <c r="B18" s="32" t="str">
        <f>IF(DAY(DATE(対象年度,12,15))&lt;&gt;15,"",CHOOSE(WEEKDAY(DATE(対象年度,12,15),2),"月","火","水","木","金","土","日"))</f>
        <v>火</v>
      </c>
      <c r="C18" s="32" t="str">
        <f>IF(DAY(DATE(対象年度,12,15))&lt;&gt;15,"",IF(ISNUMBER(MATCH(DATE(対象年度,12,15),祝日リスト,0)),"祝",""))</f>
        <v/>
      </c>
      <c r="D18" s="33"/>
      <c r="E18" s="34"/>
      <c r="F18" s="35" t="str">
        <f t="shared" si="0"/>
        <v/>
      </c>
      <c r="G18" s="36" t="str">
        <f t="shared" si="1"/>
        <v/>
      </c>
      <c r="H18" s="37"/>
      <c r="I18" s="33"/>
      <c r="J18" s="34"/>
      <c r="K18" s="35" t="str">
        <f t="shared" si="2"/>
        <v/>
      </c>
      <c r="L18" s="36" t="str">
        <f t="shared" si="3"/>
        <v/>
      </c>
      <c r="M18" s="37"/>
      <c r="N18" s="33"/>
      <c r="O18" s="34"/>
      <c r="P18" s="35" t="str">
        <f t="shared" si="4"/>
        <v/>
      </c>
      <c r="Q18" s="36" t="str">
        <f t="shared" si="5"/>
        <v/>
      </c>
      <c r="R18" s="37"/>
      <c r="S18" s="33"/>
      <c r="T18" s="34"/>
      <c r="U18" s="35" t="str">
        <f t="shared" si="6"/>
        <v/>
      </c>
      <c r="V18" s="36" t="str">
        <f t="shared" si="7"/>
        <v/>
      </c>
      <c r="W18" s="37"/>
      <c r="X18" s="33"/>
      <c r="Y18" s="34"/>
      <c r="Z18" s="35" t="str">
        <f t="shared" si="8"/>
        <v/>
      </c>
      <c r="AA18" s="36" t="str">
        <f t="shared" si="9"/>
        <v/>
      </c>
      <c r="AB18" s="37"/>
      <c r="AC18" s="33"/>
      <c r="AD18" s="34"/>
      <c r="AE18" s="35" t="str">
        <f t="shared" si="10"/>
        <v/>
      </c>
      <c r="AF18" s="36" t="str">
        <f t="shared" si="11"/>
        <v/>
      </c>
      <c r="AG18" s="37"/>
      <c r="AH18" s="33"/>
      <c r="AI18" s="34"/>
      <c r="AJ18" s="35" t="str">
        <f t="shared" si="12"/>
        <v/>
      </c>
      <c r="AK18" s="36" t="str">
        <f t="shared" si="13"/>
        <v/>
      </c>
      <c r="AL18" s="37"/>
      <c r="AM18" s="33"/>
      <c r="AN18" s="34"/>
      <c r="AO18" s="35" t="str">
        <f t="shared" si="14"/>
        <v/>
      </c>
      <c r="AP18" s="36" t="str">
        <f t="shared" si="15"/>
        <v/>
      </c>
      <c r="AQ18" s="37"/>
      <c r="AR18" s="33"/>
      <c r="AS18" s="34"/>
      <c r="AT18" s="35" t="str">
        <f t="shared" si="16"/>
        <v/>
      </c>
      <c r="AU18" s="36" t="str">
        <f t="shared" si="17"/>
        <v/>
      </c>
      <c r="AV18" s="37"/>
      <c r="AW18" s="33"/>
      <c r="AX18" s="34"/>
      <c r="AY18" s="35" t="str">
        <f t="shared" si="18"/>
        <v/>
      </c>
      <c r="AZ18" s="36" t="str">
        <f t="shared" si="19"/>
        <v/>
      </c>
      <c r="BA18" s="37"/>
      <c r="BB18" s="33"/>
      <c r="BC18" s="34"/>
      <c r="BD18" s="35" t="str">
        <f t="shared" si="20"/>
        <v/>
      </c>
      <c r="BE18" s="36" t="str">
        <f t="shared" si="21"/>
        <v/>
      </c>
      <c r="BF18" s="37"/>
      <c r="BG18" s="33"/>
      <c r="BH18" s="34"/>
      <c r="BI18" s="35" t="str">
        <f t="shared" si="22"/>
        <v/>
      </c>
      <c r="BJ18" s="36" t="str">
        <f t="shared" si="23"/>
        <v/>
      </c>
      <c r="BK18" s="37"/>
      <c r="BL18" s="33"/>
      <c r="BM18" s="34"/>
      <c r="BN18" s="35" t="str">
        <f t="shared" si="24"/>
        <v/>
      </c>
      <c r="BO18" s="36" t="str">
        <f t="shared" si="25"/>
        <v/>
      </c>
      <c r="BP18" s="37"/>
      <c r="BQ18" s="33"/>
      <c r="BR18" s="34"/>
      <c r="BS18" s="35" t="str">
        <f t="shared" si="26"/>
        <v/>
      </c>
      <c r="BT18" s="36" t="str">
        <f t="shared" si="27"/>
        <v/>
      </c>
      <c r="BU18" s="37"/>
      <c r="BV18" s="33"/>
      <c r="BW18" s="34"/>
      <c r="BX18" s="35" t="str">
        <f t="shared" si="28"/>
        <v/>
      </c>
      <c r="BY18" s="36" t="str">
        <f t="shared" si="29"/>
        <v/>
      </c>
      <c r="BZ18" s="37"/>
      <c r="CA18" s="33"/>
      <c r="CB18" s="34"/>
      <c r="CC18" s="35" t="str">
        <f t="shared" si="30"/>
        <v/>
      </c>
      <c r="CD18" s="36" t="str">
        <f t="shared" si="31"/>
        <v/>
      </c>
      <c r="CE18" s="37"/>
      <c r="CF18" s="33"/>
      <c r="CG18" s="34"/>
      <c r="CH18" s="35" t="str">
        <f t="shared" si="32"/>
        <v/>
      </c>
      <c r="CI18" s="36" t="str">
        <f t="shared" si="33"/>
        <v/>
      </c>
      <c r="CJ18" s="37"/>
      <c r="CK18" s="33"/>
      <c r="CL18" s="34"/>
      <c r="CM18" s="35" t="str">
        <f t="shared" si="34"/>
        <v/>
      </c>
      <c r="CN18" s="36" t="str">
        <f t="shared" si="35"/>
        <v/>
      </c>
      <c r="CO18" s="37"/>
      <c r="CP18" s="33"/>
      <c r="CQ18" s="34"/>
      <c r="CR18" s="35" t="str">
        <f t="shared" si="36"/>
        <v/>
      </c>
      <c r="CS18" s="36" t="str">
        <f t="shared" si="37"/>
        <v/>
      </c>
      <c r="CT18" s="37"/>
      <c r="CU18" s="33"/>
      <c r="CV18" s="34"/>
      <c r="CW18" s="35" t="str">
        <f t="shared" si="38"/>
        <v/>
      </c>
      <c r="CX18" s="36" t="str">
        <f t="shared" si="39"/>
        <v/>
      </c>
      <c r="CY18" s="37"/>
      <c r="CZ18" s="33"/>
      <c r="DA18" s="34"/>
      <c r="DB18" s="35" t="str">
        <f t="shared" si="40"/>
        <v/>
      </c>
      <c r="DC18" s="36" t="str">
        <f t="shared" si="41"/>
        <v/>
      </c>
      <c r="DD18" s="37"/>
      <c r="DE18" s="33"/>
      <c r="DF18" s="34"/>
      <c r="DG18" s="35" t="str">
        <f t="shared" si="42"/>
        <v/>
      </c>
      <c r="DH18" s="36" t="str">
        <f t="shared" si="43"/>
        <v/>
      </c>
      <c r="DI18" s="37"/>
      <c r="DJ18" s="33"/>
      <c r="DK18" s="34"/>
      <c r="DL18" s="35" t="str">
        <f t="shared" si="44"/>
        <v/>
      </c>
      <c r="DM18" s="36" t="str">
        <f t="shared" si="45"/>
        <v/>
      </c>
      <c r="DN18" s="37"/>
      <c r="DO18" s="33"/>
      <c r="DP18" s="34"/>
      <c r="DQ18" s="35" t="str">
        <f t="shared" si="46"/>
        <v/>
      </c>
      <c r="DR18" s="36" t="str">
        <f t="shared" si="47"/>
        <v/>
      </c>
      <c r="DS18" s="37"/>
      <c r="DT18" s="33"/>
      <c r="DU18" s="34"/>
      <c r="DV18" s="35" t="str">
        <f t="shared" si="48"/>
        <v/>
      </c>
      <c r="DW18" s="36" t="str">
        <f t="shared" si="49"/>
        <v/>
      </c>
      <c r="DX18" s="37"/>
      <c r="DY18" s="33"/>
      <c r="DZ18" s="34"/>
      <c r="EA18" s="35" t="str">
        <f t="shared" si="50"/>
        <v/>
      </c>
      <c r="EB18" s="36" t="str">
        <f t="shared" si="51"/>
        <v/>
      </c>
      <c r="EC18" s="37"/>
      <c r="ED18" s="33"/>
      <c r="EE18" s="34"/>
      <c r="EF18" s="35" t="str">
        <f t="shared" si="52"/>
        <v/>
      </c>
      <c r="EG18" s="36" t="str">
        <f t="shared" si="53"/>
        <v/>
      </c>
      <c r="EH18" s="37"/>
      <c r="EI18" s="33"/>
      <c r="EJ18" s="34"/>
      <c r="EK18" s="35" t="str">
        <f t="shared" si="54"/>
        <v/>
      </c>
      <c r="EL18" s="36" t="str">
        <f t="shared" si="55"/>
        <v/>
      </c>
      <c r="EM18" s="37"/>
      <c r="EN18" s="33"/>
      <c r="EO18" s="34"/>
      <c r="EP18" s="35" t="str">
        <f t="shared" si="56"/>
        <v/>
      </c>
      <c r="EQ18" s="36" t="str">
        <f t="shared" si="57"/>
        <v/>
      </c>
      <c r="ER18" s="37"/>
      <c r="ES18" s="33"/>
      <c r="ET18" s="34"/>
      <c r="EU18" s="35" t="str">
        <f t="shared" si="58"/>
        <v/>
      </c>
      <c r="EV18" s="36" t="str">
        <f t="shared" si="59"/>
        <v/>
      </c>
      <c r="EW18" s="37"/>
    </row>
    <row r="19" spans="1:153" ht="19.5" customHeight="1">
      <c r="A19" s="32">
        <f>IF(DAY(DATE(対象年度,12,16))&lt;&gt;16,"",16)</f>
        <v>16</v>
      </c>
      <c r="B19" s="32" t="str">
        <f>IF(DAY(DATE(対象年度,12,16))&lt;&gt;16,"",CHOOSE(WEEKDAY(DATE(対象年度,12,16),2),"月","火","水","木","金","土","日"))</f>
        <v>水</v>
      </c>
      <c r="C19" s="32" t="str">
        <f>IF(DAY(DATE(対象年度,12,16))&lt;&gt;16,"",IF(ISNUMBER(MATCH(DATE(対象年度,12,16),祝日リスト,0)),"祝",""))</f>
        <v/>
      </c>
      <c r="D19" s="33"/>
      <c r="E19" s="34"/>
      <c r="F19" s="35" t="str">
        <f t="shared" si="0"/>
        <v/>
      </c>
      <c r="G19" s="36" t="str">
        <f t="shared" si="1"/>
        <v/>
      </c>
      <c r="H19" s="37"/>
      <c r="I19" s="33"/>
      <c r="J19" s="34"/>
      <c r="K19" s="35" t="str">
        <f t="shared" si="2"/>
        <v/>
      </c>
      <c r="L19" s="36" t="str">
        <f t="shared" si="3"/>
        <v/>
      </c>
      <c r="M19" s="37"/>
      <c r="N19" s="33"/>
      <c r="O19" s="34"/>
      <c r="P19" s="35" t="str">
        <f t="shared" si="4"/>
        <v/>
      </c>
      <c r="Q19" s="36" t="str">
        <f t="shared" si="5"/>
        <v/>
      </c>
      <c r="R19" s="37"/>
      <c r="S19" s="33"/>
      <c r="T19" s="34"/>
      <c r="U19" s="35" t="str">
        <f t="shared" si="6"/>
        <v/>
      </c>
      <c r="V19" s="36" t="str">
        <f t="shared" si="7"/>
        <v/>
      </c>
      <c r="W19" s="37"/>
      <c r="X19" s="33"/>
      <c r="Y19" s="34"/>
      <c r="Z19" s="35" t="str">
        <f t="shared" si="8"/>
        <v/>
      </c>
      <c r="AA19" s="36" t="str">
        <f t="shared" si="9"/>
        <v/>
      </c>
      <c r="AB19" s="37"/>
      <c r="AC19" s="33"/>
      <c r="AD19" s="34"/>
      <c r="AE19" s="35" t="str">
        <f t="shared" si="10"/>
        <v/>
      </c>
      <c r="AF19" s="36" t="str">
        <f t="shared" si="11"/>
        <v/>
      </c>
      <c r="AG19" s="37"/>
      <c r="AH19" s="33"/>
      <c r="AI19" s="34"/>
      <c r="AJ19" s="35" t="str">
        <f t="shared" si="12"/>
        <v/>
      </c>
      <c r="AK19" s="36" t="str">
        <f t="shared" si="13"/>
        <v/>
      </c>
      <c r="AL19" s="37"/>
      <c r="AM19" s="33"/>
      <c r="AN19" s="34"/>
      <c r="AO19" s="35" t="str">
        <f t="shared" si="14"/>
        <v/>
      </c>
      <c r="AP19" s="36" t="str">
        <f t="shared" si="15"/>
        <v/>
      </c>
      <c r="AQ19" s="37"/>
      <c r="AR19" s="33"/>
      <c r="AS19" s="34"/>
      <c r="AT19" s="35" t="str">
        <f t="shared" si="16"/>
        <v/>
      </c>
      <c r="AU19" s="36" t="str">
        <f t="shared" si="17"/>
        <v/>
      </c>
      <c r="AV19" s="37"/>
      <c r="AW19" s="33"/>
      <c r="AX19" s="34"/>
      <c r="AY19" s="35" t="str">
        <f t="shared" si="18"/>
        <v/>
      </c>
      <c r="AZ19" s="36" t="str">
        <f t="shared" si="19"/>
        <v/>
      </c>
      <c r="BA19" s="37"/>
      <c r="BB19" s="33"/>
      <c r="BC19" s="34"/>
      <c r="BD19" s="35" t="str">
        <f t="shared" si="20"/>
        <v/>
      </c>
      <c r="BE19" s="36" t="str">
        <f t="shared" si="21"/>
        <v/>
      </c>
      <c r="BF19" s="37"/>
      <c r="BG19" s="33"/>
      <c r="BH19" s="34"/>
      <c r="BI19" s="35" t="str">
        <f t="shared" si="22"/>
        <v/>
      </c>
      <c r="BJ19" s="36" t="str">
        <f t="shared" si="23"/>
        <v/>
      </c>
      <c r="BK19" s="37"/>
      <c r="BL19" s="33"/>
      <c r="BM19" s="34"/>
      <c r="BN19" s="35" t="str">
        <f t="shared" si="24"/>
        <v/>
      </c>
      <c r="BO19" s="36" t="str">
        <f t="shared" si="25"/>
        <v/>
      </c>
      <c r="BP19" s="37"/>
      <c r="BQ19" s="33"/>
      <c r="BR19" s="34"/>
      <c r="BS19" s="35" t="str">
        <f t="shared" si="26"/>
        <v/>
      </c>
      <c r="BT19" s="36" t="str">
        <f t="shared" si="27"/>
        <v/>
      </c>
      <c r="BU19" s="37"/>
      <c r="BV19" s="33"/>
      <c r="BW19" s="34"/>
      <c r="BX19" s="35" t="str">
        <f t="shared" si="28"/>
        <v/>
      </c>
      <c r="BY19" s="36" t="str">
        <f t="shared" si="29"/>
        <v/>
      </c>
      <c r="BZ19" s="37"/>
      <c r="CA19" s="33"/>
      <c r="CB19" s="34"/>
      <c r="CC19" s="35" t="str">
        <f t="shared" si="30"/>
        <v/>
      </c>
      <c r="CD19" s="36" t="str">
        <f t="shared" si="31"/>
        <v/>
      </c>
      <c r="CE19" s="37"/>
      <c r="CF19" s="33"/>
      <c r="CG19" s="34"/>
      <c r="CH19" s="35" t="str">
        <f t="shared" si="32"/>
        <v/>
      </c>
      <c r="CI19" s="36" t="str">
        <f t="shared" si="33"/>
        <v/>
      </c>
      <c r="CJ19" s="37"/>
      <c r="CK19" s="33"/>
      <c r="CL19" s="34"/>
      <c r="CM19" s="35" t="str">
        <f t="shared" si="34"/>
        <v/>
      </c>
      <c r="CN19" s="36" t="str">
        <f t="shared" si="35"/>
        <v/>
      </c>
      <c r="CO19" s="37"/>
      <c r="CP19" s="33"/>
      <c r="CQ19" s="34"/>
      <c r="CR19" s="35" t="str">
        <f t="shared" si="36"/>
        <v/>
      </c>
      <c r="CS19" s="36" t="str">
        <f t="shared" si="37"/>
        <v/>
      </c>
      <c r="CT19" s="37"/>
      <c r="CU19" s="33"/>
      <c r="CV19" s="34"/>
      <c r="CW19" s="35" t="str">
        <f t="shared" si="38"/>
        <v/>
      </c>
      <c r="CX19" s="36" t="str">
        <f t="shared" si="39"/>
        <v/>
      </c>
      <c r="CY19" s="37"/>
      <c r="CZ19" s="33"/>
      <c r="DA19" s="34"/>
      <c r="DB19" s="35" t="str">
        <f t="shared" si="40"/>
        <v/>
      </c>
      <c r="DC19" s="36" t="str">
        <f t="shared" si="41"/>
        <v/>
      </c>
      <c r="DD19" s="37"/>
      <c r="DE19" s="33"/>
      <c r="DF19" s="34"/>
      <c r="DG19" s="35" t="str">
        <f t="shared" si="42"/>
        <v/>
      </c>
      <c r="DH19" s="36" t="str">
        <f t="shared" si="43"/>
        <v/>
      </c>
      <c r="DI19" s="37"/>
      <c r="DJ19" s="33"/>
      <c r="DK19" s="34"/>
      <c r="DL19" s="35" t="str">
        <f t="shared" si="44"/>
        <v/>
      </c>
      <c r="DM19" s="36" t="str">
        <f t="shared" si="45"/>
        <v/>
      </c>
      <c r="DN19" s="37"/>
      <c r="DO19" s="33"/>
      <c r="DP19" s="34"/>
      <c r="DQ19" s="35" t="str">
        <f t="shared" si="46"/>
        <v/>
      </c>
      <c r="DR19" s="36" t="str">
        <f t="shared" si="47"/>
        <v/>
      </c>
      <c r="DS19" s="37"/>
      <c r="DT19" s="33"/>
      <c r="DU19" s="34"/>
      <c r="DV19" s="35" t="str">
        <f t="shared" si="48"/>
        <v/>
      </c>
      <c r="DW19" s="36" t="str">
        <f t="shared" si="49"/>
        <v/>
      </c>
      <c r="DX19" s="37"/>
      <c r="DY19" s="33"/>
      <c r="DZ19" s="34"/>
      <c r="EA19" s="35" t="str">
        <f t="shared" si="50"/>
        <v/>
      </c>
      <c r="EB19" s="36" t="str">
        <f t="shared" si="51"/>
        <v/>
      </c>
      <c r="EC19" s="37"/>
      <c r="ED19" s="33"/>
      <c r="EE19" s="34"/>
      <c r="EF19" s="35" t="str">
        <f t="shared" si="52"/>
        <v/>
      </c>
      <c r="EG19" s="36" t="str">
        <f t="shared" si="53"/>
        <v/>
      </c>
      <c r="EH19" s="37"/>
      <c r="EI19" s="33"/>
      <c r="EJ19" s="34"/>
      <c r="EK19" s="35" t="str">
        <f t="shared" si="54"/>
        <v/>
      </c>
      <c r="EL19" s="36" t="str">
        <f t="shared" si="55"/>
        <v/>
      </c>
      <c r="EM19" s="37"/>
      <c r="EN19" s="33"/>
      <c r="EO19" s="34"/>
      <c r="EP19" s="35" t="str">
        <f t="shared" si="56"/>
        <v/>
      </c>
      <c r="EQ19" s="36" t="str">
        <f t="shared" si="57"/>
        <v/>
      </c>
      <c r="ER19" s="37"/>
      <c r="ES19" s="33"/>
      <c r="ET19" s="34"/>
      <c r="EU19" s="35" t="str">
        <f t="shared" si="58"/>
        <v/>
      </c>
      <c r="EV19" s="36" t="str">
        <f t="shared" si="59"/>
        <v/>
      </c>
      <c r="EW19" s="37"/>
    </row>
    <row r="20" spans="1:153" ht="19.5" customHeight="1">
      <c r="A20" s="32">
        <f>IF(DAY(DATE(対象年度,12,17))&lt;&gt;17,"",17)</f>
        <v>17</v>
      </c>
      <c r="B20" s="32" t="str">
        <f>IF(DAY(DATE(対象年度,12,17))&lt;&gt;17,"",CHOOSE(WEEKDAY(DATE(対象年度,12,17),2),"月","火","水","木","金","土","日"))</f>
        <v>木</v>
      </c>
      <c r="C20" s="32" t="str">
        <f>IF(DAY(DATE(対象年度,12,17))&lt;&gt;17,"",IF(ISNUMBER(MATCH(DATE(対象年度,12,17),祝日リスト,0)),"祝",""))</f>
        <v/>
      </c>
      <c r="D20" s="33"/>
      <c r="E20" s="34"/>
      <c r="F20" s="35" t="str">
        <f t="shared" si="0"/>
        <v/>
      </c>
      <c r="G20" s="36" t="str">
        <f t="shared" si="1"/>
        <v/>
      </c>
      <c r="H20" s="37"/>
      <c r="I20" s="33"/>
      <c r="J20" s="34"/>
      <c r="K20" s="35" t="str">
        <f t="shared" si="2"/>
        <v/>
      </c>
      <c r="L20" s="36" t="str">
        <f t="shared" si="3"/>
        <v/>
      </c>
      <c r="M20" s="37"/>
      <c r="N20" s="33"/>
      <c r="O20" s="34"/>
      <c r="P20" s="35" t="str">
        <f t="shared" si="4"/>
        <v/>
      </c>
      <c r="Q20" s="36" t="str">
        <f t="shared" si="5"/>
        <v/>
      </c>
      <c r="R20" s="37"/>
      <c r="S20" s="33"/>
      <c r="T20" s="34"/>
      <c r="U20" s="35" t="str">
        <f t="shared" si="6"/>
        <v/>
      </c>
      <c r="V20" s="36" t="str">
        <f t="shared" si="7"/>
        <v/>
      </c>
      <c r="W20" s="37"/>
      <c r="X20" s="33"/>
      <c r="Y20" s="34"/>
      <c r="Z20" s="35" t="str">
        <f t="shared" si="8"/>
        <v/>
      </c>
      <c r="AA20" s="36" t="str">
        <f t="shared" si="9"/>
        <v/>
      </c>
      <c r="AB20" s="37"/>
      <c r="AC20" s="33"/>
      <c r="AD20" s="34"/>
      <c r="AE20" s="35" t="str">
        <f t="shared" si="10"/>
        <v/>
      </c>
      <c r="AF20" s="36" t="str">
        <f t="shared" si="11"/>
        <v/>
      </c>
      <c r="AG20" s="37"/>
      <c r="AH20" s="33"/>
      <c r="AI20" s="34"/>
      <c r="AJ20" s="35" t="str">
        <f t="shared" si="12"/>
        <v/>
      </c>
      <c r="AK20" s="36" t="str">
        <f t="shared" si="13"/>
        <v/>
      </c>
      <c r="AL20" s="37"/>
      <c r="AM20" s="33"/>
      <c r="AN20" s="34"/>
      <c r="AO20" s="35" t="str">
        <f t="shared" si="14"/>
        <v/>
      </c>
      <c r="AP20" s="36" t="str">
        <f t="shared" si="15"/>
        <v/>
      </c>
      <c r="AQ20" s="37"/>
      <c r="AR20" s="33"/>
      <c r="AS20" s="34"/>
      <c r="AT20" s="35" t="str">
        <f t="shared" si="16"/>
        <v/>
      </c>
      <c r="AU20" s="36" t="str">
        <f t="shared" si="17"/>
        <v/>
      </c>
      <c r="AV20" s="37"/>
      <c r="AW20" s="33"/>
      <c r="AX20" s="34"/>
      <c r="AY20" s="35" t="str">
        <f t="shared" si="18"/>
        <v/>
      </c>
      <c r="AZ20" s="36" t="str">
        <f t="shared" si="19"/>
        <v/>
      </c>
      <c r="BA20" s="37"/>
      <c r="BB20" s="33"/>
      <c r="BC20" s="34"/>
      <c r="BD20" s="35" t="str">
        <f t="shared" si="20"/>
        <v/>
      </c>
      <c r="BE20" s="36" t="str">
        <f t="shared" si="21"/>
        <v/>
      </c>
      <c r="BF20" s="37"/>
      <c r="BG20" s="33"/>
      <c r="BH20" s="34"/>
      <c r="BI20" s="35" t="str">
        <f t="shared" si="22"/>
        <v/>
      </c>
      <c r="BJ20" s="36" t="str">
        <f t="shared" si="23"/>
        <v/>
      </c>
      <c r="BK20" s="37"/>
      <c r="BL20" s="33"/>
      <c r="BM20" s="34"/>
      <c r="BN20" s="35" t="str">
        <f t="shared" si="24"/>
        <v/>
      </c>
      <c r="BO20" s="36" t="str">
        <f t="shared" si="25"/>
        <v/>
      </c>
      <c r="BP20" s="37"/>
      <c r="BQ20" s="33"/>
      <c r="BR20" s="34"/>
      <c r="BS20" s="35" t="str">
        <f t="shared" si="26"/>
        <v/>
      </c>
      <c r="BT20" s="36" t="str">
        <f t="shared" si="27"/>
        <v/>
      </c>
      <c r="BU20" s="37"/>
      <c r="BV20" s="33"/>
      <c r="BW20" s="34"/>
      <c r="BX20" s="35" t="str">
        <f t="shared" si="28"/>
        <v/>
      </c>
      <c r="BY20" s="36" t="str">
        <f t="shared" si="29"/>
        <v/>
      </c>
      <c r="BZ20" s="37"/>
      <c r="CA20" s="33"/>
      <c r="CB20" s="34"/>
      <c r="CC20" s="35" t="str">
        <f t="shared" si="30"/>
        <v/>
      </c>
      <c r="CD20" s="36" t="str">
        <f t="shared" si="31"/>
        <v/>
      </c>
      <c r="CE20" s="37"/>
      <c r="CF20" s="33"/>
      <c r="CG20" s="34"/>
      <c r="CH20" s="35" t="str">
        <f t="shared" si="32"/>
        <v/>
      </c>
      <c r="CI20" s="36" t="str">
        <f t="shared" si="33"/>
        <v/>
      </c>
      <c r="CJ20" s="37"/>
      <c r="CK20" s="33"/>
      <c r="CL20" s="34"/>
      <c r="CM20" s="35" t="str">
        <f t="shared" si="34"/>
        <v/>
      </c>
      <c r="CN20" s="36" t="str">
        <f t="shared" si="35"/>
        <v/>
      </c>
      <c r="CO20" s="37"/>
      <c r="CP20" s="33"/>
      <c r="CQ20" s="34"/>
      <c r="CR20" s="35" t="str">
        <f t="shared" si="36"/>
        <v/>
      </c>
      <c r="CS20" s="36" t="str">
        <f t="shared" si="37"/>
        <v/>
      </c>
      <c r="CT20" s="37"/>
      <c r="CU20" s="33"/>
      <c r="CV20" s="34"/>
      <c r="CW20" s="35" t="str">
        <f t="shared" si="38"/>
        <v/>
      </c>
      <c r="CX20" s="36" t="str">
        <f t="shared" si="39"/>
        <v/>
      </c>
      <c r="CY20" s="37"/>
      <c r="CZ20" s="33"/>
      <c r="DA20" s="34"/>
      <c r="DB20" s="35" t="str">
        <f t="shared" si="40"/>
        <v/>
      </c>
      <c r="DC20" s="36" t="str">
        <f t="shared" si="41"/>
        <v/>
      </c>
      <c r="DD20" s="37"/>
      <c r="DE20" s="33"/>
      <c r="DF20" s="34"/>
      <c r="DG20" s="35" t="str">
        <f t="shared" si="42"/>
        <v/>
      </c>
      <c r="DH20" s="36" t="str">
        <f t="shared" si="43"/>
        <v/>
      </c>
      <c r="DI20" s="37"/>
      <c r="DJ20" s="33"/>
      <c r="DK20" s="34"/>
      <c r="DL20" s="35" t="str">
        <f t="shared" si="44"/>
        <v/>
      </c>
      <c r="DM20" s="36" t="str">
        <f t="shared" si="45"/>
        <v/>
      </c>
      <c r="DN20" s="37"/>
      <c r="DO20" s="33"/>
      <c r="DP20" s="34"/>
      <c r="DQ20" s="35" t="str">
        <f t="shared" si="46"/>
        <v/>
      </c>
      <c r="DR20" s="36" t="str">
        <f t="shared" si="47"/>
        <v/>
      </c>
      <c r="DS20" s="37"/>
      <c r="DT20" s="33"/>
      <c r="DU20" s="34"/>
      <c r="DV20" s="35" t="str">
        <f t="shared" si="48"/>
        <v/>
      </c>
      <c r="DW20" s="36" t="str">
        <f t="shared" si="49"/>
        <v/>
      </c>
      <c r="DX20" s="37"/>
      <c r="DY20" s="33"/>
      <c r="DZ20" s="34"/>
      <c r="EA20" s="35" t="str">
        <f t="shared" si="50"/>
        <v/>
      </c>
      <c r="EB20" s="36" t="str">
        <f t="shared" si="51"/>
        <v/>
      </c>
      <c r="EC20" s="37"/>
      <c r="ED20" s="33"/>
      <c r="EE20" s="34"/>
      <c r="EF20" s="35" t="str">
        <f t="shared" si="52"/>
        <v/>
      </c>
      <c r="EG20" s="36" t="str">
        <f t="shared" si="53"/>
        <v/>
      </c>
      <c r="EH20" s="37"/>
      <c r="EI20" s="33"/>
      <c r="EJ20" s="34"/>
      <c r="EK20" s="35" t="str">
        <f t="shared" si="54"/>
        <v/>
      </c>
      <c r="EL20" s="36" t="str">
        <f t="shared" si="55"/>
        <v/>
      </c>
      <c r="EM20" s="37"/>
      <c r="EN20" s="33"/>
      <c r="EO20" s="34"/>
      <c r="EP20" s="35" t="str">
        <f t="shared" si="56"/>
        <v/>
      </c>
      <c r="EQ20" s="36" t="str">
        <f t="shared" si="57"/>
        <v/>
      </c>
      <c r="ER20" s="37"/>
      <c r="ES20" s="33"/>
      <c r="ET20" s="34"/>
      <c r="EU20" s="35" t="str">
        <f t="shared" si="58"/>
        <v/>
      </c>
      <c r="EV20" s="36" t="str">
        <f t="shared" si="59"/>
        <v/>
      </c>
      <c r="EW20" s="37"/>
    </row>
    <row r="21" spans="1:153" ht="19.5" customHeight="1">
      <c r="A21" s="32">
        <f>IF(DAY(DATE(対象年度,12,18))&lt;&gt;18,"",18)</f>
        <v>18</v>
      </c>
      <c r="B21" s="32" t="str">
        <f>IF(DAY(DATE(対象年度,12,18))&lt;&gt;18,"",CHOOSE(WEEKDAY(DATE(対象年度,12,18),2),"月","火","水","木","金","土","日"))</f>
        <v>金</v>
      </c>
      <c r="C21" s="32" t="str">
        <f>IF(DAY(DATE(対象年度,12,18))&lt;&gt;18,"",IF(ISNUMBER(MATCH(DATE(対象年度,12,18),祝日リスト,0)),"祝",""))</f>
        <v/>
      </c>
      <c r="D21" s="33"/>
      <c r="E21" s="34"/>
      <c r="F21" s="35" t="str">
        <f t="shared" si="0"/>
        <v/>
      </c>
      <c r="G21" s="36" t="str">
        <f t="shared" si="1"/>
        <v/>
      </c>
      <c r="H21" s="37"/>
      <c r="I21" s="33"/>
      <c r="J21" s="34"/>
      <c r="K21" s="35" t="str">
        <f t="shared" si="2"/>
        <v/>
      </c>
      <c r="L21" s="36" t="str">
        <f t="shared" si="3"/>
        <v/>
      </c>
      <c r="M21" s="37"/>
      <c r="N21" s="33"/>
      <c r="O21" s="34"/>
      <c r="P21" s="35" t="str">
        <f t="shared" si="4"/>
        <v/>
      </c>
      <c r="Q21" s="36" t="str">
        <f t="shared" si="5"/>
        <v/>
      </c>
      <c r="R21" s="37"/>
      <c r="S21" s="33"/>
      <c r="T21" s="34"/>
      <c r="U21" s="35" t="str">
        <f t="shared" si="6"/>
        <v/>
      </c>
      <c r="V21" s="36" t="str">
        <f t="shared" si="7"/>
        <v/>
      </c>
      <c r="W21" s="37"/>
      <c r="X21" s="33"/>
      <c r="Y21" s="34"/>
      <c r="Z21" s="35" t="str">
        <f t="shared" si="8"/>
        <v/>
      </c>
      <c r="AA21" s="36" t="str">
        <f t="shared" si="9"/>
        <v/>
      </c>
      <c r="AB21" s="37"/>
      <c r="AC21" s="33"/>
      <c r="AD21" s="34"/>
      <c r="AE21" s="35" t="str">
        <f t="shared" si="10"/>
        <v/>
      </c>
      <c r="AF21" s="36" t="str">
        <f t="shared" si="11"/>
        <v/>
      </c>
      <c r="AG21" s="37"/>
      <c r="AH21" s="33"/>
      <c r="AI21" s="34"/>
      <c r="AJ21" s="35" t="str">
        <f t="shared" si="12"/>
        <v/>
      </c>
      <c r="AK21" s="36" t="str">
        <f t="shared" si="13"/>
        <v/>
      </c>
      <c r="AL21" s="37"/>
      <c r="AM21" s="33"/>
      <c r="AN21" s="34"/>
      <c r="AO21" s="35" t="str">
        <f t="shared" si="14"/>
        <v/>
      </c>
      <c r="AP21" s="36" t="str">
        <f t="shared" si="15"/>
        <v/>
      </c>
      <c r="AQ21" s="37"/>
      <c r="AR21" s="33"/>
      <c r="AS21" s="34"/>
      <c r="AT21" s="35" t="str">
        <f t="shared" si="16"/>
        <v/>
      </c>
      <c r="AU21" s="36" t="str">
        <f t="shared" si="17"/>
        <v/>
      </c>
      <c r="AV21" s="37"/>
      <c r="AW21" s="33"/>
      <c r="AX21" s="34"/>
      <c r="AY21" s="35" t="str">
        <f t="shared" si="18"/>
        <v/>
      </c>
      <c r="AZ21" s="36" t="str">
        <f t="shared" si="19"/>
        <v/>
      </c>
      <c r="BA21" s="37"/>
      <c r="BB21" s="33"/>
      <c r="BC21" s="34"/>
      <c r="BD21" s="35" t="str">
        <f t="shared" si="20"/>
        <v/>
      </c>
      <c r="BE21" s="36" t="str">
        <f t="shared" si="21"/>
        <v/>
      </c>
      <c r="BF21" s="37"/>
      <c r="BG21" s="33"/>
      <c r="BH21" s="34"/>
      <c r="BI21" s="35" t="str">
        <f t="shared" si="22"/>
        <v/>
      </c>
      <c r="BJ21" s="36" t="str">
        <f t="shared" si="23"/>
        <v/>
      </c>
      <c r="BK21" s="37"/>
      <c r="BL21" s="33"/>
      <c r="BM21" s="34"/>
      <c r="BN21" s="35" t="str">
        <f t="shared" si="24"/>
        <v/>
      </c>
      <c r="BO21" s="36" t="str">
        <f t="shared" si="25"/>
        <v/>
      </c>
      <c r="BP21" s="37"/>
      <c r="BQ21" s="33"/>
      <c r="BR21" s="34"/>
      <c r="BS21" s="35" t="str">
        <f t="shared" si="26"/>
        <v/>
      </c>
      <c r="BT21" s="36" t="str">
        <f t="shared" si="27"/>
        <v/>
      </c>
      <c r="BU21" s="37"/>
      <c r="BV21" s="33"/>
      <c r="BW21" s="34"/>
      <c r="BX21" s="35" t="str">
        <f t="shared" si="28"/>
        <v/>
      </c>
      <c r="BY21" s="36" t="str">
        <f t="shared" si="29"/>
        <v/>
      </c>
      <c r="BZ21" s="37"/>
      <c r="CA21" s="33"/>
      <c r="CB21" s="34"/>
      <c r="CC21" s="35" t="str">
        <f t="shared" si="30"/>
        <v/>
      </c>
      <c r="CD21" s="36" t="str">
        <f t="shared" si="31"/>
        <v/>
      </c>
      <c r="CE21" s="37"/>
      <c r="CF21" s="33"/>
      <c r="CG21" s="34"/>
      <c r="CH21" s="35" t="str">
        <f t="shared" si="32"/>
        <v/>
      </c>
      <c r="CI21" s="36" t="str">
        <f t="shared" si="33"/>
        <v/>
      </c>
      <c r="CJ21" s="37"/>
      <c r="CK21" s="33"/>
      <c r="CL21" s="34"/>
      <c r="CM21" s="35" t="str">
        <f t="shared" si="34"/>
        <v/>
      </c>
      <c r="CN21" s="36" t="str">
        <f t="shared" si="35"/>
        <v/>
      </c>
      <c r="CO21" s="37"/>
      <c r="CP21" s="33"/>
      <c r="CQ21" s="34"/>
      <c r="CR21" s="35" t="str">
        <f t="shared" si="36"/>
        <v/>
      </c>
      <c r="CS21" s="36" t="str">
        <f t="shared" si="37"/>
        <v/>
      </c>
      <c r="CT21" s="37"/>
      <c r="CU21" s="33"/>
      <c r="CV21" s="34"/>
      <c r="CW21" s="35" t="str">
        <f t="shared" si="38"/>
        <v/>
      </c>
      <c r="CX21" s="36" t="str">
        <f t="shared" si="39"/>
        <v/>
      </c>
      <c r="CY21" s="37"/>
      <c r="CZ21" s="33"/>
      <c r="DA21" s="34"/>
      <c r="DB21" s="35" t="str">
        <f t="shared" si="40"/>
        <v/>
      </c>
      <c r="DC21" s="36" t="str">
        <f t="shared" si="41"/>
        <v/>
      </c>
      <c r="DD21" s="37"/>
      <c r="DE21" s="33"/>
      <c r="DF21" s="34"/>
      <c r="DG21" s="35" t="str">
        <f t="shared" si="42"/>
        <v/>
      </c>
      <c r="DH21" s="36" t="str">
        <f t="shared" si="43"/>
        <v/>
      </c>
      <c r="DI21" s="37"/>
      <c r="DJ21" s="33"/>
      <c r="DK21" s="34"/>
      <c r="DL21" s="35" t="str">
        <f t="shared" si="44"/>
        <v/>
      </c>
      <c r="DM21" s="36" t="str">
        <f t="shared" si="45"/>
        <v/>
      </c>
      <c r="DN21" s="37"/>
      <c r="DO21" s="33"/>
      <c r="DP21" s="34"/>
      <c r="DQ21" s="35" t="str">
        <f t="shared" si="46"/>
        <v/>
      </c>
      <c r="DR21" s="36" t="str">
        <f t="shared" si="47"/>
        <v/>
      </c>
      <c r="DS21" s="37"/>
      <c r="DT21" s="33"/>
      <c r="DU21" s="34"/>
      <c r="DV21" s="35" t="str">
        <f t="shared" si="48"/>
        <v/>
      </c>
      <c r="DW21" s="36" t="str">
        <f t="shared" si="49"/>
        <v/>
      </c>
      <c r="DX21" s="37"/>
      <c r="DY21" s="33"/>
      <c r="DZ21" s="34"/>
      <c r="EA21" s="35" t="str">
        <f t="shared" si="50"/>
        <v/>
      </c>
      <c r="EB21" s="36" t="str">
        <f t="shared" si="51"/>
        <v/>
      </c>
      <c r="EC21" s="37"/>
      <c r="ED21" s="33"/>
      <c r="EE21" s="34"/>
      <c r="EF21" s="35" t="str">
        <f t="shared" si="52"/>
        <v/>
      </c>
      <c r="EG21" s="36" t="str">
        <f t="shared" si="53"/>
        <v/>
      </c>
      <c r="EH21" s="37"/>
      <c r="EI21" s="33"/>
      <c r="EJ21" s="34"/>
      <c r="EK21" s="35" t="str">
        <f t="shared" si="54"/>
        <v/>
      </c>
      <c r="EL21" s="36" t="str">
        <f t="shared" si="55"/>
        <v/>
      </c>
      <c r="EM21" s="37"/>
      <c r="EN21" s="33"/>
      <c r="EO21" s="34"/>
      <c r="EP21" s="35" t="str">
        <f t="shared" si="56"/>
        <v/>
      </c>
      <c r="EQ21" s="36" t="str">
        <f t="shared" si="57"/>
        <v/>
      </c>
      <c r="ER21" s="37"/>
      <c r="ES21" s="33"/>
      <c r="ET21" s="34"/>
      <c r="EU21" s="35" t="str">
        <f t="shared" si="58"/>
        <v/>
      </c>
      <c r="EV21" s="36" t="str">
        <f t="shared" si="59"/>
        <v/>
      </c>
      <c r="EW21" s="37"/>
    </row>
    <row r="22" spans="1:153" ht="19.5" customHeight="1">
      <c r="A22" s="32">
        <f>IF(DAY(DATE(対象年度,12,19))&lt;&gt;19,"",19)</f>
        <v>19</v>
      </c>
      <c r="B22" s="32" t="str">
        <f>IF(DAY(DATE(対象年度,12,19))&lt;&gt;19,"",CHOOSE(WEEKDAY(DATE(対象年度,12,19),2),"月","火","水","木","金","土","日"))</f>
        <v>土</v>
      </c>
      <c r="C22" s="32" t="str">
        <f>IF(DAY(DATE(対象年度,12,19))&lt;&gt;19,"",IF(ISNUMBER(MATCH(DATE(対象年度,12,19),祝日リスト,0)),"祝",""))</f>
        <v/>
      </c>
      <c r="D22" s="33"/>
      <c r="E22" s="34"/>
      <c r="F22" s="35" t="str">
        <f t="shared" si="0"/>
        <v/>
      </c>
      <c r="G22" s="36" t="str">
        <f t="shared" si="1"/>
        <v/>
      </c>
      <c r="H22" s="37"/>
      <c r="I22" s="33"/>
      <c r="J22" s="34"/>
      <c r="K22" s="35" t="str">
        <f t="shared" si="2"/>
        <v/>
      </c>
      <c r="L22" s="36" t="str">
        <f t="shared" si="3"/>
        <v/>
      </c>
      <c r="M22" s="37"/>
      <c r="N22" s="33"/>
      <c r="O22" s="34"/>
      <c r="P22" s="35" t="str">
        <f t="shared" si="4"/>
        <v/>
      </c>
      <c r="Q22" s="36" t="str">
        <f t="shared" si="5"/>
        <v/>
      </c>
      <c r="R22" s="37"/>
      <c r="S22" s="33"/>
      <c r="T22" s="34"/>
      <c r="U22" s="35" t="str">
        <f t="shared" si="6"/>
        <v/>
      </c>
      <c r="V22" s="36" t="str">
        <f t="shared" si="7"/>
        <v/>
      </c>
      <c r="W22" s="37"/>
      <c r="X22" s="33"/>
      <c r="Y22" s="34"/>
      <c r="Z22" s="35" t="str">
        <f t="shared" si="8"/>
        <v/>
      </c>
      <c r="AA22" s="36" t="str">
        <f t="shared" si="9"/>
        <v/>
      </c>
      <c r="AB22" s="37"/>
      <c r="AC22" s="33"/>
      <c r="AD22" s="34"/>
      <c r="AE22" s="35" t="str">
        <f t="shared" si="10"/>
        <v/>
      </c>
      <c r="AF22" s="36" t="str">
        <f t="shared" si="11"/>
        <v/>
      </c>
      <c r="AG22" s="37"/>
      <c r="AH22" s="33"/>
      <c r="AI22" s="34"/>
      <c r="AJ22" s="35" t="str">
        <f t="shared" si="12"/>
        <v/>
      </c>
      <c r="AK22" s="36" t="str">
        <f t="shared" si="13"/>
        <v/>
      </c>
      <c r="AL22" s="37"/>
      <c r="AM22" s="33"/>
      <c r="AN22" s="34"/>
      <c r="AO22" s="35" t="str">
        <f t="shared" si="14"/>
        <v/>
      </c>
      <c r="AP22" s="36" t="str">
        <f t="shared" si="15"/>
        <v/>
      </c>
      <c r="AQ22" s="37"/>
      <c r="AR22" s="33"/>
      <c r="AS22" s="34"/>
      <c r="AT22" s="35" t="str">
        <f t="shared" si="16"/>
        <v/>
      </c>
      <c r="AU22" s="36" t="str">
        <f t="shared" si="17"/>
        <v/>
      </c>
      <c r="AV22" s="37"/>
      <c r="AW22" s="33"/>
      <c r="AX22" s="34"/>
      <c r="AY22" s="35" t="str">
        <f t="shared" si="18"/>
        <v/>
      </c>
      <c r="AZ22" s="36" t="str">
        <f t="shared" si="19"/>
        <v/>
      </c>
      <c r="BA22" s="37"/>
      <c r="BB22" s="33"/>
      <c r="BC22" s="34"/>
      <c r="BD22" s="35" t="str">
        <f t="shared" si="20"/>
        <v/>
      </c>
      <c r="BE22" s="36" t="str">
        <f t="shared" si="21"/>
        <v/>
      </c>
      <c r="BF22" s="37"/>
      <c r="BG22" s="33"/>
      <c r="BH22" s="34"/>
      <c r="BI22" s="35" t="str">
        <f t="shared" si="22"/>
        <v/>
      </c>
      <c r="BJ22" s="36" t="str">
        <f t="shared" si="23"/>
        <v/>
      </c>
      <c r="BK22" s="37"/>
      <c r="BL22" s="33"/>
      <c r="BM22" s="34"/>
      <c r="BN22" s="35" t="str">
        <f t="shared" si="24"/>
        <v/>
      </c>
      <c r="BO22" s="36" t="str">
        <f t="shared" si="25"/>
        <v/>
      </c>
      <c r="BP22" s="37"/>
      <c r="BQ22" s="33"/>
      <c r="BR22" s="34"/>
      <c r="BS22" s="35" t="str">
        <f t="shared" si="26"/>
        <v/>
      </c>
      <c r="BT22" s="36" t="str">
        <f t="shared" si="27"/>
        <v/>
      </c>
      <c r="BU22" s="37"/>
      <c r="BV22" s="33"/>
      <c r="BW22" s="34"/>
      <c r="BX22" s="35" t="str">
        <f t="shared" si="28"/>
        <v/>
      </c>
      <c r="BY22" s="36" t="str">
        <f t="shared" si="29"/>
        <v/>
      </c>
      <c r="BZ22" s="37"/>
      <c r="CA22" s="33"/>
      <c r="CB22" s="34"/>
      <c r="CC22" s="35" t="str">
        <f t="shared" si="30"/>
        <v/>
      </c>
      <c r="CD22" s="36" t="str">
        <f t="shared" si="31"/>
        <v/>
      </c>
      <c r="CE22" s="37"/>
      <c r="CF22" s="33"/>
      <c r="CG22" s="34"/>
      <c r="CH22" s="35" t="str">
        <f t="shared" si="32"/>
        <v/>
      </c>
      <c r="CI22" s="36" t="str">
        <f t="shared" si="33"/>
        <v/>
      </c>
      <c r="CJ22" s="37"/>
      <c r="CK22" s="33"/>
      <c r="CL22" s="34"/>
      <c r="CM22" s="35" t="str">
        <f t="shared" si="34"/>
        <v/>
      </c>
      <c r="CN22" s="36" t="str">
        <f t="shared" si="35"/>
        <v/>
      </c>
      <c r="CO22" s="37"/>
      <c r="CP22" s="33"/>
      <c r="CQ22" s="34"/>
      <c r="CR22" s="35" t="str">
        <f t="shared" si="36"/>
        <v/>
      </c>
      <c r="CS22" s="36" t="str">
        <f t="shared" si="37"/>
        <v/>
      </c>
      <c r="CT22" s="37"/>
      <c r="CU22" s="33"/>
      <c r="CV22" s="34"/>
      <c r="CW22" s="35" t="str">
        <f t="shared" si="38"/>
        <v/>
      </c>
      <c r="CX22" s="36" t="str">
        <f t="shared" si="39"/>
        <v/>
      </c>
      <c r="CY22" s="37"/>
      <c r="CZ22" s="33"/>
      <c r="DA22" s="34"/>
      <c r="DB22" s="35" t="str">
        <f t="shared" si="40"/>
        <v/>
      </c>
      <c r="DC22" s="36" t="str">
        <f t="shared" si="41"/>
        <v/>
      </c>
      <c r="DD22" s="37"/>
      <c r="DE22" s="33"/>
      <c r="DF22" s="34"/>
      <c r="DG22" s="35" t="str">
        <f t="shared" si="42"/>
        <v/>
      </c>
      <c r="DH22" s="36" t="str">
        <f t="shared" si="43"/>
        <v/>
      </c>
      <c r="DI22" s="37"/>
      <c r="DJ22" s="33"/>
      <c r="DK22" s="34"/>
      <c r="DL22" s="35" t="str">
        <f t="shared" si="44"/>
        <v/>
      </c>
      <c r="DM22" s="36" t="str">
        <f t="shared" si="45"/>
        <v/>
      </c>
      <c r="DN22" s="37"/>
      <c r="DO22" s="33"/>
      <c r="DP22" s="34"/>
      <c r="DQ22" s="35" t="str">
        <f t="shared" si="46"/>
        <v/>
      </c>
      <c r="DR22" s="36" t="str">
        <f t="shared" si="47"/>
        <v/>
      </c>
      <c r="DS22" s="37"/>
      <c r="DT22" s="33"/>
      <c r="DU22" s="34"/>
      <c r="DV22" s="35" t="str">
        <f t="shared" si="48"/>
        <v/>
      </c>
      <c r="DW22" s="36" t="str">
        <f t="shared" si="49"/>
        <v/>
      </c>
      <c r="DX22" s="37"/>
      <c r="DY22" s="33"/>
      <c r="DZ22" s="34"/>
      <c r="EA22" s="35" t="str">
        <f t="shared" si="50"/>
        <v/>
      </c>
      <c r="EB22" s="36" t="str">
        <f t="shared" si="51"/>
        <v/>
      </c>
      <c r="EC22" s="37"/>
      <c r="ED22" s="33"/>
      <c r="EE22" s="34"/>
      <c r="EF22" s="35" t="str">
        <f t="shared" si="52"/>
        <v/>
      </c>
      <c r="EG22" s="36" t="str">
        <f t="shared" si="53"/>
        <v/>
      </c>
      <c r="EH22" s="37"/>
      <c r="EI22" s="33"/>
      <c r="EJ22" s="34"/>
      <c r="EK22" s="35" t="str">
        <f t="shared" si="54"/>
        <v/>
      </c>
      <c r="EL22" s="36" t="str">
        <f t="shared" si="55"/>
        <v/>
      </c>
      <c r="EM22" s="37"/>
      <c r="EN22" s="33"/>
      <c r="EO22" s="34"/>
      <c r="EP22" s="35" t="str">
        <f t="shared" si="56"/>
        <v/>
      </c>
      <c r="EQ22" s="36" t="str">
        <f t="shared" si="57"/>
        <v/>
      </c>
      <c r="ER22" s="37"/>
      <c r="ES22" s="33"/>
      <c r="ET22" s="34"/>
      <c r="EU22" s="35" t="str">
        <f t="shared" si="58"/>
        <v/>
      </c>
      <c r="EV22" s="36" t="str">
        <f t="shared" si="59"/>
        <v/>
      </c>
      <c r="EW22" s="37"/>
    </row>
    <row r="23" spans="1:153" ht="19.5" customHeight="1">
      <c r="A23" s="32">
        <f>IF(DAY(DATE(対象年度,12,20))&lt;&gt;20,"",20)</f>
        <v>20</v>
      </c>
      <c r="B23" s="32" t="str">
        <f>IF(DAY(DATE(対象年度,12,20))&lt;&gt;20,"",CHOOSE(WEEKDAY(DATE(対象年度,12,20),2),"月","火","水","木","金","土","日"))</f>
        <v>日</v>
      </c>
      <c r="C23" s="32" t="str">
        <f>IF(DAY(DATE(対象年度,12,20))&lt;&gt;20,"",IF(ISNUMBER(MATCH(DATE(対象年度,12,20),祝日リスト,0)),"祝",""))</f>
        <v/>
      </c>
      <c r="D23" s="33"/>
      <c r="E23" s="34"/>
      <c r="F23" s="35" t="str">
        <f t="shared" si="0"/>
        <v/>
      </c>
      <c r="G23" s="36" t="str">
        <f t="shared" si="1"/>
        <v/>
      </c>
      <c r="H23" s="37"/>
      <c r="I23" s="33"/>
      <c r="J23" s="34"/>
      <c r="K23" s="35" t="str">
        <f t="shared" si="2"/>
        <v/>
      </c>
      <c r="L23" s="36" t="str">
        <f t="shared" si="3"/>
        <v/>
      </c>
      <c r="M23" s="37"/>
      <c r="N23" s="33"/>
      <c r="O23" s="34"/>
      <c r="P23" s="35" t="str">
        <f t="shared" si="4"/>
        <v/>
      </c>
      <c r="Q23" s="36" t="str">
        <f t="shared" si="5"/>
        <v/>
      </c>
      <c r="R23" s="37"/>
      <c r="S23" s="33"/>
      <c r="T23" s="34"/>
      <c r="U23" s="35" t="str">
        <f t="shared" si="6"/>
        <v/>
      </c>
      <c r="V23" s="36" t="str">
        <f t="shared" si="7"/>
        <v/>
      </c>
      <c r="W23" s="37"/>
      <c r="X23" s="33"/>
      <c r="Y23" s="34"/>
      <c r="Z23" s="35" t="str">
        <f t="shared" si="8"/>
        <v/>
      </c>
      <c r="AA23" s="36" t="str">
        <f t="shared" si="9"/>
        <v/>
      </c>
      <c r="AB23" s="37"/>
      <c r="AC23" s="33"/>
      <c r="AD23" s="34"/>
      <c r="AE23" s="35" t="str">
        <f t="shared" si="10"/>
        <v/>
      </c>
      <c r="AF23" s="36" t="str">
        <f t="shared" si="11"/>
        <v/>
      </c>
      <c r="AG23" s="37"/>
      <c r="AH23" s="33"/>
      <c r="AI23" s="34"/>
      <c r="AJ23" s="35" t="str">
        <f t="shared" si="12"/>
        <v/>
      </c>
      <c r="AK23" s="36" t="str">
        <f t="shared" si="13"/>
        <v/>
      </c>
      <c r="AL23" s="37"/>
      <c r="AM23" s="33"/>
      <c r="AN23" s="34"/>
      <c r="AO23" s="35" t="str">
        <f t="shared" si="14"/>
        <v/>
      </c>
      <c r="AP23" s="36" t="str">
        <f t="shared" si="15"/>
        <v/>
      </c>
      <c r="AQ23" s="37"/>
      <c r="AR23" s="33"/>
      <c r="AS23" s="34"/>
      <c r="AT23" s="35" t="str">
        <f t="shared" si="16"/>
        <v/>
      </c>
      <c r="AU23" s="36" t="str">
        <f t="shared" si="17"/>
        <v/>
      </c>
      <c r="AV23" s="37"/>
      <c r="AW23" s="33"/>
      <c r="AX23" s="34"/>
      <c r="AY23" s="35" t="str">
        <f t="shared" si="18"/>
        <v/>
      </c>
      <c r="AZ23" s="36" t="str">
        <f t="shared" si="19"/>
        <v/>
      </c>
      <c r="BA23" s="37"/>
      <c r="BB23" s="33"/>
      <c r="BC23" s="34"/>
      <c r="BD23" s="35" t="str">
        <f t="shared" si="20"/>
        <v/>
      </c>
      <c r="BE23" s="36" t="str">
        <f t="shared" si="21"/>
        <v/>
      </c>
      <c r="BF23" s="37"/>
      <c r="BG23" s="33"/>
      <c r="BH23" s="34"/>
      <c r="BI23" s="35" t="str">
        <f t="shared" si="22"/>
        <v/>
      </c>
      <c r="BJ23" s="36" t="str">
        <f t="shared" si="23"/>
        <v/>
      </c>
      <c r="BK23" s="37"/>
      <c r="BL23" s="33"/>
      <c r="BM23" s="34"/>
      <c r="BN23" s="35" t="str">
        <f t="shared" si="24"/>
        <v/>
      </c>
      <c r="BO23" s="36" t="str">
        <f t="shared" si="25"/>
        <v/>
      </c>
      <c r="BP23" s="37"/>
      <c r="BQ23" s="33"/>
      <c r="BR23" s="34"/>
      <c r="BS23" s="35" t="str">
        <f t="shared" si="26"/>
        <v/>
      </c>
      <c r="BT23" s="36" t="str">
        <f t="shared" si="27"/>
        <v/>
      </c>
      <c r="BU23" s="37"/>
      <c r="BV23" s="33"/>
      <c r="BW23" s="34"/>
      <c r="BX23" s="35" t="str">
        <f t="shared" si="28"/>
        <v/>
      </c>
      <c r="BY23" s="36" t="str">
        <f t="shared" si="29"/>
        <v/>
      </c>
      <c r="BZ23" s="37"/>
      <c r="CA23" s="33"/>
      <c r="CB23" s="34"/>
      <c r="CC23" s="35" t="str">
        <f t="shared" si="30"/>
        <v/>
      </c>
      <c r="CD23" s="36" t="str">
        <f t="shared" si="31"/>
        <v/>
      </c>
      <c r="CE23" s="37"/>
      <c r="CF23" s="33"/>
      <c r="CG23" s="34"/>
      <c r="CH23" s="35" t="str">
        <f t="shared" si="32"/>
        <v/>
      </c>
      <c r="CI23" s="36" t="str">
        <f t="shared" si="33"/>
        <v/>
      </c>
      <c r="CJ23" s="37"/>
      <c r="CK23" s="33"/>
      <c r="CL23" s="34"/>
      <c r="CM23" s="35" t="str">
        <f t="shared" si="34"/>
        <v/>
      </c>
      <c r="CN23" s="36" t="str">
        <f t="shared" si="35"/>
        <v/>
      </c>
      <c r="CO23" s="37"/>
      <c r="CP23" s="33"/>
      <c r="CQ23" s="34"/>
      <c r="CR23" s="35" t="str">
        <f t="shared" si="36"/>
        <v/>
      </c>
      <c r="CS23" s="36" t="str">
        <f t="shared" si="37"/>
        <v/>
      </c>
      <c r="CT23" s="37"/>
      <c r="CU23" s="33"/>
      <c r="CV23" s="34"/>
      <c r="CW23" s="35" t="str">
        <f t="shared" si="38"/>
        <v/>
      </c>
      <c r="CX23" s="36" t="str">
        <f t="shared" si="39"/>
        <v/>
      </c>
      <c r="CY23" s="37"/>
      <c r="CZ23" s="33"/>
      <c r="DA23" s="34"/>
      <c r="DB23" s="35" t="str">
        <f t="shared" si="40"/>
        <v/>
      </c>
      <c r="DC23" s="36" t="str">
        <f t="shared" si="41"/>
        <v/>
      </c>
      <c r="DD23" s="37"/>
      <c r="DE23" s="33"/>
      <c r="DF23" s="34"/>
      <c r="DG23" s="35" t="str">
        <f t="shared" si="42"/>
        <v/>
      </c>
      <c r="DH23" s="36" t="str">
        <f t="shared" si="43"/>
        <v/>
      </c>
      <c r="DI23" s="37"/>
      <c r="DJ23" s="33"/>
      <c r="DK23" s="34"/>
      <c r="DL23" s="35" t="str">
        <f t="shared" si="44"/>
        <v/>
      </c>
      <c r="DM23" s="36" t="str">
        <f t="shared" si="45"/>
        <v/>
      </c>
      <c r="DN23" s="37"/>
      <c r="DO23" s="33"/>
      <c r="DP23" s="34"/>
      <c r="DQ23" s="35" t="str">
        <f t="shared" si="46"/>
        <v/>
      </c>
      <c r="DR23" s="36" t="str">
        <f t="shared" si="47"/>
        <v/>
      </c>
      <c r="DS23" s="37"/>
      <c r="DT23" s="33"/>
      <c r="DU23" s="34"/>
      <c r="DV23" s="35" t="str">
        <f t="shared" si="48"/>
        <v/>
      </c>
      <c r="DW23" s="36" t="str">
        <f t="shared" si="49"/>
        <v/>
      </c>
      <c r="DX23" s="37"/>
      <c r="DY23" s="33"/>
      <c r="DZ23" s="34"/>
      <c r="EA23" s="35" t="str">
        <f t="shared" si="50"/>
        <v/>
      </c>
      <c r="EB23" s="36" t="str">
        <f t="shared" si="51"/>
        <v/>
      </c>
      <c r="EC23" s="37"/>
      <c r="ED23" s="33"/>
      <c r="EE23" s="34"/>
      <c r="EF23" s="35" t="str">
        <f t="shared" si="52"/>
        <v/>
      </c>
      <c r="EG23" s="36" t="str">
        <f t="shared" si="53"/>
        <v/>
      </c>
      <c r="EH23" s="37"/>
      <c r="EI23" s="33"/>
      <c r="EJ23" s="34"/>
      <c r="EK23" s="35" t="str">
        <f t="shared" si="54"/>
        <v/>
      </c>
      <c r="EL23" s="36" t="str">
        <f t="shared" si="55"/>
        <v/>
      </c>
      <c r="EM23" s="37"/>
      <c r="EN23" s="33"/>
      <c r="EO23" s="34"/>
      <c r="EP23" s="35" t="str">
        <f t="shared" si="56"/>
        <v/>
      </c>
      <c r="EQ23" s="36" t="str">
        <f t="shared" si="57"/>
        <v/>
      </c>
      <c r="ER23" s="37"/>
      <c r="ES23" s="33"/>
      <c r="ET23" s="34"/>
      <c r="EU23" s="35" t="str">
        <f t="shared" si="58"/>
        <v/>
      </c>
      <c r="EV23" s="36" t="str">
        <f t="shared" si="59"/>
        <v/>
      </c>
      <c r="EW23" s="37"/>
    </row>
    <row r="24" spans="1:153" ht="19.5" customHeight="1">
      <c r="A24" s="32">
        <f>IF(DAY(DATE(対象年度,12,21))&lt;&gt;21,"",21)</f>
        <v>21</v>
      </c>
      <c r="B24" s="32" t="str">
        <f>IF(DAY(DATE(対象年度,12,21))&lt;&gt;21,"",CHOOSE(WEEKDAY(DATE(対象年度,12,21),2),"月","火","水","木","金","土","日"))</f>
        <v>月</v>
      </c>
      <c r="C24" s="32" t="str">
        <f>IF(DAY(DATE(対象年度,12,21))&lt;&gt;21,"",IF(ISNUMBER(MATCH(DATE(対象年度,12,21),祝日リスト,0)),"祝",""))</f>
        <v/>
      </c>
      <c r="D24" s="33"/>
      <c r="E24" s="34"/>
      <c r="F24" s="35" t="str">
        <f t="shared" si="0"/>
        <v/>
      </c>
      <c r="G24" s="36" t="str">
        <f t="shared" si="1"/>
        <v/>
      </c>
      <c r="H24" s="37"/>
      <c r="I24" s="33"/>
      <c r="J24" s="34"/>
      <c r="K24" s="35" t="str">
        <f t="shared" si="2"/>
        <v/>
      </c>
      <c r="L24" s="36" t="str">
        <f t="shared" si="3"/>
        <v/>
      </c>
      <c r="M24" s="37"/>
      <c r="N24" s="33"/>
      <c r="O24" s="34"/>
      <c r="P24" s="35" t="str">
        <f t="shared" si="4"/>
        <v/>
      </c>
      <c r="Q24" s="36" t="str">
        <f t="shared" si="5"/>
        <v/>
      </c>
      <c r="R24" s="37"/>
      <c r="S24" s="33"/>
      <c r="T24" s="34"/>
      <c r="U24" s="35" t="str">
        <f t="shared" si="6"/>
        <v/>
      </c>
      <c r="V24" s="36" t="str">
        <f t="shared" si="7"/>
        <v/>
      </c>
      <c r="W24" s="37"/>
      <c r="X24" s="33"/>
      <c r="Y24" s="34"/>
      <c r="Z24" s="35" t="str">
        <f t="shared" si="8"/>
        <v/>
      </c>
      <c r="AA24" s="36" t="str">
        <f t="shared" si="9"/>
        <v/>
      </c>
      <c r="AB24" s="37"/>
      <c r="AC24" s="33"/>
      <c r="AD24" s="34"/>
      <c r="AE24" s="35" t="str">
        <f t="shared" si="10"/>
        <v/>
      </c>
      <c r="AF24" s="36" t="str">
        <f t="shared" si="11"/>
        <v/>
      </c>
      <c r="AG24" s="37"/>
      <c r="AH24" s="33"/>
      <c r="AI24" s="34"/>
      <c r="AJ24" s="35" t="str">
        <f t="shared" si="12"/>
        <v/>
      </c>
      <c r="AK24" s="36" t="str">
        <f t="shared" si="13"/>
        <v/>
      </c>
      <c r="AL24" s="37"/>
      <c r="AM24" s="33"/>
      <c r="AN24" s="34"/>
      <c r="AO24" s="35" t="str">
        <f t="shared" si="14"/>
        <v/>
      </c>
      <c r="AP24" s="36" t="str">
        <f t="shared" si="15"/>
        <v/>
      </c>
      <c r="AQ24" s="37"/>
      <c r="AR24" s="33"/>
      <c r="AS24" s="34"/>
      <c r="AT24" s="35" t="str">
        <f t="shared" si="16"/>
        <v/>
      </c>
      <c r="AU24" s="36" t="str">
        <f t="shared" si="17"/>
        <v/>
      </c>
      <c r="AV24" s="37"/>
      <c r="AW24" s="33"/>
      <c r="AX24" s="34"/>
      <c r="AY24" s="35" t="str">
        <f t="shared" si="18"/>
        <v/>
      </c>
      <c r="AZ24" s="36" t="str">
        <f t="shared" si="19"/>
        <v/>
      </c>
      <c r="BA24" s="37"/>
      <c r="BB24" s="33"/>
      <c r="BC24" s="34"/>
      <c r="BD24" s="35" t="str">
        <f t="shared" si="20"/>
        <v/>
      </c>
      <c r="BE24" s="36" t="str">
        <f t="shared" si="21"/>
        <v/>
      </c>
      <c r="BF24" s="37"/>
      <c r="BG24" s="33"/>
      <c r="BH24" s="34"/>
      <c r="BI24" s="35" t="str">
        <f t="shared" si="22"/>
        <v/>
      </c>
      <c r="BJ24" s="36" t="str">
        <f t="shared" si="23"/>
        <v/>
      </c>
      <c r="BK24" s="37"/>
      <c r="BL24" s="33"/>
      <c r="BM24" s="34"/>
      <c r="BN24" s="35" t="str">
        <f t="shared" si="24"/>
        <v/>
      </c>
      <c r="BO24" s="36" t="str">
        <f t="shared" si="25"/>
        <v/>
      </c>
      <c r="BP24" s="37"/>
      <c r="BQ24" s="33"/>
      <c r="BR24" s="34"/>
      <c r="BS24" s="35" t="str">
        <f t="shared" si="26"/>
        <v/>
      </c>
      <c r="BT24" s="36" t="str">
        <f t="shared" si="27"/>
        <v/>
      </c>
      <c r="BU24" s="37"/>
      <c r="BV24" s="33"/>
      <c r="BW24" s="34"/>
      <c r="BX24" s="35" t="str">
        <f t="shared" si="28"/>
        <v/>
      </c>
      <c r="BY24" s="36" t="str">
        <f t="shared" si="29"/>
        <v/>
      </c>
      <c r="BZ24" s="37"/>
      <c r="CA24" s="33"/>
      <c r="CB24" s="34"/>
      <c r="CC24" s="35" t="str">
        <f t="shared" si="30"/>
        <v/>
      </c>
      <c r="CD24" s="36" t="str">
        <f t="shared" si="31"/>
        <v/>
      </c>
      <c r="CE24" s="37"/>
      <c r="CF24" s="33"/>
      <c r="CG24" s="34"/>
      <c r="CH24" s="35" t="str">
        <f t="shared" si="32"/>
        <v/>
      </c>
      <c r="CI24" s="36" t="str">
        <f t="shared" si="33"/>
        <v/>
      </c>
      <c r="CJ24" s="37"/>
      <c r="CK24" s="33"/>
      <c r="CL24" s="34"/>
      <c r="CM24" s="35" t="str">
        <f t="shared" si="34"/>
        <v/>
      </c>
      <c r="CN24" s="36" t="str">
        <f t="shared" si="35"/>
        <v/>
      </c>
      <c r="CO24" s="37"/>
      <c r="CP24" s="33"/>
      <c r="CQ24" s="34"/>
      <c r="CR24" s="35" t="str">
        <f t="shared" si="36"/>
        <v/>
      </c>
      <c r="CS24" s="36" t="str">
        <f t="shared" si="37"/>
        <v/>
      </c>
      <c r="CT24" s="37"/>
      <c r="CU24" s="33"/>
      <c r="CV24" s="34"/>
      <c r="CW24" s="35" t="str">
        <f t="shared" si="38"/>
        <v/>
      </c>
      <c r="CX24" s="36" t="str">
        <f t="shared" si="39"/>
        <v/>
      </c>
      <c r="CY24" s="37"/>
      <c r="CZ24" s="33"/>
      <c r="DA24" s="34"/>
      <c r="DB24" s="35" t="str">
        <f t="shared" si="40"/>
        <v/>
      </c>
      <c r="DC24" s="36" t="str">
        <f t="shared" si="41"/>
        <v/>
      </c>
      <c r="DD24" s="37"/>
      <c r="DE24" s="33"/>
      <c r="DF24" s="34"/>
      <c r="DG24" s="35" t="str">
        <f t="shared" si="42"/>
        <v/>
      </c>
      <c r="DH24" s="36" t="str">
        <f t="shared" si="43"/>
        <v/>
      </c>
      <c r="DI24" s="37"/>
      <c r="DJ24" s="33"/>
      <c r="DK24" s="34"/>
      <c r="DL24" s="35" t="str">
        <f t="shared" si="44"/>
        <v/>
      </c>
      <c r="DM24" s="36" t="str">
        <f t="shared" si="45"/>
        <v/>
      </c>
      <c r="DN24" s="37"/>
      <c r="DO24" s="33"/>
      <c r="DP24" s="34"/>
      <c r="DQ24" s="35" t="str">
        <f t="shared" si="46"/>
        <v/>
      </c>
      <c r="DR24" s="36" t="str">
        <f t="shared" si="47"/>
        <v/>
      </c>
      <c r="DS24" s="37"/>
      <c r="DT24" s="33"/>
      <c r="DU24" s="34"/>
      <c r="DV24" s="35" t="str">
        <f t="shared" si="48"/>
        <v/>
      </c>
      <c r="DW24" s="36" t="str">
        <f t="shared" si="49"/>
        <v/>
      </c>
      <c r="DX24" s="37"/>
      <c r="DY24" s="33"/>
      <c r="DZ24" s="34"/>
      <c r="EA24" s="35" t="str">
        <f t="shared" si="50"/>
        <v/>
      </c>
      <c r="EB24" s="36" t="str">
        <f t="shared" si="51"/>
        <v/>
      </c>
      <c r="EC24" s="37"/>
      <c r="ED24" s="33"/>
      <c r="EE24" s="34"/>
      <c r="EF24" s="35" t="str">
        <f t="shared" si="52"/>
        <v/>
      </c>
      <c r="EG24" s="36" t="str">
        <f t="shared" si="53"/>
        <v/>
      </c>
      <c r="EH24" s="37"/>
      <c r="EI24" s="33"/>
      <c r="EJ24" s="34"/>
      <c r="EK24" s="35" t="str">
        <f t="shared" si="54"/>
        <v/>
      </c>
      <c r="EL24" s="36" t="str">
        <f t="shared" si="55"/>
        <v/>
      </c>
      <c r="EM24" s="37"/>
      <c r="EN24" s="33"/>
      <c r="EO24" s="34"/>
      <c r="EP24" s="35" t="str">
        <f t="shared" si="56"/>
        <v/>
      </c>
      <c r="EQ24" s="36" t="str">
        <f t="shared" si="57"/>
        <v/>
      </c>
      <c r="ER24" s="37"/>
      <c r="ES24" s="33"/>
      <c r="ET24" s="34"/>
      <c r="EU24" s="35" t="str">
        <f t="shared" si="58"/>
        <v/>
      </c>
      <c r="EV24" s="36" t="str">
        <f t="shared" si="59"/>
        <v/>
      </c>
      <c r="EW24" s="37"/>
    </row>
    <row r="25" spans="1:153" ht="19.5" customHeight="1">
      <c r="A25" s="32">
        <f>IF(DAY(DATE(対象年度,12,22))&lt;&gt;22,"",22)</f>
        <v>22</v>
      </c>
      <c r="B25" s="32" t="str">
        <f>IF(DAY(DATE(対象年度,12,22))&lt;&gt;22,"",CHOOSE(WEEKDAY(DATE(対象年度,12,22),2),"月","火","水","木","金","土","日"))</f>
        <v>火</v>
      </c>
      <c r="C25" s="32" t="str">
        <f>IF(DAY(DATE(対象年度,12,22))&lt;&gt;22,"",IF(ISNUMBER(MATCH(DATE(対象年度,12,22),祝日リスト,0)),"祝",""))</f>
        <v/>
      </c>
      <c r="D25" s="33"/>
      <c r="E25" s="34"/>
      <c r="F25" s="35" t="str">
        <f t="shared" si="0"/>
        <v/>
      </c>
      <c r="G25" s="36" t="str">
        <f t="shared" si="1"/>
        <v/>
      </c>
      <c r="H25" s="37"/>
      <c r="I25" s="33"/>
      <c r="J25" s="34"/>
      <c r="K25" s="35" t="str">
        <f t="shared" si="2"/>
        <v/>
      </c>
      <c r="L25" s="36" t="str">
        <f t="shared" si="3"/>
        <v/>
      </c>
      <c r="M25" s="37"/>
      <c r="N25" s="33"/>
      <c r="O25" s="34"/>
      <c r="P25" s="35" t="str">
        <f t="shared" si="4"/>
        <v/>
      </c>
      <c r="Q25" s="36" t="str">
        <f t="shared" si="5"/>
        <v/>
      </c>
      <c r="R25" s="37"/>
      <c r="S25" s="33"/>
      <c r="T25" s="34"/>
      <c r="U25" s="35" t="str">
        <f t="shared" si="6"/>
        <v/>
      </c>
      <c r="V25" s="36" t="str">
        <f t="shared" si="7"/>
        <v/>
      </c>
      <c r="W25" s="37"/>
      <c r="X25" s="33"/>
      <c r="Y25" s="34"/>
      <c r="Z25" s="35" t="str">
        <f t="shared" si="8"/>
        <v/>
      </c>
      <c r="AA25" s="36" t="str">
        <f t="shared" si="9"/>
        <v/>
      </c>
      <c r="AB25" s="37"/>
      <c r="AC25" s="33"/>
      <c r="AD25" s="34"/>
      <c r="AE25" s="35" t="str">
        <f t="shared" si="10"/>
        <v/>
      </c>
      <c r="AF25" s="36" t="str">
        <f t="shared" si="11"/>
        <v/>
      </c>
      <c r="AG25" s="37"/>
      <c r="AH25" s="33"/>
      <c r="AI25" s="34"/>
      <c r="AJ25" s="35" t="str">
        <f t="shared" si="12"/>
        <v/>
      </c>
      <c r="AK25" s="36" t="str">
        <f t="shared" si="13"/>
        <v/>
      </c>
      <c r="AL25" s="37"/>
      <c r="AM25" s="33"/>
      <c r="AN25" s="34"/>
      <c r="AO25" s="35" t="str">
        <f t="shared" si="14"/>
        <v/>
      </c>
      <c r="AP25" s="36" t="str">
        <f t="shared" si="15"/>
        <v/>
      </c>
      <c r="AQ25" s="37"/>
      <c r="AR25" s="33"/>
      <c r="AS25" s="34"/>
      <c r="AT25" s="35" t="str">
        <f t="shared" si="16"/>
        <v/>
      </c>
      <c r="AU25" s="36" t="str">
        <f t="shared" si="17"/>
        <v/>
      </c>
      <c r="AV25" s="37"/>
      <c r="AW25" s="33"/>
      <c r="AX25" s="34"/>
      <c r="AY25" s="35" t="str">
        <f t="shared" si="18"/>
        <v/>
      </c>
      <c r="AZ25" s="36" t="str">
        <f t="shared" si="19"/>
        <v/>
      </c>
      <c r="BA25" s="37"/>
      <c r="BB25" s="33"/>
      <c r="BC25" s="34"/>
      <c r="BD25" s="35" t="str">
        <f t="shared" si="20"/>
        <v/>
      </c>
      <c r="BE25" s="36" t="str">
        <f t="shared" si="21"/>
        <v/>
      </c>
      <c r="BF25" s="37"/>
      <c r="BG25" s="33"/>
      <c r="BH25" s="34"/>
      <c r="BI25" s="35" t="str">
        <f t="shared" si="22"/>
        <v/>
      </c>
      <c r="BJ25" s="36" t="str">
        <f t="shared" si="23"/>
        <v/>
      </c>
      <c r="BK25" s="37"/>
      <c r="BL25" s="33"/>
      <c r="BM25" s="34"/>
      <c r="BN25" s="35" t="str">
        <f t="shared" si="24"/>
        <v/>
      </c>
      <c r="BO25" s="36" t="str">
        <f t="shared" si="25"/>
        <v/>
      </c>
      <c r="BP25" s="37"/>
      <c r="BQ25" s="33"/>
      <c r="BR25" s="34"/>
      <c r="BS25" s="35" t="str">
        <f t="shared" si="26"/>
        <v/>
      </c>
      <c r="BT25" s="36" t="str">
        <f t="shared" si="27"/>
        <v/>
      </c>
      <c r="BU25" s="37"/>
      <c r="BV25" s="33"/>
      <c r="BW25" s="34"/>
      <c r="BX25" s="35" t="str">
        <f t="shared" si="28"/>
        <v/>
      </c>
      <c r="BY25" s="36" t="str">
        <f t="shared" si="29"/>
        <v/>
      </c>
      <c r="BZ25" s="37"/>
      <c r="CA25" s="33"/>
      <c r="CB25" s="34"/>
      <c r="CC25" s="35" t="str">
        <f t="shared" si="30"/>
        <v/>
      </c>
      <c r="CD25" s="36" t="str">
        <f t="shared" si="31"/>
        <v/>
      </c>
      <c r="CE25" s="37"/>
      <c r="CF25" s="33"/>
      <c r="CG25" s="34"/>
      <c r="CH25" s="35" t="str">
        <f t="shared" si="32"/>
        <v/>
      </c>
      <c r="CI25" s="36" t="str">
        <f t="shared" si="33"/>
        <v/>
      </c>
      <c r="CJ25" s="37"/>
      <c r="CK25" s="33"/>
      <c r="CL25" s="34"/>
      <c r="CM25" s="35" t="str">
        <f t="shared" si="34"/>
        <v/>
      </c>
      <c r="CN25" s="36" t="str">
        <f t="shared" si="35"/>
        <v/>
      </c>
      <c r="CO25" s="37"/>
      <c r="CP25" s="33"/>
      <c r="CQ25" s="34"/>
      <c r="CR25" s="35" t="str">
        <f t="shared" si="36"/>
        <v/>
      </c>
      <c r="CS25" s="36" t="str">
        <f t="shared" si="37"/>
        <v/>
      </c>
      <c r="CT25" s="37"/>
      <c r="CU25" s="33"/>
      <c r="CV25" s="34"/>
      <c r="CW25" s="35" t="str">
        <f t="shared" si="38"/>
        <v/>
      </c>
      <c r="CX25" s="36" t="str">
        <f t="shared" si="39"/>
        <v/>
      </c>
      <c r="CY25" s="37"/>
      <c r="CZ25" s="33"/>
      <c r="DA25" s="34"/>
      <c r="DB25" s="35" t="str">
        <f t="shared" si="40"/>
        <v/>
      </c>
      <c r="DC25" s="36" t="str">
        <f t="shared" si="41"/>
        <v/>
      </c>
      <c r="DD25" s="37"/>
      <c r="DE25" s="33"/>
      <c r="DF25" s="34"/>
      <c r="DG25" s="35" t="str">
        <f t="shared" si="42"/>
        <v/>
      </c>
      <c r="DH25" s="36" t="str">
        <f t="shared" si="43"/>
        <v/>
      </c>
      <c r="DI25" s="37"/>
      <c r="DJ25" s="33"/>
      <c r="DK25" s="34"/>
      <c r="DL25" s="35" t="str">
        <f t="shared" si="44"/>
        <v/>
      </c>
      <c r="DM25" s="36" t="str">
        <f t="shared" si="45"/>
        <v/>
      </c>
      <c r="DN25" s="37"/>
      <c r="DO25" s="33"/>
      <c r="DP25" s="34"/>
      <c r="DQ25" s="35" t="str">
        <f t="shared" si="46"/>
        <v/>
      </c>
      <c r="DR25" s="36" t="str">
        <f t="shared" si="47"/>
        <v/>
      </c>
      <c r="DS25" s="37"/>
      <c r="DT25" s="33"/>
      <c r="DU25" s="34"/>
      <c r="DV25" s="35" t="str">
        <f t="shared" si="48"/>
        <v/>
      </c>
      <c r="DW25" s="36" t="str">
        <f t="shared" si="49"/>
        <v/>
      </c>
      <c r="DX25" s="37"/>
      <c r="DY25" s="33"/>
      <c r="DZ25" s="34"/>
      <c r="EA25" s="35" t="str">
        <f t="shared" si="50"/>
        <v/>
      </c>
      <c r="EB25" s="36" t="str">
        <f t="shared" si="51"/>
        <v/>
      </c>
      <c r="EC25" s="37"/>
      <c r="ED25" s="33"/>
      <c r="EE25" s="34"/>
      <c r="EF25" s="35" t="str">
        <f t="shared" si="52"/>
        <v/>
      </c>
      <c r="EG25" s="36" t="str">
        <f t="shared" si="53"/>
        <v/>
      </c>
      <c r="EH25" s="37"/>
      <c r="EI25" s="33"/>
      <c r="EJ25" s="34"/>
      <c r="EK25" s="35" t="str">
        <f t="shared" si="54"/>
        <v/>
      </c>
      <c r="EL25" s="36" t="str">
        <f t="shared" si="55"/>
        <v/>
      </c>
      <c r="EM25" s="37"/>
      <c r="EN25" s="33"/>
      <c r="EO25" s="34"/>
      <c r="EP25" s="35" t="str">
        <f t="shared" si="56"/>
        <v/>
      </c>
      <c r="EQ25" s="36" t="str">
        <f t="shared" si="57"/>
        <v/>
      </c>
      <c r="ER25" s="37"/>
      <c r="ES25" s="33"/>
      <c r="ET25" s="34"/>
      <c r="EU25" s="35" t="str">
        <f t="shared" si="58"/>
        <v/>
      </c>
      <c r="EV25" s="36" t="str">
        <f t="shared" si="59"/>
        <v/>
      </c>
      <c r="EW25" s="37"/>
    </row>
    <row r="26" spans="1:153" ht="19.5" customHeight="1">
      <c r="A26" s="32">
        <f>IF(DAY(DATE(対象年度,12,23))&lt;&gt;23,"",23)</f>
        <v>23</v>
      </c>
      <c r="B26" s="32" t="str">
        <f>IF(DAY(DATE(対象年度,12,23))&lt;&gt;23,"",CHOOSE(WEEKDAY(DATE(対象年度,12,23),2),"月","火","水","木","金","土","日"))</f>
        <v>水</v>
      </c>
      <c r="C26" s="32" t="str">
        <f>IF(DAY(DATE(対象年度,12,23))&lt;&gt;23,"",IF(ISNUMBER(MATCH(DATE(対象年度,12,23),祝日リスト,0)),"祝",""))</f>
        <v/>
      </c>
      <c r="D26" s="33"/>
      <c r="E26" s="34"/>
      <c r="F26" s="35" t="str">
        <f t="shared" si="0"/>
        <v/>
      </c>
      <c r="G26" s="36" t="str">
        <f t="shared" si="1"/>
        <v/>
      </c>
      <c r="H26" s="37"/>
      <c r="I26" s="33"/>
      <c r="J26" s="34"/>
      <c r="K26" s="35" t="str">
        <f t="shared" si="2"/>
        <v/>
      </c>
      <c r="L26" s="36" t="str">
        <f t="shared" si="3"/>
        <v/>
      </c>
      <c r="M26" s="37"/>
      <c r="N26" s="33"/>
      <c r="O26" s="34"/>
      <c r="P26" s="35" t="str">
        <f t="shared" si="4"/>
        <v/>
      </c>
      <c r="Q26" s="36" t="str">
        <f t="shared" si="5"/>
        <v/>
      </c>
      <c r="R26" s="37"/>
      <c r="S26" s="33"/>
      <c r="T26" s="34"/>
      <c r="U26" s="35" t="str">
        <f t="shared" si="6"/>
        <v/>
      </c>
      <c r="V26" s="36" t="str">
        <f t="shared" si="7"/>
        <v/>
      </c>
      <c r="W26" s="37"/>
      <c r="X26" s="33"/>
      <c r="Y26" s="34"/>
      <c r="Z26" s="35" t="str">
        <f t="shared" si="8"/>
        <v/>
      </c>
      <c r="AA26" s="36" t="str">
        <f t="shared" si="9"/>
        <v/>
      </c>
      <c r="AB26" s="37"/>
      <c r="AC26" s="33"/>
      <c r="AD26" s="34"/>
      <c r="AE26" s="35" t="str">
        <f t="shared" si="10"/>
        <v/>
      </c>
      <c r="AF26" s="36" t="str">
        <f t="shared" si="11"/>
        <v/>
      </c>
      <c r="AG26" s="37"/>
      <c r="AH26" s="33"/>
      <c r="AI26" s="34"/>
      <c r="AJ26" s="35" t="str">
        <f t="shared" si="12"/>
        <v/>
      </c>
      <c r="AK26" s="36" t="str">
        <f t="shared" si="13"/>
        <v/>
      </c>
      <c r="AL26" s="37"/>
      <c r="AM26" s="33"/>
      <c r="AN26" s="34"/>
      <c r="AO26" s="35" t="str">
        <f t="shared" si="14"/>
        <v/>
      </c>
      <c r="AP26" s="36" t="str">
        <f t="shared" si="15"/>
        <v/>
      </c>
      <c r="AQ26" s="37"/>
      <c r="AR26" s="33"/>
      <c r="AS26" s="34"/>
      <c r="AT26" s="35" t="str">
        <f t="shared" si="16"/>
        <v/>
      </c>
      <c r="AU26" s="36" t="str">
        <f t="shared" si="17"/>
        <v/>
      </c>
      <c r="AV26" s="37"/>
      <c r="AW26" s="33"/>
      <c r="AX26" s="34"/>
      <c r="AY26" s="35" t="str">
        <f t="shared" si="18"/>
        <v/>
      </c>
      <c r="AZ26" s="36" t="str">
        <f t="shared" si="19"/>
        <v/>
      </c>
      <c r="BA26" s="37"/>
      <c r="BB26" s="33"/>
      <c r="BC26" s="34"/>
      <c r="BD26" s="35" t="str">
        <f t="shared" si="20"/>
        <v/>
      </c>
      <c r="BE26" s="36" t="str">
        <f t="shared" si="21"/>
        <v/>
      </c>
      <c r="BF26" s="37"/>
      <c r="BG26" s="33"/>
      <c r="BH26" s="34"/>
      <c r="BI26" s="35" t="str">
        <f t="shared" si="22"/>
        <v/>
      </c>
      <c r="BJ26" s="36" t="str">
        <f t="shared" si="23"/>
        <v/>
      </c>
      <c r="BK26" s="37"/>
      <c r="BL26" s="33"/>
      <c r="BM26" s="34"/>
      <c r="BN26" s="35" t="str">
        <f t="shared" si="24"/>
        <v/>
      </c>
      <c r="BO26" s="36" t="str">
        <f t="shared" si="25"/>
        <v/>
      </c>
      <c r="BP26" s="37"/>
      <c r="BQ26" s="33"/>
      <c r="BR26" s="34"/>
      <c r="BS26" s="35" t="str">
        <f t="shared" si="26"/>
        <v/>
      </c>
      <c r="BT26" s="36" t="str">
        <f t="shared" si="27"/>
        <v/>
      </c>
      <c r="BU26" s="37"/>
      <c r="BV26" s="33"/>
      <c r="BW26" s="34"/>
      <c r="BX26" s="35" t="str">
        <f t="shared" si="28"/>
        <v/>
      </c>
      <c r="BY26" s="36" t="str">
        <f t="shared" si="29"/>
        <v/>
      </c>
      <c r="BZ26" s="37"/>
      <c r="CA26" s="33"/>
      <c r="CB26" s="34"/>
      <c r="CC26" s="35" t="str">
        <f t="shared" si="30"/>
        <v/>
      </c>
      <c r="CD26" s="36" t="str">
        <f t="shared" si="31"/>
        <v/>
      </c>
      <c r="CE26" s="37"/>
      <c r="CF26" s="33"/>
      <c r="CG26" s="34"/>
      <c r="CH26" s="35" t="str">
        <f t="shared" si="32"/>
        <v/>
      </c>
      <c r="CI26" s="36" t="str">
        <f t="shared" si="33"/>
        <v/>
      </c>
      <c r="CJ26" s="37"/>
      <c r="CK26" s="33"/>
      <c r="CL26" s="34"/>
      <c r="CM26" s="35" t="str">
        <f t="shared" si="34"/>
        <v/>
      </c>
      <c r="CN26" s="36" t="str">
        <f t="shared" si="35"/>
        <v/>
      </c>
      <c r="CO26" s="37"/>
      <c r="CP26" s="33"/>
      <c r="CQ26" s="34"/>
      <c r="CR26" s="35" t="str">
        <f t="shared" si="36"/>
        <v/>
      </c>
      <c r="CS26" s="36" t="str">
        <f t="shared" si="37"/>
        <v/>
      </c>
      <c r="CT26" s="37"/>
      <c r="CU26" s="33"/>
      <c r="CV26" s="34"/>
      <c r="CW26" s="35" t="str">
        <f t="shared" si="38"/>
        <v/>
      </c>
      <c r="CX26" s="36" t="str">
        <f t="shared" si="39"/>
        <v/>
      </c>
      <c r="CY26" s="37"/>
      <c r="CZ26" s="33"/>
      <c r="DA26" s="34"/>
      <c r="DB26" s="35" t="str">
        <f t="shared" si="40"/>
        <v/>
      </c>
      <c r="DC26" s="36" t="str">
        <f t="shared" si="41"/>
        <v/>
      </c>
      <c r="DD26" s="37"/>
      <c r="DE26" s="33"/>
      <c r="DF26" s="34"/>
      <c r="DG26" s="35" t="str">
        <f t="shared" si="42"/>
        <v/>
      </c>
      <c r="DH26" s="36" t="str">
        <f t="shared" si="43"/>
        <v/>
      </c>
      <c r="DI26" s="37"/>
      <c r="DJ26" s="33"/>
      <c r="DK26" s="34"/>
      <c r="DL26" s="35" t="str">
        <f t="shared" si="44"/>
        <v/>
      </c>
      <c r="DM26" s="36" t="str">
        <f t="shared" si="45"/>
        <v/>
      </c>
      <c r="DN26" s="37"/>
      <c r="DO26" s="33"/>
      <c r="DP26" s="34"/>
      <c r="DQ26" s="35" t="str">
        <f t="shared" si="46"/>
        <v/>
      </c>
      <c r="DR26" s="36" t="str">
        <f t="shared" si="47"/>
        <v/>
      </c>
      <c r="DS26" s="37"/>
      <c r="DT26" s="33"/>
      <c r="DU26" s="34"/>
      <c r="DV26" s="35" t="str">
        <f t="shared" si="48"/>
        <v/>
      </c>
      <c r="DW26" s="36" t="str">
        <f t="shared" si="49"/>
        <v/>
      </c>
      <c r="DX26" s="37"/>
      <c r="DY26" s="33"/>
      <c r="DZ26" s="34"/>
      <c r="EA26" s="35" t="str">
        <f t="shared" si="50"/>
        <v/>
      </c>
      <c r="EB26" s="36" t="str">
        <f t="shared" si="51"/>
        <v/>
      </c>
      <c r="EC26" s="37"/>
      <c r="ED26" s="33"/>
      <c r="EE26" s="34"/>
      <c r="EF26" s="35" t="str">
        <f t="shared" si="52"/>
        <v/>
      </c>
      <c r="EG26" s="36" t="str">
        <f t="shared" si="53"/>
        <v/>
      </c>
      <c r="EH26" s="37"/>
      <c r="EI26" s="33"/>
      <c r="EJ26" s="34"/>
      <c r="EK26" s="35" t="str">
        <f t="shared" si="54"/>
        <v/>
      </c>
      <c r="EL26" s="36" t="str">
        <f t="shared" si="55"/>
        <v/>
      </c>
      <c r="EM26" s="37"/>
      <c r="EN26" s="33"/>
      <c r="EO26" s="34"/>
      <c r="EP26" s="35" t="str">
        <f t="shared" si="56"/>
        <v/>
      </c>
      <c r="EQ26" s="36" t="str">
        <f t="shared" si="57"/>
        <v/>
      </c>
      <c r="ER26" s="37"/>
      <c r="ES26" s="33"/>
      <c r="ET26" s="34"/>
      <c r="EU26" s="35" t="str">
        <f t="shared" si="58"/>
        <v/>
      </c>
      <c r="EV26" s="36" t="str">
        <f t="shared" si="59"/>
        <v/>
      </c>
      <c r="EW26" s="37"/>
    </row>
    <row r="27" spans="1:153" ht="19.5" customHeight="1">
      <c r="A27" s="32">
        <f>IF(DAY(DATE(対象年度,12,24))&lt;&gt;24,"",24)</f>
        <v>24</v>
      </c>
      <c r="B27" s="32" t="str">
        <f>IF(DAY(DATE(対象年度,12,24))&lt;&gt;24,"",CHOOSE(WEEKDAY(DATE(対象年度,12,24),2),"月","火","水","木","金","土","日"))</f>
        <v>木</v>
      </c>
      <c r="C27" s="32" t="str">
        <f>IF(DAY(DATE(対象年度,12,24))&lt;&gt;24,"",IF(ISNUMBER(MATCH(DATE(対象年度,12,24),祝日リスト,0)),"祝",""))</f>
        <v/>
      </c>
      <c r="D27" s="33"/>
      <c r="E27" s="34"/>
      <c r="F27" s="35" t="str">
        <f t="shared" si="0"/>
        <v/>
      </c>
      <c r="G27" s="36" t="str">
        <f t="shared" si="1"/>
        <v/>
      </c>
      <c r="H27" s="37"/>
      <c r="I27" s="33"/>
      <c r="J27" s="34"/>
      <c r="K27" s="35" t="str">
        <f t="shared" si="2"/>
        <v/>
      </c>
      <c r="L27" s="36" t="str">
        <f t="shared" si="3"/>
        <v/>
      </c>
      <c r="M27" s="37"/>
      <c r="N27" s="33"/>
      <c r="O27" s="34"/>
      <c r="P27" s="35" t="str">
        <f t="shared" si="4"/>
        <v/>
      </c>
      <c r="Q27" s="36" t="str">
        <f t="shared" si="5"/>
        <v/>
      </c>
      <c r="R27" s="37"/>
      <c r="S27" s="33"/>
      <c r="T27" s="34"/>
      <c r="U27" s="35" t="str">
        <f t="shared" si="6"/>
        <v/>
      </c>
      <c r="V27" s="36" t="str">
        <f t="shared" si="7"/>
        <v/>
      </c>
      <c r="W27" s="37"/>
      <c r="X27" s="33"/>
      <c r="Y27" s="34"/>
      <c r="Z27" s="35" t="str">
        <f t="shared" si="8"/>
        <v/>
      </c>
      <c r="AA27" s="36" t="str">
        <f t="shared" si="9"/>
        <v/>
      </c>
      <c r="AB27" s="37"/>
      <c r="AC27" s="33"/>
      <c r="AD27" s="34"/>
      <c r="AE27" s="35" t="str">
        <f t="shared" si="10"/>
        <v/>
      </c>
      <c r="AF27" s="36" t="str">
        <f t="shared" si="11"/>
        <v/>
      </c>
      <c r="AG27" s="37"/>
      <c r="AH27" s="33"/>
      <c r="AI27" s="34"/>
      <c r="AJ27" s="35" t="str">
        <f t="shared" si="12"/>
        <v/>
      </c>
      <c r="AK27" s="36" t="str">
        <f t="shared" si="13"/>
        <v/>
      </c>
      <c r="AL27" s="37"/>
      <c r="AM27" s="33"/>
      <c r="AN27" s="34"/>
      <c r="AO27" s="35" t="str">
        <f t="shared" si="14"/>
        <v/>
      </c>
      <c r="AP27" s="36" t="str">
        <f t="shared" si="15"/>
        <v/>
      </c>
      <c r="AQ27" s="37"/>
      <c r="AR27" s="33"/>
      <c r="AS27" s="34"/>
      <c r="AT27" s="35" t="str">
        <f t="shared" si="16"/>
        <v/>
      </c>
      <c r="AU27" s="36" t="str">
        <f t="shared" si="17"/>
        <v/>
      </c>
      <c r="AV27" s="37"/>
      <c r="AW27" s="33"/>
      <c r="AX27" s="34"/>
      <c r="AY27" s="35" t="str">
        <f t="shared" si="18"/>
        <v/>
      </c>
      <c r="AZ27" s="36" t="str">
        <f t="shared" si="19"/>
        <v/>
      </c>
      <c r="BA27" s="37"/>
      <c r="BB27" s="33"/>
      <c r="BC27" s="34"/>
      <c r="BD27" s="35" t="str">
        <f t="shared" si="20"/>
        <v/>
      </c>
      <c r="BE27" s="36" t="str">
        <f t="shared" si="21"/>
        <v/>
      </c>
      <c r="BF27" s="37"/>
      <c r="BG27" s="33"/>
      <c r="BH27" s="34"/>
      <c r="BI27" s="35" t="str">
        <f t="shared" si="22"/>
        <v/>
      </c>
      <c r="BJ27" s="36" t="str">
        <f t="shared" si="23"/>
        <v/>
      </c>
      <c r="BK27" s="37"/>
      <c r="BL27" s="33"/>
      <c r="BM27" s="34"/>
      <c r="BN27" s="35" t="str">
        <f t="shared" si="24"/>
        <v/>
      </c>
      <c r="BO27" s="36" t="str">
        <f t="shared" si="25"/>
        <v/>
      </c>
      <c r="BP27" s="37"/>
      <c r="BQ27" s="33"/>
      <c r="BR27" s="34"/>
      <c r="BS27" s="35" t="str">
        <f t="shared" si="26"/>
        <v/>
      </c>
      <c r="BT27" s="36" t="str">
        <f t="shared" si="27"/>
        <v/>
      </c>
      <c r="BU27" s="37"/>
      <c r="BV27" s="33"/>
      <c r="BW27" s="34"/>
      <c r="BX27" s="35" t="str">
        <f t="shared" si="28"/>
        <v/>
      </c>
      <c r="BY27" s="36" t="str">
        <f t="shared" si="29"/>
        <v/>
      </c>
      <c r="BZ27" s="37"/>
      <c r="CA27" s="33"/>
      <c r="CB27" s="34"/>
      <c r="CC27" s="35" t="str">
        <f t="shared" si="30"/>
        <v/>
      </c>
      <c r="CD27" s="36" t="str">
        <f t="shared" si="31"/>
        <v/>
      </c>
      <c r="CE27" s="37"/>
      <c r="CF27" s="33"/>
      <c r="CG27" s="34"/>
      <c r="CH27" s="35" t="str">
        <f t="shared" si="32"/>
        <v/>
      </c>
      <c r="CI27" s="36" t="str">
        <f t="shared" si="33"/>
        <v/>
      </c>
      <c r="CJ27" s="37"/>
      <c r="CK27" s="33"/>
      <c r="CL27" s="34"/>
      <c r="CM27" s="35" t="str">
        <f t="shared" si="34"/>
        <v/>
      </c>
      <c r="CN27" s="36" t="str">
        <f t="shared" si="35"/>
        <v/>
      </c>
      <c r="CO27" s="37"/>
      <c r="CP27" s="33"/>
      <c r="CQ27" s="34"/>
      <c r="CR27" s="35" t="str">
        <f t="shared" si="36"/>
        <v/>
      </c>
      <c r="CS27" s="36" t="str">
        <f t="shared" si="37"/>
        <v/>
      </c>
      <c r="CT27" s="37"/>
      <c r="CU27" s="33"/>
      <c r="CV27" s="34"/>
      <c r="CW27" s="35" t="str">
        <f t="shared" si="38"/>
        <v/>
      </c>
      <c r="CX27" s="36" t="str">
        <f t="shared" si="39"/>
        <v/>
      </c>
      <c r="CY27" s="37"/>
      <c r="CZ27" s="33"/>
      <c r="DA27" s="34"/>
      <c r="DB27" s="35" t="str">
        <f t="shared" si="40"/>
        <v/>
      </c>
      <c r="DC27" s="36" t="str">
        <f t="shared" si="41"/>
        <v/>
      </c>
      <c r="DD27" s="37"/>
      <c r="DE27" s="33"/>
      <c r="DF27" s="34"/>
      <c r="DG27" s="35" t="str">
        <f t="shared" si="42"/>
        <v/>
      </c>
      <c r="DH27" s="36" t="str">
        <f t="shared" si="43"/>
        <v/>
      </c>
      <c r="DI27" s="37"/>
      <c r="DJ27" s="33"/>
      <c r="DK27" s="34"/>
      <c r="DL27" s="35" t="str">
        <f t="shared" si="44"/>
        <v/>
      </c>
      <c r="DM27" s="36" t="str">
        <f t="shared" si="45"/>
        <v/>
      </c>
      <c r="DN27" s="37"/>
      <c r="DO27" s="33"/>
      <c r="DP27" s="34"/>
      <c r="DQ27" s="35" t="str">
        <f t="shared" si="46"/>
        <v/>
      </c>
      <c r="DR27" s="36" t="str">
        <f t="shared" si="47"/>
        <v/>
      </c>
      <c r="DS27" s="37"/>
      <c r="DT27" s="33"/>
      <c r="DU27" s="34"/>
      <c r="DV27" s="35" t="str">
        <f t="shared" si="48"/>
        <v/>
      </c>
      <c r="DW27" s="36" t="str">
        <f t="shared" si="49"/>
        <v/>
      </c>
      <c r="DX27" s="37"/>
      <c r="DY27" s="33"/>
      <c r="DZ27" s="34"/>
      <c r="EA27" s="35" t="str">
        <f t="shared" si="50"/>
        <v/>
      </c>
      <c r="EB27" s="36" t="str">
        <f t="shared" si="51"/>
        <v/>
      </c>
      <c r="EC27" s="37"/>
      <c r="ED27" s="33"/>
      <c r="EE27" s="34"/>
      <c r="EF27" s="35" t="str">
        <f t="shared" si="52"/>
        <v/>
      </c>
      <c r="EG27" s="36" t="str">
        <f t="shared" si="53"/>
        <v/>
      </c>
      <c r="EH27" s="37"/>
      <c r="EI27" s="33"/>
      <c r="EJ27" s="34"/>
      <c r="EK27" s="35" t="str">
        <f t="shared" si="54"/>
        <v/>
      </c>
      <c r="EL27" s="36" t="str">
        <f t="shared" si="55"/>
        <v/>
      </c>
      <c r="EM27" s="37"/>
      <c r="EN27" s="33"/>
      <c r="EO27" s="34"/>
      <c r="EP27" s="35" t="str">
        <f t="shared" si="56"/>
        <v/>
      </c>
      <c r="EQ27" s="36" t="str">
        <f t="shared" si="57"/>
        <v/>
      </c>
      <c r="ER27" s="37"/>
      <c r="ES27" s="33"/>
      <c r="ET27" s="34"/>
      <c r="EU27" s="35" t="str">
        <f t="shared" si="58"/>
        <v/>
      </c>
      <c r="EV27" s="36" t="str">
        <f t="shared" si="59"/>
        <v/>
      </c>
      <c r="EW27" s="37"/>
    </row>
    <row r="28" spans="1:153" ht="19.5" customHeight="1">
      <c r="A28" s="32">
        <f>IF(DAY(DATE(対象年度,12,25))&lt;&gt;25,"",25)</f>
        <v>25</v>
      </c>
      <c r="B28" s="32" t="str">
        <f>IF(DAY(DATE(対象年度,12,25))&lt;&gt;25,"",CHOOSE(WEEKDAY(DATE(対象年度,12,25),2),"月","火","水","木","金","土","日"))</f>
        <v>金</v>
      </c>
      <c r="C28" s="32" t="str">
        <f>IF(DAY(DATE(対象年度,12,25))&lt;&gt;25,"",IF(ISNUMBER(MATCH(DATE(対象年度,12,25),祝日リスト,0)),"祝",""))</f>
        <v/>
      </c>
      <c r="D28" s="33"/>
      <c r="E28" s="34"/>
      <c r="F28" s="35" t="str">
        <f t="shared" si="0"/>
        <v/>
      </c>
      <c r="G28" s="36" t="str">
        <f t="shared" si="1"/>
        <v/>
      </c>
      <c r="H28" s="37"/>
      <c r="I28" s="33"/>
      <c r="J28" s="34"/>
      <c r="K28" s="35" t="str">
        <f t="shared" si="2"/>
        <v/>
      </c>
      <c r="L28" s="36" t="str">
        <f t="shared" si="3"/>
        <v/>
      </c>
      <c r="M28" s="37"/>
      <c r="N28" s="33"/>
      <c r="O28" s="34"/>
      <c r="P28" s="35" t="str">
        <f t="shared" si="4"/>
        <v/>
      </c>
      <c r="Q28" s="36" t="str">
        <f t="shared" si="5"/>
        <v/>
      </c>
      <c r="R28" s="37"/>
      <c r="S28" s="33"/>
      <c r="T28" s="34"/>
      <c r="U28" s="35" t="str">
        <f t="shared" si="6"/>
        <v/>
      </c>
      <c r="V28" s="36" t="str">
        <f t="shared" si="7"/>
        <v/>
      </c>
      <c r="W28" s="37"/>
      <c r="X28" s="33"/>
      <c r="Y28" s="34"/>
      <c r="Z28" s="35" t="str">
        <f t="shared" si="8"/>
        <v/>
      </c>
      <c r="AA28" s="36" t="str">
        <f t="shared" si="9"/>
        <v/>
      </c>
      <c r="AB28" s="37"/>
      <c r="AC28" s="33"/>
      <c r="AD28" s="34"/>
      <c r="AE28" s="35" t="str">
        <f t="shared" si="10"/>
        <v/>
      </c>
      <c r="AF28" s="36" t="str">
        <f t="shared" si="11"/>
        <v/>
      </c>
      <c r="AG28" s="37"/>
      <c r="AH28" s="33"/>
      <c r="AI28" s="34"/>
      <c r="AJ28" s="35" t="str">
        <f t="shared" si="12"/>
        <v/>
      </c>
      <c r="AK28" s="36" t="str">
        <f t="shared" si="13"/>
        <v/>
      </c>
      <c r="AL28" s="37"/>
      <c r="AM28" s="33"/>
      <c r="AN28" s="34"/>
      <c r="AO28" s="35" t="str">
        <f t="shared" si="14"/>
        <v/>
      </c>
      <c r="AP28" s="36" t="str">
        <f t="shared" si="15"/>
        <v/>
      </c>
      <c r="AQ28" s="37"/>
      <c r="AR28" s="33"/>
      <c r="AS28" s="34"/>
      <c r="AT28" s="35" t="str">
        <f t="shared" si="16"/>
        <v/>
      </c>
      <c r="AU28" s="36" t="str">
        <f t="shared" si="17"/>
        <v/>
      </c>
      <c r="AV28" s="37"/>
      <c r="AW28" s="33"/>
      <c r="AX28" s="34"/>
      <c r="AY28" s="35" t="str">
        <f t="shared" si="18"/>
        <v/>
      </c>
      <c r="AZ28" s="36" t="str">
        <f t="shared" si="19"/>
        <v/>
      </c>
      <c r="BA28" s="37"/>
      <c r="BB28" s="33"/>
      <c r="BC28" s="34"/>
      <c r="BD28" s="35" t="str">
        <f t="shared" si="20"/>
        <v/>
      </c>
      <c r="BE28" s="36" t="str">
        <f t="shared" si="21"/>
        <v/>
      </c>
      <c r="BF28" s="37"/>
      <c r="BG28" s="33"/>
      <c r="BH28" s="34"/>
      <c r="BI28" s="35" t="str">
        <f t="shared" si="22"/>
        <v/>
      </c>
      <c r="BJ28" s="36" t="str">
        <f t="shared" si="23"/>
        <v/>
      </c>
      <c r="BK28" s="37"/>
      <c r="BL28" s="33"/>
      <c r="BM28" s="34"/>
      <c r="BN28" s="35" t="str">
        <f t="shared" si="24"/>
        <v/>
      </c>
      <c r="BO28" s="36" t="str">
        <f t="shared" si="25"/>
        <v/>
      </c>
      <c r="BP28" s="37"/>
      <c r="BQ28" s="33"/>
      <c r="BR28" s="34"/>
      <c r="BS28" s="35" t="str">
        <f t="shared" si="26"/>
        <v/>
      </c>
      <c r="BT28" s="36" t="str">
        <f t="shared" si="27"/>
        <v/>
      </c>
      <c r="BU28" s="37"/>
      <c r="BV28" s="33"/>
      <c r="BW28" s="34"/>
      <c r="BX28" s="35" t="str">
        <f t="shared" si="28"/>
        <v/>
      </c>
      <c r="BY28" s="36" t="str">
        <f t="shared" si="29"/>
        <v/>
      </c>
      <c r="BZ28" s="37"/>
      <c r="CA28" s="33"/>
      <c r="CB28" s="34"/>
      <c r="CC28" s="35" t="str">
        <f t="shared" si="30"/>
        <v/>
      </c>
      <c r="CD28" s="36" t="str">
        <f t="shared" si="31"/>
        <v/>
      </c>
      <c r="CE28" s="37"/>
      <c r="CF28" s="33"/>
      <c r="CG28" s="34"/>
      <c r="CH28" s="35" t="str">
        <f t="shared" si="32"/>
        <v/>
      </c>
      <c r="CI28" s="36" t="str">
        <f t="shared" si="33"/>
        <v/>
      </c>
      <c r="CJ28" s="37"/>
      <c r="CK28" s="33"/>
      <c r="CL28" s="34"/>
      <c r="CM28" s="35" t="str">
        <f t="shared" si="34"/>
        <v/>
      </c>
      <c r="CN28" s="36" t="str">
        <f t="shared" si="35"/>
        <v/>
      </c>
      <c r="CO28" s="37"/>
      <c r="CP28" s="33"/>
      <c r="CQ28" s="34"/>
      <c r="CR28" s="35" t="str">
        <f t="shared" si="36"/>
        <v/>
      </c>
      <c r="CS28" s="36" t="str">
        <f t="shared" si="37"/>
        <v/>
      </c>
      <c r="CT28" s="37"/>
      <c r="CU28" s="33"/>
      <c r="CV28" s="34"/>
      <c r="CW28" s="35" t="str">
        <f t="shared" si="38"/>
        <v/>
      </c>
      <c r="CX28" s="36" t="str">
        <f t="shared" si="39"/>
        <v/>
      </c>
      <c r="CY28" s="37"/>
      <c r="CZ28" s="33"/>
      <c r="DA28" s="34"/>
      <c r="DB28" s="35" t="str">
        <f t="shared" si="40"/>
        <v/>
      </c>
      <c r="DC28" s="36" t="str">
        <f t="shared" si="41"/>
        <v/>
      </c>
      <c r="DD28" s="37"/>
      <c r="DE28" s="33"/>
      <c r="DF28" s="34"/>
      <c r="DG28" s="35" t="str">
        <f t="shared" si="42"/>
        <v/>
      </c>
      <c r="DH28" s="36" t="str">
        <f t="shared" si="43"/>
        <v/>
      </c>
      <c r="DI28" s="37"/>
      <c r="DJ28" s="33"/>
      <c r="DK28" s="34"/>
      <c r="DL28" s="35" t="str">
        <f t="shared" si="44"/>
        <v/>
      </c>
      <c r="DM28" s="36" t="str">
        <f t="shared" si="45"/>
        <v/>
      </c>
      <c r="DN28" s="37"/>
      <c r="DO28" s="33"/>
      <c r="DP28" s="34"/>
      <c r="DQ28" s="35" t="str">
        <f t="shared" si="46"/>
        <v/>
      </c>
      <c r="DR28" s="36" t="str">
        <f t="shared" si="47"/>
        <v/>
      </c>
      <c r="DS28" s="37"/>
      <c r="DT28" s="33"/>
      <c r="DU28" s="34"/>
      <c r="DV28" s="35" t="str">
        <f t="shared" si="48"/>
        <v/>
      </c>
      <c r="DW28" s="36" t="str">
        <f t="shared" si="49"/>
        <v/>
      </c>
      <c r="DX28" s="37"/>
      <c r="DY28" s="33"/>
      <c r="DZ28" s="34"/>
      <c r="EA28" s="35" t="str">
        <f t="shared" si="50"/>
        <v/>
      </c>
      <c r="EB28" s="36" t="str">
        <f t="shared" si="51"/>
        <v/>
      </c>
      <c r="EC28" s="37"/>
      <c r="ED28" s="33"/>
      <c r="EE28" s="34"/>
      <c r="EF28" s="35" t="str">
        <f t="shared" si="52"/>
        <v/>
      </c>
      <c r="EG28" s="36" t="str">
        <f t="shared" si="53"/>
        <v/>
      </c>
      <c r="EH28" s="37"/>
      <c r="EI28" s="33"/>
      <c r="EJ28" s="34"/>
      <c r="EK28" s="35" t="str">
        <f t="shared" si="54"/>
        <v/>
      </c>
      <c r="EL28" s="36" t="str">
        <f t="shared" si="55"/>
        <v/>
      </c>
      <c r="EM28" s="37"/>
      <c r="EN28" s="33"/>
      <c r="EO28" s="34"/>
      <c r="EP28" s="35" t="str">
        <f t="shared" si="56"/>
        <v/>
      </c>
      <c r="EQ28" s="36" t="str">
        <f t="shared" si="57"/>
        <v/>
      </c>
      <c r="ER28" s="37"/>
      <c r="ES28" s="33"/>
      <c r="ET28" s="34"/>
      <c r="EU28" s="35" t="str">
        <f t="shared" si="58"/>
        <v/>
      </c>
      <c r="EV28" s="36" t="str">
        <f t="shared" si="59"/>
        <v/>
      </c>
      <c r="EW28" s="37"/>
    </row>
    <row r="29" spans="1:153" ht="19.5" customHeight="1">
      <c r="A29" s="32">
        <f>IF(DAY(DATE(対象年度,12,26))&lt;&gt;26,"",26)</f>
        <v>26</v>
      </c>
      <c r="B29" s="32" t="str">
        <f>IF(DAY(DATE(対象年度,12,26))&lt;&gt;26,"",CHOOSE(WEEKDAY(DATE(対象年度,12,26),2),"月","火","水","木","金","土","日"))</f>
        <v>土</v>
      </c>
      <c r="C29" s="32" t="str">
        <f>IF(DAY(DATE(対象年度,12,26))&lt;&gt;26,"",IF(ISNUMBER(MATCH(DATE(対象年度,12,26),祝日リスト,0)),"祝",""))</f>
        <v/>
      </c>
      <c r="D29" s="33"/>
      <c r="E29" s="34"/>
      <c r="F29" s="35" t="str">
        <f t="shared" si="0"/>
        <v/>
      </c>
      <c r="G29" s="36" t="str">
        <f t="shared" si="1"/>
        <v/>
      </c>
      <c r="H29" s="37"/>
      <c r="I29" s="33"/>
      <c r="J29" s="34"/>
      <c r="K29" s="35" t="str">
        <f t="shared" si="2"/>
        <v/>
      </c>
      <c r="L29" s="36" t="str">
        <f t="shared" si="3"/>
        <v/>
      </c>
      <c r="M29" s="37"/>
      <c r="N29" s="33"/>
      <c r="O29" s="34"/>
      <c r="P29" s="35" t="str">
        <f t="shared" si="4"/>
        <v/>
      </c>
      <c r="Q29" s="36" t="str">
        <f t="shared" si="5"/>
        <v/>
      </c>
      <c r="R29" s="37"/>
      <c r="S29" s="33"/>
      <c r="T29" s="34"/>
      <c r="U29" s="35" t="str">
        <f t="shared" si="6"/>
        <v/>
      </c>
      <c r="V29" s="36" t="str">
        <f t="shared" si="7"/>
        <v/>
      </c>
      <c r="W29" s="37"/>
      <c r="X29" s="33"/>
      <c r="Y29" s="34"/>
      <c r="Z29" s="35" t="str">
        <f t="shared" si="8"/>
        <v/>
      </c>
      <c r="AA29" s="36" t="str">
        <f t="shared" si="9"/>
        <v/>
      </c>
      <c r="AB29" s="37"/>
      <c r="AC29" s="33"/>
      <c r="AD29" s="34"/>
      <c r="AE29" s="35" t="str">
        <f t="shared" si="10"/>
        <v/>
      </c>
      <c r="AF29" s="36" t="str">
        <f t="shared" si="11"/>
        <v/>
      </c>
      <c r="AG29" s="37"/>
      <c r="AH29" s="33"/>
      <c r="AI29" s="34"/>
      <c r="AJ29" s="35" t="str">
        <f t="shared" si="12"/>
        <v/>
      </c>
      <c r="AK29" s="36" t="str">
        <f t="shared" si="13"/>
        <v/>
      </c>
      <c r="AL29" s="37"/>
      <c r="AM29" s="33"/>
      <c r="AN29" s="34"/>
      <c r="AO29" s="35" t="str">
        <f t="shared" si="14"/>
        <v/>
      </c>
      <c r="AP29" s="36" t="str">
        <f t="shared" si="15"/>
        <v/>
      </c>
      <c r="AQ29" s="37"/>
      <c r="AR29" s="33"/>
      <c r="AS29" s="34"/>
      <c r="AT29" s="35" t="str">
        <f t="shared" si="16"/>
        <v/>
      </c>
      <c r="AU29" s="36" t="str">
        <f t="shared" si="17"/>
        <v/>
      </c>
      <c r="AV29" s="37"/>
      <c r="AW29" s="33"/>
      <c r="AX29" s="34"/>
      <c r="AY29" s="35" t="str">
        <f t="shared" si="18"/>
        <v/>
      </c>
      <c r="AZ29" s="36" t="str">
        <f t="shared" si="19"/>
        <v/>
      </c>
      <c r="BA29" s="37"/>
      <c r="BB29" s="33"/>
      <c r="BC29" s="34"/>
      <c r="BD29" s="35" t="str">
        <f t="shared" si="20"/>
        <v/>
      </c>
      <c r="BE29" s="36" t="str">
        <f t="shared" si="21"/>
        <v/>
      </c>
      <c r="BF29" s="37"/>
      <c r="BG29" s="33"/>
      <c r="BH29" s="34"/>
      <c r="BI29" s="35" t="str">
        <f t="shared" si="22"/>
        <v/>
      </c>
      <c r="BJ29" s="36" t="str">
        <f t="shared" si="23"/>
        <v/>
      </c>
      <c r="BK29" s="37"/>
      <c r="BL29" s="33"/>
      <c r="BM29" s="34"/>
      <c r="BN29" s="35" t="str">
        <f t="shared" si="24"/>
        <v/>
      </c>
      <c r="BO29" s="36" t="str">
        <f t="shared" si="25"/>
        <v/>
      </c>
      <c r="BP29" s="37"/>
      <c r="BQ29" s="33"/>
      <c r="BR29" s="34"/>
      <c r="BS29" s="35" t="str">
        <f t="shared" si="26"/>
        <v/>
      </c>
      <c r="BT29" s="36" t="str">
        <f t="shared" si="27"/>
        <v/>
      </c>
      <c r="BU29" s="37"/>
      <c r="BV29" s="33"/>
      <c r="BW29" s="34"/>
      <c r="BX29" s="35" t="str">
        <f t="shared" si="28"/>
        <v/>
      </c>
      <c r="BY29" s="36" t="str">
        <f t="shared" si="29"/>
        <v/>
      </c>
      <c r="BZ29" s="37"/>
      <c r="CA29" s="33"/>
      <c r="CB29" s="34"/>
      <c r="CC29" s="35" t="str">
        <f t="shared" si="30"/>
        <v/>
      </c>
      <c r="CD29" s="36" t="str">
        <f t="shared" si="31"/>
        <v/>
      </c>
      <c r="CE29" s="37"/>
      <c r="CF29" s="33"/>
      <c r="CG29" s="34"/>
      <c r="CH29" s="35" t="str">
        <f t="shared" si="32"/>
        <v/>
      </c>
      <c r="CI29" s="36" t="str">
        <f t="shared" si="33"/>
        <v/>
      </c>
      <c r="CJ29" s="37"/>
      <c r="CK29" s="33"/>
      <c r="CL29" s="34"/>
      <c r="CM29" s="35" t="str">
        <f t="shared" si="34"/>
        <v/>
      </c>
      <c r="CN29" s="36" t="str">
        <f t="shared" si="35"/>
        <v/>
      </c>
      <c r="CO29" s="37"/>
      <c r="CP29" s="33"/>
      <c r="CQ29" s="34"/>
      <c r="CR29" s="35" t="str">
        <f t="shared" si="36"/>
        <v/>
      </c>
      <c r="CS29" s="36" t="str">
        <f t="shared" si="37"/>
        <v/>
      </c>
      <c r="CT29" s="37"/>
      <c r="CU29" s="33"/>
      <c r="CV29" s="34"/>
      <c r="CW29" s="35" t="str">
        <f t="shared" si="38"/>
        <v/>
      </c>
      <c r="CX29" s="36" t="str">
        <f t="shared" si="39"/>
        <v/>
      </c>
      <c r="CY29" s="37"/>
      <c r="CZ29" s="33"/>
      <c r="DA29" s="34"/>
      <c r="DB29" s="35" t="str">
        <f t="shared" si="40"/>
        <v/>
      </c>
      <c r="DC29" s="36" t="str">
        <f t="shared" si="41"/>
        <v/>
      </c>
      <c r="DD29" s="37"/>
      <c r="DE29" s="33"/>
      <c r="DF29" s="34"/>
      <c r="DG29" s="35" t="str">
        <f t="shared" si="42"/>
        <v/>
      </c>
      <c r="DH29" s="36" t="str">
        <f t="shared" si="43"/>
        <v/>
      </c>
      <c r="DI29" s="37"/>
      <c r="DJ29" s="33"/>
      <c r="DK29" s="34"/>
      <c r="DL29" s="35" t="str">
        <f t="shared" si="44"/>
        <v/>
      </c>
      <c r="DM29" s="36" t="str">
        <f t="shared" si="45"/>
        <v/>
      </c>
      <c r="DN29" s="37"/>
      <c r="DO29" s="33"/>
      <c r="DP29" s="34"/>
      <c r="DQ29" s="35" t="str">
        <f t="shared" si="46"/>
        <v/>
      </c>
      <c r="DR29" s="36" t="str">
        <f t="shared" si="47"/>
        <v/>
      </c>
      <c r="DS29" s="37"/>
      <c r="DT29" s="33"/>
      <c r="DU29" s="34"/>
      <c r="DV29" s="35" t="str">
        <f t="shared" si="48"/>
        <v/>
      </c>
      <c r="DW29" s="36" t="str">
        <f t="shared" si="49"/>
        <v/>
      </c>
      <c r="DX29" s="37"/>
      <c r="DY29" s="33"/>
      <c r="DZ29" s="34"/>
      <c r="EA29" s="35" t="str">
        <f t="shared" si="50"/>
        <v/>
      </c>
      <c r="EB29" s="36" t="str">
        <f t="shared" si="51"/>
        <v/>
      </c>
      <c r="EC29" s="37"/>
      <c r="ED29" s="33"/>
      <c r="EE29" s="34"/>
      <c r="EF29" s="35" t="str">
        <f t="shared" si="52"/>
        <v/>
      </c>
      <c r="EG29" s="36" t="str">
        <f t="shared" si="53"/>
        <v/>
      </c>
      <c r="EH29" s="37"/>
      <c r="EI29" s="33"/>
      <c r="EJ29" s="34"/>
      <c r="EK29" s="35" t="str">
        <f t="shared" si="54"/>
        <v/>
      </c>
      <c r="EL29" s="36" t="str">
        <f t="shared" si="55"/>
        <v/>
      </c>
      <c r="EM29" s="37"/>
      <c r="EN29" s="33"/>
      <c r="EO29" s="34"/>
      <c r="EP29" s="35" t="str">
        <f t="shared" si="56"/>
        <v/>
      </c>
      <c r="EQ29" s="36" t="str">
        <f t="shared" si="57"/>
        <v/>
      </c>
      <c r="ER29" s="37"/>
      <c r="ES29" s="33"/>
      <c r="ET29" s="34"/>
      <c r="EU29" s="35" t="str">
        <f t="shared" si="58"/>
        <v/>
      </c>
      <c r="EV29" s="36" t="str">
        <f t="shared" si="59"/>
        <v/>
      </c>
      <c r="EW29" s="37"/>
    </row>
    <row r="30" spans="1:153" ht="19.5" customHeight="1">
      <c r="A30" s="32">
        <f>IF(DAY(DATE(対象年度,12,27))&lt;&gt;27,"",27)</f>
        <v>27</v>
      </c>
      <c r="B30" s="32" t="str">
        <f>IF(DAY(DATE(対象年度,12,27))&lt;&gt;27,"",CHOOSE(WEEKDAY(DATE(対象年度,12,27),2),"月","火","水","木","金","土","日"))</f>
        <v>日</v>
      </c>
      <c r="C30" s="32" t="str">
        <f>IF(DAY(DATE(対象年度,12,27))&lt;&gt;27,"",IF(ISNUMBER(MATCH(DATE(対象年度,12,27),祝日リスト,0)),"祝",""))</f>
        <v/>
      </c>
      <c r="D30" s="33"/>
      <c r="E30" s="34"/>
      <c r="F30" s="35" t="str">
        <f t="shared" si="0"/>
        <v/>
      </c>
      <c r="G30" s="36" t="str">
        <f t="shared" si="1"/>
        <v/>
      </c>
      <c r="H30" s="37"/>
      <c r="I30" s="33"/>
      <c r="J30" s="34"/>
      <c r="K30" s="35" t="str">
        <f t="shared" si="2"/>
        <v/>
      </c>
      <c r="L30" s="36" t="str">
        <f t="shared" si="3"/>
        <v/>
      </c>
      <c r="M30" s="37"/>
      <c r="N30" s="33"/>
      <c r="O30" s="34"/>
      <c r="P30" s="35" t="str">
        <f t="shared" si="4"/>
        <v/>
      </c>
      <c r="Q30" s="36" t="str">
        <f t="shared" si="5"/>
        <v/>
      </c>
      <c r="R30" s="37"/>
      <c r="S30" s="33"/>
      <c r="T30" s="34"/>
      <c r="U30" s="35" t="str">
        <f t="shared" si="6"/>
        <v/>
      </c>
      <c r="V30" s="36" t="str">
        <f t="shared" si="7"/>
        <v/>
      </c>
      <c r="W30" s="37"/>
      <c r="X30" s="33"/>
      <c r="Y30" s="34"/>
      <c r="Z30" s="35" t="str">
        <f t="shared" si="8"/>
        <v/>
      </c>
      <c r="AA30" s="36" t="str">
        <f t="shared" si="9"/>
        <v/>
      </c>
      <c r="AB30" s="37"/>
      <c r="AC30" s="33"/>
      <c r="AD30" s="34"/>
      <c r="AE30" s="35" t="str">
        <f t="shared" si="10"/>
        <v/>
      </c>
      <c r="AF30" s="36" t="str">
        <f t="shared" si="11"/>
        <v/>
      </c>
      <c r="AG30" s="37"/>
      <c r="AH30" s="33"/>
      <c r="AI30" s="34"/>
      <c r="AJ30" s="35" t="str">
        <f t="shared" si="12"/>
        <v/>
      </c>
      <c r="AK30" s="36" t="str">
        <f t="shared" si="13"/>
        <v/>
      </c>
      <c r="AL30" s="37"/>
      <c r="AM30" s="33"/>
      <c r="AN30" s="34"/>
      <c r="AO30" s="35" t="str">
        <f t="shared" si="14"/>
        <v/>
      </c>
      <c r="AP30" s="36" t="str">
        <f t="shared" si="15"/>
        <v/>
      </c>
      <c r="AQ30" s="37"/>
      <c r="AR30" s="33"/>
      <c r="AS30" s="34"/>
      <c r="AT30" s="35" t="str">
        <f t="shared" si="16"/>
        <v/>
      </c>
      <c r="AU30" s="36" t="str">
        <f t="shared" si="17"/>
        <v/>
      </c>
      <c r="AV30" s="37"/>
      <c r="AW30" s="33"/>
      <c r="AX30" s="34"/>
      <c r="AY30" s="35" t="str">
        <f t="shared" si="18"/>
        <v/>
      </c>
      <c r="AZ30" s="36" t="str">
        <f t="shared" si="19"/>
        <v/>
      </c>
      <c r="BA30" s="37"/>
      <c r="BB30" s="33"/>
      <c r="BC30" s="34"/>
      <c r="BD30" s="35" t="str">
        <f t="shared" si="20"/>
        <v/>
      </c>
      <c r="BE30" s="36" t="str">
        <f t="shared" si="21"/>
        <v/>
      </c>
      <c r="BF30" s="37"/>
      <c r="BG30" s="33"/>
      <c r="BH30" s="34"/>
      <c r="BI30" s="35" t="str">
        <f t="shared" si="22"/>
        <v/>
      </c>
      <c r="BJ30" s="36" t="str">
        <f t="shared" si="23"/>
        <v/>
      </c>
      <c r="BK30" s="37"/>
      <c r="BL30" s="33"/>
      <c r="BM30" s="34"/>
      <c r="BN30" s="35" t="str">
        <f t="shared" si="24"/>
        <v/>
      </c>
      <c r="BO30" s="36" t="str">
        <f t="shared" si="25"/>
        <v/>
      </c>
      <c r="BP30" s="37"/>
      <c r="BQ30" s="33"/>
      <c r="BR30" s="34"/>
      <c r="BS30" s="35" t="str">
        <f t="shared" si="26"/>
        <v/>
      </c>
      <c r="BT30" s="36" t="str">
        <f t="shared" si="27"/>
        <v/>
      </c>
      <c r="BU30" s="37"/>
      <c r="BV30" s="33"/>
      <c r="BW30" s="34"/>
      <c r="BX30" s="35" t="str">
        <f t="shared" si="28"/>
        <v/>
      </c>
      <c r="BY30" s="36" t="str">
        <f t="shared" si="29"/>
        <v/>
      </c>
      <c r="BZ30" s="37"/>
      <c r="CA30" s="33"/>
      <c r="CB30" s="34"/>
      <c r="CC30" s="35" t="str">
        <f t="shared" si="30"/>
        <v/>
      </c>
      <c r="CD30" s="36" t="str">
        <f t="shared" si="31"/>
        <v/>
      </c>
      <c r="CE30" s="37"/>
      <c r="CF30" s="33"/>
      <c r="CG30" s="34"/>
      <c r="CH30" s="35" t="str">
        <f t="shared" si="32"/>
        <v/>
      </c>
      <c r="CI30" s="36" t="str">
        <f t="shared" si="33"/>
        <v/>
      </c>
      <c r="CJ30" s="37"/>
      <c r="CK30" s="33"/>
      <c r="CL30" s="34"/>
      <c r="CM30" s="35" t="str">
        <f t="shared" si="34"/>
        <v/>
      </c>
      <c r="CN30" s="36" t="str">
        <f t="shared" si="35"/>
        <v/>
      </c>
      <c r="CO30" s="37"/>
      <c r="CP30" s="33"/>
      <c r="CQ30" s="34"/>
      <c r="CR30" s="35" t="str">
        <f t="shared" si="36"/>
        <v/>
      </c>
      <c r="CS30" s="36" t="str">
        <f t="shared" si="37"/>
        <v/>
      </c>
      <c r="CT30" s="37"/>
      <c r="CU30" s="33"/>
      <c r="CV30" s="34"/>
      <c r="CW30" s="35" t="str">
        <f t="shared" si="38"/>
        <v/>
      </c>
      <c r="CX30" s="36" t="str">
        <f t="shared" si="39"/>
        <v/>
      </c>
      <c r="CY30" s="37"/>
      <c r="CZ30" s="33"/>
      <c r="DA30" s="34"/>
      <c r="DB30" s="35" t="str">
        <f t="shared" si="40"/>
        <v/>
      </c>
      <c r="DC30" s="36" t="str">
        <f t="shared" si="41"/>
        <v/>
      </c>
      <c r="DD30" s="37"/>
      <c r="DE30" s="33"/>
      <c r="DF30" s="34"/>
      <c r="DG30" s="35" t="str">
        <f t="shared" si="42"/>
        <v/>
      </c>
      <c r="DH30" s="36" t="str">
        <f t="shared" si="43"/>
        <v/>
      </c>
      <c r="DI30" s="37"/>
      <c r="DJ30" s="33"/>
      <c r="DK30" s="34"/>
      <c r="DL30" s="35" t="str">
        <f t="shared" si="44"/>
        <v/>
      </c>
      <c r="DM30" s="36" t="str">
        <f t="shared" si="45"/>
        <v/>
      </c>
      <c r="DN30" s="37"/>
      <c r="DO30" s="33"/>
      <c r="DP30" s="34"/>
      <c r="DQ30" s="35" t="str">
        <f t="shared" si="46"/>
        <v/>
      </c>
      <c r="DR30" s="36" t="str">
        <f t="shared" si="47"/>
        <v/>
      </c>
      <c r="DS30" s="37"/>
      <c r="DT30" s="33"/>
      <c r="DU30" s="34"/>
      <c r="DV30" s="35" t="str">
        <f t="shared" si="48"/>
        <v/>
      </c>
      <c r="DW30" s="36" t="str">
        <f t="shared" si="49"/>
        <v/>
      </c>
      <c r="DX30" s="37"/>
      <c r="DY30" s="33"/>
      <c r="DZ30" s="34"/>
      <c r="EA30" s="35" t="str">
        <f t="shared" si="50"/>
        <v/>
      </c>
      <c r="EB30" s="36" t="str">
        <f t="shared" si="51"/>
        <v/>
      </c>
      <c r="EC30" s="37"/>
      <c r="ED30" s="33"/>
      <c r="EE30" s="34"/>
      <c r="EF30" s="35" t="str">
        <f t="shared" si="52"/>
        <v/>
      </c>
      <c r="EG30" s="36" t="str">
        <f t="shared" si="53"/>
        <v/>
      </c>
      <c r="EH30" s="37"/>
      <c r="EI30" s="33"/>
      <c r="EJ30" s="34"/>
      <c r="EK30" s="35" t="str">
        <f t="shared" si="54"/>
        <v/>
      </c>
      <c r="EL30" s="36" t="str">
        <f t="shared" si="55"/>
        <v/>
      </c>
      <c r="EM30" s="37"/>
      <c r="EN30" s="33"/>
      <c r="EO30" s="34"/>
      <c r="EP30" s="35" t="str">
        <f t="shared" si="56"/>
        <v/>
      </c>
      <c r="EQ30" s="36" t="str">
        <f t="shared" si="57"/>
        <v/>
      </c>
      <c r="ER30" s="37"/>
      <c r="ES30" s="33"/>
      <c r="ET30" s="34"/>
      <c r="EU30" s="35" t="str">
        <f t="shared" si="58"/>
        <v/>
      </c>
      <c r="EV30" s="36" t="str">
        <f t="shared" si="59"/>
        <v/>
      </c>
      <c r="EW30" s="37"/>
    </row>
    <row r="31" spans="1:153" ht="19.5" customHeight="1">
      <c r="A31" s="32">
        <f>IF(DAY(DATE(対象年度,12,28))&lt;&gt;28,"",28)</f>
        <v>28</v>
      </c>
      <c r="B31" s="32" t="str">
        <f>IF(DAY(DATE(対象年度,12,28))&lt;&gt;28,"",CHOOSE(WEEKDAY(DATE(対象年度,12,28),2),"月","火","水","木","金","土","日"))</f>
        <v>月</v>
      </c>
      <c r="C31" s="32" t="str">
        <f>IF(DAY(DATE(対象年度,12,28))&lt;&gt;28,"",IF(ISNUMBER(MATCH(DATE(対象年度,12,28),祝日リスト,0)),"祝",""))</f>
        <v/>
      </c>
      <c r="D31" s="33"/>
      <c r="E31" s="34"/>
      <c r="F31" s="35" t="str">
        <f t="shared" si="0"/>
        <v/>
      </c>
      <c r="G31" s="36" t="str">
        <f t="shared" si="1"/>
        <v/>
      </c>
      <c r="H31" s="37"/>
      <c r="I31" s="33"/>
      <c r="J31" s="34"/>
      <c r="K31" s="35" t="str">
        <f t="shared" si="2"/>
        <v/>
      </c>
      <c r="L31" s="36" t="str">
        <f t="shared" si="3"/>
        <v/>
      </c>
      <c r="M31" s="37"/>
      <c r="N31" s="33"/>
      <c r="O31" s="34"/>
      <c r="P31" s="35" t="str">
        <f t="shared" si="4"/>
        <v/>
      </c>
      <c r="Q31" s="36" t="str">
        <f t="shared" si="5"/>
        <v/>
      </c>
      <c r="R31" s="37"/>
      <c r="S31" s="33"/>
      <c r="T31" s="34"/>
      <c r="U31" s="35" t="str">
        <f t="shared" si="6"/>
        <v/>
      </c>
      <c r="V31" s="36" t="str">
        <f t="shared" si="7"/>
        <v/>
      </c>
      <c r="W31" s="37"/>
      <c r="X31" s="33"/>
      <c r="Y31" s="34"/>
      <c r="Z31" s="35" t="str">
        <f t="shared" si="8"/>
        <v/>
      </c>
      <c r="AA31" s="36" t="str">
        <f t="shared" si="9"/>
        <v/>
      </c>
      <c r="AB31" s="37"/>
      <c r="AC31" s="33"/>
      <c r="AD31" s="34"/>
      <c r="AE31" s="35" t="str">
        <f t="shared" si="10"/>
        <v/>
      </c>
      <c r="AF31" s="36" t="str">
        <f t="shared" si="11"/>
        <v/>
      </c>
      <c r="AG31" s="37"/>
      <c r="AH31" s="33"/>
      <c r="AI31" s="34"/>
      <c r="AJ31" s="35" t="str">
        <f t="shared" si="12"/>
        <v/>
      </c>
      <c r="AK31" s="36" t="str">
        <f t="shared" si="13"/>
        <v/>
      </c>
      <c r="AL31" s="37"/>
      <c r="AM31" s="33"/>
      <c r="AN31" s="34"/>
      <c r="AO31" s="35" t="str">
        <f t="shared" si="14"/>
        <v/>
      </c>
      <c r="AP31" s="36" t="str">
        <f t="shared" si="15"/>
        <v/>
      </c>
      <c r="AQ31" s="37"/>
      <c r="AR31" s="33"/>
      <c r="AS31" s="34"/>
      <c r="AT31" s="35" t="str">
        <f t="shared" si="16"/>
        <v/>
      </c>
      <c r="AU31" s="36" t="str">
        <f t="shared" si="17"/>
        <v/>
      </c>
      <c r="AV31" s="37"/>
      <c r="AW31" s="33"/>
      <c r="AX31" s="34"/>
      <c r="AY31" s="35" t="str">
        <f t="shared" si="18"/>
        <v/>
      </c>
      <c r="AZ31" s="36" t="str">
        <f t="shared" si="19"/>
        <v/>
      </c>
      <c r="BA31" s="37"/>
      <c r="BB31" s="33"/>
      <c r="BC31" s="34"/>
      <c r="BD31" s="35" t="str">
        <f t="shared" si="20"/>
        <v/>
      </c>
      <c r="BE31" s="36" t="str">
        <f t="shared" si="21"/>
        <v/>
      </c>
      <c r="BF31" s="37"/>
      <c r="BG31" s="33"/>
      <c r="BH31" s="34"/>
      <c r="BI31" s="35" t="str">
        <f t="shared" si="22"/>
        <v/>
      </c>
      <c r="BJ31" s="36" t="str">
        <f t="shared" si="23"/>
        <v/>
      </c>
      <c r="BK31" s="37"/>
      <c r="BL31" s="33"/>
      <c r="BM31" s="34"/>
      <c r="BN31" s="35" t="str">
        <f t="shared" si="24"/>
        <v/>
      </c>
      <c r="BO31" s="36" t="str">
        <f t="shared" si="25"/>
        <v/>
      </c>
      <c r="BP31" s="37"/>
      <c r="BQ31" s="33"/>
      <c r="BR31" s="34"/>
      <c r="BS31" s="35" t="str">
        <f t="shared" si="26"/>
        <v/>
      </c>
      <c r="BT31" s="36" t="str">
        <f t="shared" si="27"/>
        <v/>
      </c>
      <c r="BU31" s="37"/>
      <c r="BV31" s="33"/>
      <c r="BW31" s="34"/>
      <c r="BX31" s="35" t="str">
        <f t="shared" si="28"/>
        <v/>
      </c>
      <c r="BY31" s="36" t="str">
        <f t="shared" si="29"/>
        <v/>
      </c>
      <c r="BZ31" s="37"/>
      <c r="CA31" s="33"/>
      <c r="CB31" s="34"/>
      <c r="CC31" s="35" t="str">
        <f t="shared" si="30"/>
        <v/>
      </c>
      <c r="CD31" s="36" t="str">
        <f t="shared" si="31"/>
        <v/>
      </c>
      <c r="CE31" s="37"/>
      <c r="CF31" s="33"/>
      <c r="CG31" s="34"/>
      <c r="CH31" s="35" t="str">
        <f t="shared" si="32"/>
        <v/>
      </c>
      <c r="CI31" s="36" t="str">
        <f t="shared" si="33"/>
        <v/>
      </c>
      <c r="CJ31" s="37"/>
      <c r="CK31" s="33"/>
      <c r="CL31" s="34"/>
      <c r="CM31" s="35" t="str">
        <f t="shared" si="34"/>
        <v/>
      </c>
      <c r="CN31" s="36" t="str">
        <f t="shared" si="35"/>
        <v/>
      </c>
      <c r="CO31" s="37"/>
      <c r="CP31" s="33"/>
      <c r="CQ31" s="34"/>
      <c r="CR31" s="35" t="str">
        <f t="shared" si="36"/>
        <v/>
      </c>
      <c r="CS31" s="36" t="str">
        <f t="shared" si="37"/>
        <v/>
      </c>
      <c r="CT31" s="37"/>
      <c r="CU31" s="33"/>
      <c r="CV31" s="34"/>
      <c r="CW31" s="35" t="str">
        <f t="shared" si="38"/>
        <v/>
      </c>
      <c r="CX31" s="36" t="str">
        <f t="shared" si="39"/>
        <v/>
      </c>
      <c r="CY31" s="37"/>
      <c r="CZ31" s="33"/>
      <c r="DA31" s="34"/>
      <c r="DB31" s="35" t="str">
        <f t="shared" si="40"/>
        <v/>
      </c>
      <c r="DC31" s="36" t="str">
        <f t="shared" si="41"/>
        <v/>
      </c>
      <c r="DD31" s="37"/>
      <c r="DE31" s="33"/>
      <c r="DF31" s="34"/>
      <c r="DG31" s="35" t="str">
        <f t="shared" si="42"/>
        <v/>
      </c>
      <c r="DH31" s="36" t="str">
        <f t="shared" si="43"/>
        <v/>
      </c>
      <c r="DI31" s="37"/>
      <c r="DJ31" s="33"/>
      <c r="DK31" s="34"/>
      <c r="DL31" s="35" t="str">
        <f t="shared" si="44"/>
        <v/>
      </c>
      <c r="DM31" s="36" t="str">
        <f t="shared" si="45"/>
        <v/>
      </c>
      <c r="DN31" s="37"/>
      <c r="DO31" s="33"/>
      <c r="DP31" s="34"/>
      <c r="DQ31" s="35" t="str">
        <f t="shared" si="46"/>
        <v/>
      </c>
      <c r="DR31" s="36" t="str">
        <f t="shared" si="47"/>
        <v/>
      </c>
      <c r="DS31" s="37"/>
      <c r="DT31" s="33"/>
      <c r="DU31" s="34"/>
      <c r="DV31" s="35" t="str">
        <f t="shared" si="48"/>
        <v/>
      </c>
      <c r="DW31" s="36" t="str">
        <f t="shared" si="49"/>
        <v/>
      </c>
      <c r="DX31" s="37"/>
      <c r="DY31" s="33"/>
      <c r="DZ31" s="34"/>
      <c r="EA31" s="35" t="str">
        <f t="shared" si="50"/>
        <v/>
      </c>
      <c r="EB31" s="36" t="str">
        <f t="shared" si="51"/>
        <v/>
      </c>
      <c r="EC31" s="37"/>
      <c r="ED31" s="33"/>
      <c r="EE31" s="34"/>
      <c r="EF31" s="35" t="str">
        <f t="shared" si="52"/>
        <v/>
      </c>
      <c r="EG31" s="36" t="str">
        <f t="shared" si="53"/>
        <v/>
      </c>
      <c r="EH31" s="37"/>
      <c r="EI31" s="33"/>
      <c r="EJ31" s="34"/>
      <c r="EK31" s="35" t="str">
        <f t="shared" si="54"/>
        <v/>
      </c>
      <c r="EL31" s="36" t="str">
        <f t="shared" si="55"/>
        <v/>
      </c>
      <c r="EM31" s="37"/>
      <c r="EN31" s="33"/>
      <c r="EO31" s="34"/>
      <c r="EP31" s="35" t="str">
        <f t="shared" si="56"/>
        <v/>
      </c>
      <c r="EQ31" s="36" t="str">
        <f t="shared" si="57"/>
        <v/>
      </c>
      <c r="ER31" s="37"/>
      <c r="ES31" s="33"/>
      <c r="ET31" s="34"/>
      <c r="EU31" s="35" t="str">
        <f t="shared" si="58"/>
        <v/>
      </c>
      <c r="EV31" s="36" t="str">
        <f t="shared" si="59"/>
        <v/>
      </c>
      <c r="EW31" s="37"/>
    </row>
    <row r="32" spans="1:153" ht="19.5" customHeight="1">
      <c r="A32" s="32">
        <f>IF(DAY(DATE(対象年度,12,29))&lt;&gt;29,"",29)</f>
        <v>29</v>
      </c>
      <c r="B32" s="32" t="str">
        <f>IF(DAY(DATE(対象年度,12,29))&lt;&gt;29,"",CHOOSE(WEEKDAY(DATE(対象年度,12,29),2),"月","火","水","木","金","土","日"))</f>
        <v>火</v>
      </c>
      <c r="C32" s="32" t="str">
        <f>IF(DAY(DATE(対象年度,12,29))&lt;&gt;29,"",IF(ISNUMBER(MATCH(DATE(対象年度,12,29),祝日リスト,0)),"祝",""))</f>
        <v/>
      </c>
      <c r="D32" s="33"/>
      <c r="E32" s="34"/>
      <c r="F32" s="35" t="str">
        <f t="shared" si="0"/>
        <v/>
      </c>
      <c r="G32" s="36" t="str">
        <f t="shared" si="1"/>
        <v/>
      </c>
      <c r="H32" s="37"/>
      <c r="I32" s="33"/>
      <c r="J32" s="34"/>
      <c r="K32" s="35" t="str">
        <f t="shared" si="2"/>
        <v/>
      </c>
      <c r="L32" s="36" t="str">
        <f t="shared" si="3"/>
        <v/>
      </c>
      <c r="M32" s="37"/>
      <c r="N32" s="33"/>
      <c r="O32" s="34"/>
      <c r="P32" s="35" t="str">
        <f t="shared" si="4"/>
        <v/>
      </c>
      <c r="Q32" s="36" t="str">
        <f t="shared" si="5"/>
        <v/>
      </c>
      <c r="R32" s="37"/>
      <c r="S32" s="33"/>
      <c r="T32" s="34"/>
      <c r="U32" s="35" t="str">
        <f t="shared" si="6"/>
        <v/>
      </c>
      <c r="V32" s="36" t="str">
        <f t="shared" si="7"/>
        <v/>
      </c>
      <c r="W32" s="37"/>
      <c r="X32" s="33"/>
      <c r="Y32" s="34"/>
      <c r="Z32" s="35" t="str">
        <f t="shared" si="8"/>
        <v/>
      </c>
      <c r="AA32" s="36" t="str">
        <f t="shared" si="9"/>
        <v/>
      </c>
      <c r="AB32" s="37"/>
      <c r="AC32" s="33"/>
      <c r="AD32" s="34"/>
      <c r="AE32" s="35" t="str">
        <f t="shared" si="10"/>
        <v/>
      </c>
      <c r="AF32" s="36" t="str">
        <f t="shared" si="11"/>
        <v/>
      </c>
      <c r="AG32" s="37"/>
      <c r="AH32" s="33"/>
      <c r="AI32" s="34"/>
      <c r="AJ32" s="35" t="str">
        <f t="shared" si="12"/>
        <v/>
      </c>
      <c r="AK32" s="36" t="str">
        <f t="shared" si="13"/>
        <v/>
      </c>
      <c r="AL32" s="37"/>
      <c r="AM32" s="33"/>
      <c r="AN32" s="34"/>
      <c r="AO32" s="35" t="str">
        <f t="shared" si="14"/>
        <v/>
      </c>
      <c r="AP32" s="36" t="str">
        <f t="shared" si="15"/>
        <v/>
      </c>
      <c r="AQ32" s="37"/>
      <c r="AR32" s="33"/>
      <c r="AS32" s="34"/>
      <c r="AT32" s="35" t="str">
        <f t="shared" si="16"/>
        <v/>
      </c>
      <c r="AU32" s="36" t="str">
        <f t="shared" si="17"/>
        <v/>
      </c>
      <c r="AV32" s="37"/>
      <c r="AW32" s="33"/>
      <c r="AX32" s="34"/>
      <c r="AY32" s="35" t="str">
        <f t="shared" si="18"/>
        <v/>
      </c>
      <c r="AZ32" s="36" t="str">
        <f t="shared" si="19"/>
        <v/>
      </c>
      <c r="BA32" s="37"/>
      <c r="BB32" s="33"/>
      <c r="BC32" s="34"/>
      <c r="BD32" s="35" t="str">
        <f t="shared" si="20"/>
        <v/>
      </c>
      <c r="BE32" s="36" t="str">
        <f t="shared" si="21"/>
        <v/>
      </c>
      <c r="BF32" s="37"/>
      <c r="BG32" s="33"/>
      <c r="BH32" s="34"/>
      <c r="BI32" s="35" t="str">
        <f t="shared" si="22"/>
        <v/>
      </c>
      <c r="BJ32" s="36" t="str">
        <f t="shared" si="23"/>
        <v/>
      </c>
      <c r="BK32" s="37"/>
      <c r="BL32" s="33"/>
      <c r="BM32" s="34"/>
      <c r="BN32" s="35" t="str">
        <f t="shared" si="24"/>
        <v/>
      </c>
      <c r="BO32" s="36" t="str">
        <f t="shared" si="25"/>
        <v/>
      </c>
      <c r="BP32" s="37"/>
      <c r="BQ32" s="33"/>
      <c r="BR32" s="34"/>
      <c r="BS32" s="35" t="str">
        <f t="shared" si="26"/>
        <v/>
      </c>
      <c r="BT32" s="36" t="str">
        <f t="shared" si="27"/>
        <v/>
      </c>
      <c r="BU32" s="37"/>
      <c r="BV32" s="33"/>
      <c r="BW32" s="34"/>
      <c r="BX32" s="35" t="str">
        <f t="shared" si="28"/>
        <v/>
      </c>
      <c r="BY32" s="36" t="str">
        <f t="shared" si="29"/>
        <v/>
      </c>
      <c r="BZ32" s="37"/>
      <c r="CA32" s="33"/>
      <c r="CB32" s="34"/>
      <c r="CC32" s="35" t="str">
        <f t="shared" si="30"/>
        <v/>
      </c>
      <c r="CD32" s="36" t="str">
        <f t="shared" si="31"/>
        <v/>
      </c>
      <c r="CE32" s="37"/>
      <c r="CF32" s="33"/>
      <c r="CG32" s="34"/>
      <c r="CH32" s="35" t="str">
        <f t="shared" si="32"/>
        <v/>
      </c>
      <c r="CI32" s="36" t="str">
        <f t="shared" si="33"/>
        <v/>
      </c>
      <c r="CJ32" s="37"/>
      <c r="CK32" s="33"/>
      <c r="CL32" s="34"/>
      <c r="CM32" s="35" t="str">
        <f t="shared" si="34"/>
        <v/>
      </c>
      <c r="CN32" s="36" t="str">
        <f t="shared" si="35"/>
        <v/>
      </c>
      <c r="CO32" s="37"/>
      <c r="CP32" s="33"/>
      <c r="CQ32" s="34"/>
      <c r="CR32" s="35" t="str">
        <f t="shared" si="36"/>
        <v/>
      </c>
      <c r="CS32" s="36" t="str">
        <f t="shared" si="37"/>
        <v/>
      </c>
      <c r="CT32" s="37"/>
      <c r="CU32" s="33"/>
      <c r="CV32" s="34"/>
      <c r="CW32" s="35" t="str">
        <f t="shared" si="38"/>
        <v/>
      </c>
      <c r="CX32" s="36" t="str">
        <f t="shared" si="39"/>
        <v/>
      </c>
      <c r="CY32" s="37"/>
      <c r="CZ32" s="33"/>
      <c r="DA32" s="34"/>
      <c r="DB32" s="35" t="str">
        <f t="shared" si="40"/>
        <v/>
      </c>
      <c r="DC32" s="36" t="str">
        <f t="shared" si="41"/>
        <v/>
      </c>
      <c r="DD32" s="37"/>
      <c r="DE32" s="33"/>
      <c r="DF32" s="34"/>
      <c r="DG32" s="35" t="str">
        <f t="shared" si="42"/>
        <v/>
      </c>
      <c r="DH32" s="36" t="str">
        <f t="shared" si="43"/>
        <v/>
      </c>
      <c r="DI32" s="37"/>
      <c r="DJ32" s="33"/>
      <c r="DK32" s="34"/>
      <c r="DL32" s="35" t="str">
        <f t="shared" si="44"/>
        <v/>
      </c>
      <c r="DM32" s="36" t="str">
        <f t="shared" si="45"/>
        <v/>
      </c>
      <c r="DN32" s="37"/>
      <c r="DO32" s="33"/>
      <c r="DP32" s="34"/>
      <c r="DQ32" s="35" t="str">
        <f t="shared" si="46"/>
        <v/>
      </c>
      <c r="DR32" s="36" t="str">
        <f t="shared" si="47"/>
        <v/>
      </c>
      <c r="DS32" s="37"/>
      <c r="DT32" s="33"/>
      <c r="DU32" s="34"/>
      <c r="DV32" s="35" t="str">
        <f t="shared" si="48"/>
        <v/>
      </c>
      <c r="DW32" s="36" t="str">
        <f t="shared" si="49"/>
        <v/>
      </c>
      <c r="DX32" s="37"/>
      <c r="DY32" s="33"/>
      <c r="DZ32" s="34"/>
      <c r="EA32" s="35" t="str">
        <f t="shared" si="50"/>
        <v/>
      </c>
      <c r="EB32" s="36" t="str">
        <f t="shared" si="51"/>
        <v/>
      </c>
      <c r="EC32" s="37"/>
      <c r="ED32" s="33"/>
      <c r="EE32" s="34"/>
      <c r="EF32" s="35" t="str">
        <f t="shared" si="52"/>
        <v/>
      </c>
      <c r="EG32" s="36" t="str">
        <f t="shared" si="53"/>
        <v/>
      </c>
      <c r="EH32" s="37"/>
      <c r="EI32" s="33"/>
      <c r="EJ32" s="34"/>
      <c r="EK32" s="35" t="str">
        <f t="shared" si="54"/>
        <v/>
      </c>
      <c r="EL32" s="36" t="str">
        <f t="shared" si="55"/>
        <v/>
      </c>
      <c r="EM32" s="37"/>
      <c r="EN32" s="33"/>
      <c r="EO32" s="34"/>
      <c r="EP32" s="35" t="str">
        <f t="shared" si="56"/>
        <v/>
      </c>
      <c r="EQ32" s="36" t="str">
        <f t="shared" si="57"/>
        <v/>
      </c>
      <c r="ER32" s="37"/>
      <c r="ES32" s="33"/>
      <c r="ET32" s="34"/>
      <c r="EU32" s="35" t="str">
        <f t="shared" si="58"/>
        <v/>
      </c>
      <c r="EV32" s="36" t="str">
        <f t="shared" si="59"/>
        <v/>
      </c>
      <c r="EW32" s="37"/>
    </row>
    <row r="33" spans="1:153" ht="19.5" customHeight="1">
      <c r="A33" s="32">
        <f>IF(DAY(DATE(対象年度,12,30))&lt;&gt;30,"",30)</f>
        <v>30</v>
      </c>
      <c r="B33" s="32" t="str">
        <f>IF(DAY(DATE(対象年度,12,30))&lt;&gt;30,"",CHOOSE(WEEKDAY(DATE(対象年度,12,30),2),"月","火","水","木","金","土","日"))</f>
        <v>水</v>
      </c>
      <c r="C33" s="32" t="str">
        <f>IF(DAY(DATE(対象年度,12,30))&lt;&gt;30,"",IF(ISNUMBER(MATCH(DATE(対象年度,12,30),祝日リスト,0)),"祝",""))</f>
        <v/>
      </c>
      <c r="D33" s="33"/>
      <c r="E33" s="34"/>
      <c r="F33" s="35" t="str">
        <f t="shared" si="0"/>
        <v/>
      </c>
      <c r="G33" s="36" t="str">
        <f t="shared" si="1"/>
        <v/>
      </c>
      <c r="H33" s="37"/>
      <c r="I33" s="33"/>
      <c r="J33" s="34"/>
      <c r="K33" s="35" t="str">
        <f t="shared" si="2"/>
        <v/>
      </c>
      <c r="L33" s="36" t="str">
        <f t="shared" si="3"/>
        <v/>
      </c>
      <c r="M33" s="37"/>
      <c r="N33" s="33"/>
      <c r="O33" s="34"/>
      <c r="P33" s="35" t="str">
        <f t="shared" si="4"/>
        <v/>
      </c>
      <c r="Q33" s="36" t="str">
        <f t="shared" si="5"/>
        <v/>
      </c>
      <c r="R33" s="37"/>
      <c r="S33" s="33"/>
      <c r="T33" s="34"/>
      <c r="U33" s="35" t="str">
        <f t="shared" si="6"/>
        <v/>
      </c>
      <c r="V33" s="36" t="str">
        <f t="shared" si="7"/>
        <v/>
      </c>
      <c r="W33" s="37"/>
      <c r="X33" s="33"/>
      <c r="Y33" s="34"/>
      <c r="Z33" s="35" t="str">
        <f t="shared" si="8"/>
        <v/>
      </c>
      <c r="AA33" s="36" t="str">
        <f t="shared" si="9"/>
        <v/>
      </c>
      <c r="AB33" s="37"/>
      <c r="AC33" s="33"/>
      <c r="AD33" s="34"/>
      <c r="AE33" s="35" t="str">
        <f t="shared" si="10"/>
        <v/>
      </c>
      <c r="AF33" s="36" t="str">
        <f t="shared" si="11"/>
        <v/>
      </c>
      <c r="AG33" s="37"/>
      <c r="AH33" s="33"/>
      <c r="AI33" s="34"/>
      <c r="AJ33" s="35" t="str">
        <f t="shared" si="12"/>
        <v/>
      </c>
      <c r="AK33" s="36" t="str">
        <f t="shared" si="13"/>
        <v/>
      </c>
      <c r="AL33" s="37"/>
      <c r="AM33" s="33"/>
      <c r="AN33" s="34"/>
      <c r="AO33" s="35" t="str">
        <f t="shared" si="14"/>
        <v/>
      </c>
      <c r="AP33" s="36" t="str">
        <f t="shared" si="15"/>
        <v/>
      </c>
      <c r="AQ33" s="37"/>
      <c r="AR33" s="33"/>
      <c r="AS33" s="34"/>
      <c r="AT33" s="35" t="str">
        <f t="shared" si="16"/>
        <v/>
      </c>
      <c r="AU33" s="36" t="str">
        <f t="shared" si="17"/>
        <v/>
      </c>
      <c r="AV33" s="37"/>
      <c r="AW33" s="33"/>
      <c r="AX33" s="34"/>
      <c r="AY33" s="35" t="str">
        <f t="shared" si="18"/>
        <v/>
      </c>
      <c r="AZ33" s="36" t="str">
        <f t="shared" si="19"/>
        <v/>
      </c>
      <c r="BA33" s="37"/>
      <c r="BB33" s="33"/>
      <c r="BC33" s="34"/>
      <c r="BD33" s="35" t="str">
        <f t="shared" si="20"/>
        <v/>
      </c>
      <c r="BE33" s="36" t="str">
        <f t="shared" si="21"/>
        <v/>
      </c>
      <c r="BF33" s="37"/>
      <c r="BG33" s="33"/>
      <c r="BH33" s="34"/>
      <c r="BI33" s="35" t="str">
        <f t="shared" si="22"/>
        <v/>
      </c>
      <c r="BJ33" s="36" t="str">
        <f t="shared" si="23"/>
        <v/>
      </c>
      <c r="BK33" s="37"/>
      <c r="BL33" s="33"/>
      <c r="BM33" s="34"/>
      <c r="BN33" s="35" t="str">
        <f t="shared" si="24"/>
        <v/>
      </c>
      <c r="BO33" s="36" t="str">
        <f t="shared" si="25"/>
        <v/>
      </c>
      <c r="BP33" s="37"/>
      <c r="BQ33" s="33"/>
      <c r="BR33" s="34"/>
      <c r="BS33" s="35" t="str">
        <f t="shared" si="26"/>
        <v/>
      </c>
      <c r="BT33" s="36" t="str">
        <f t="shared" si="27"/>
        <v/>
      </c>
      <c r="BU33" s="37"/>
      <c r="BV33" s="33"/>
      <c r="BW33" s="34"/>
      <c r="BX33" s="35" t="str">
        <f t="shared" si="28"/>
        <v/>
      </c>
      <c r="BY33" s="36" t="str">
        <f t="shared" si="29"/>
        <v/>
      </c>
      <c r="BZ33" s="37"/>
      <c r="CA33" s="33"/>
      <c r="CB33" s="34"/>
      <c r="CC33" s="35" t="str">
        <f t="shared" si="30"/>
        <v/>
      </c>
      <c r="CD33" s="36" t="str">
        <f t="shared" si="31"/>
        <v/>
      </c>
      <c r="CE33" s="37"/>
      <c r="CF33" s="33"/>
      <c r="CG33" s="34"/>
      <c r="CH33" s="35" t="str">
        <f t="shared" si="32"/>
        <v/>
      </c>
      <c r="CI33" s="36" t="str">
        <f t="shared" si="33"/>
        <v/>
      </c>
      <c r="CJ33" s="37"/>
      <c r="CK33" s="33"/>
      <c r="CL33" s="34"/>
      <c r="CM33" s="35" t="str">
        <f t="shared" si="34"/>
        <v/>
      </c>
      <c r="CN33" s="36" t="str">
        <f t="shared" si="35"/>
        <v/>
      </c>
      <c r="CO33" s="37"/>
      <c r="CP33" s="33"/>
      <c r="CQ33" s="34"/>
      <c r="CR33" s="35" t="str">
        <f t="shared" si="36"/>
        <v/>
      </c>
      <c r="CS33" s="36" t="str">
        <f t="shared" si="37"/>
        <v/>
      </c>
      <c r="CT33" s="37"/>
      <c r="CU33" s="33"/>
      <c r="CV33" s="34"/>
      <c r="CW33" s="35" t="str">
        <f t="shared" si="38"/>
        <v/>
      </c>
      <c r="CX33" s="36" t="str">
        <f t="shared" si="39"/>
        <v/>
      </c>
      <c r="CY33" s="37"/>
      <c r="CZ33" s="33"/>
      <c r="DA33" s="34"/>
      <c r="DB33" s="35" t="str">
        <f t="shared" si="40"/>
        <v/>
      </c>
      <c r="DC33" s="36" t="str">
        <f t="shared" si="41"/>
        <v/>
      </c>
      <c r="DD33" s="37"/>
      <c r="DE33" s="33"/>
      <c r="DF33" s="34"/>
      <c r="DG33" s="35" t="str">
        <f t="shared" si="42"/>
        <v/>
      </c>
      <c r="DH33" s="36" t="str">
        <f t="shared" si="43"/>
        <v/>
      </c>
      <c r="DI33" s="37"/>
      <c r="DJ33" s="33"/>
      <c r="DK33" s="34"/>
      <c r="DL33" s="35" t="str">
        <f t="shared" si="44"/>
        <v/>
      </c>
      <c r="DM33" s="36" t="str">
        <f t="shared" si="45"/>
        <v/>
      </c>
      <c r="DN33" s="37"/>
      <c r="DO33" s="33"/>
      <c r="DP33" s="34"/>
      <c r="DQ33" s="35" t="str">
        <f t="shared" si="46"/>
        <v/>
      </c>
      <c r="DR33" s="36" t="str">
        <f t="shared" si="47"/>
        <v/>
      </c>
      <c r="DS33" s="37"/>
      <c r="DT33" s="33"/>
      <c r="DU33" s="34"/>
      <c r="DV33" s="35" t="str">
        <f t="shared" si="48"/>
        <v/>
      </c>
      <c r="DW33" s="36" t="str">
        <f t="shared" si="49"/>
        <v/>
      </c>
      <c r="DX33" s="37"/>
      <c r="DY33" s="33"/>
      <c r="DZ33" s="34"/>
      <c r="EA33" s="35" t="str">
        <f t="shared" si="50"/>
        <v/>
      </c>
      <c r="EB33" s="36" t="str">
        <f t="shared" si="51"/>
        <v/>
      </c>
      <c r="EC33" s="37"/>
      <c r="ED33" s="33"/>
      <c r="EE33" s="34"/>
      <c r="EF33" s="35" t="str">
        <f t="shared" si="52"/>
        <v/>
      </c>
      <c r="EG33" s="36" t="str">
        <f t="shared" si="53"/>
        <v/>
      </c>
      <c r="EH33" s="37"/>
      <c r="EI33" s="33"/>
      <c r="EJ33" s="34"/>
      <c r="EK33" s="35" t="str">
        <f t="shared" si="54"/>
        <v/>
      </c>
      <c r="EL33" s="36" t="str">
        <f t="shared" si="55"/>
        <v/>
      </c>
      <c r="EM33" s="37"/>
      <c r="EN33" s="33"/>
      <c r="EO33" s="34"/>
      <c r="EP33" s="35" t="str">
        <f t="shared" si="56"/>
        <v/>
      </c>
      <c r="EQ33" s="36" t="str">
        <f t="shared" si="57"/>
        <v/>
      </c>
      <c r="ER33" s="37"/>
      <c r="ES33" s="33"/>
      <c r="ET33" s="34"/>
      <c r="EU33" s="35" t="str">
        <f t="shared" si="58"/>
        <v/>
      </c>
      <c r="EV33" s="36" t="str">
        <f t="shared" si="59"/>
        <v/>
      </c>
      <c r="EW33" s="37"/>
    </row>
    <row r="34" spans="1:153" ht="19.5" customHeight="1">
      <c r="A34" s="39">
        <f>IF(DAY(DATE(対象年度,12,31))&lt;&gt;31,"",31)</f>
        <v>31</v>
      </c>
      <c r="B34" s="39" t="str">
        <f>IF(DAY(DATE(対象年度,12,31))&lt;&gt;31,"",CHOOSE(WEEKDAY(DATE(対象年度,12,31),2),"月","火","水","木","金","土","日"))</f>
        <v>木</v>
      </c>
      <c r="C34" s="39" t="str">
        <f>IF(DAY(DATE(対象年度,12,31))&lt;&gt;31,"",IF(ISNUMBER(MATCH(DATE(対象年度,12,31),祝日リスト,0)),"祝",""))</f>
        <v/>
      </c>
      <c r="D34" s="40"/>
      <c r="E34" s="41"/>
      <c r="F34" s="42" t="str">
        <f t="shared" si="0"/>
        <v/>
      </c>
      <c r="G34" s="43" t="str">
        <f t="shared" si="1"/>
        <v/>
      </c>
      <c r="H34" s="44"/>
      <c r="I34" s="40"/>
      <c r="J34" s="41"/>
      <c r="K34" s="42" t="str">
        <f t="shared" si="2"/>
        <v/>
      </c>
      <c r="L34" s="43" t="str">
        <f t="shared" si="3"/>
        <v/>
      </c>
      <c r="M34" s="44"/>
      <c r="N34" s="40"/>
      <c r="O34" s="41"/>
      <c r="P34" s="42" t="str">
        <f t="shared" si="4"/>
        <v/>
      </c>
      <c r="Q34" s="43" t="str">
        <f t="shared" si="5"/>
        <v/>
      </c>
      <c r="R34" s="44"/>
      <c r="S34" s="40"/>
      <c r="T34" s="41"/>
      <c r="U34" s="42" t="str">
        <f t="shared" si="6"/>
        <v/>
      </c>
      <c r="V34" s="43" t="str">
        <f t="shared" si="7"/>
        <v/>
      </c>
      <c r="W34" s="44"/>
      <c r="X34" s="40"/>
      <c r="Y34" s="41"/>
      <c r="Z34" s="42" t="str">
        <f t="shared" si="8"/>
        <v/>
      </c>
      <c r="AA34" s="43" t="str">
        <f t="shared" si="9"/>
        <v/>
      </c>
      <c r="AB34" s="44"/>
      <c r="AC34" s="40"/>
      <c r="AD34" s="41"/>
      <c r="AE34" s="42" t="str">
        <f t="shared" si="10"/>
        <v/>
      </c>
      <c r="AF34" s="43" t="str">
        <f t="shared" si="11"/>
        <v/>
      </c>
      <c r="AG34" s="44"/>
      <c r="AH34" s="40"/>
      <c r="AI34" s="41"/>
      <c r="AJ34" s="42" t="str">
        <f t="shared" si="12"/>
        <v/>
      </c>
      <c r="AK34" s="43" t="str">
        <f t="shared" si="13"/>
        <v/>
      </c>
      <c r="AL34" s="44"/>
      <c r="AM34" s="40"/>
      <c r="AN34" s="41"/>
      <c r="AO34" s="42" t="str">
        <f t="shared" si="14"/>
        <v/>
      </c>
      <c r="AP34" s="43" t="str">
        <f t="shared" si="15"/>
        <v/>
      </c>
      <c r="AQ34" s="44"/>
      <c r="AR34" s="40"/>
      <c r="AS34" s="41"/>
      <c r="AT34" s="42" t="str">
        <f t="shared" si="16"/>
        <v/>
      </c>
      <c r="AU34" s="43" t="str">
        <f t="shared" si="17"/>
        <v/>
      </c>
      <c r="AV34" s="44"/>
      <c r="AW34" s="40"/>
      <c r="AX34" s="41"/>
      <c r="AY34" s="42" t="str">
        <f t="shared" si="18"/>
        <v/>
      </c>
      <c r="AZ34" s="43" t="str">
        <f t="shared" si="19"/>
        <v/>
      </c>
      <c r="BA34" s="44"/>
      <c r="BB34" s="40"/>
      <c r="BC34" s="41"/>
      <c r="BD34" s="42" t="str">
        <f t="shared" si="20"/>
        <v/>
      </c>
      <c r="BE34" s="43" t="str">
        <f t="shared" si="21"/>
        <v/>
      </c>
      <c r="BF34" s="44"/>
      <c r="BG34" s="40"/>
      <c r="BH34" s="41"/>
      <c r="BI34" s="42" t="str">
        <f t="shared" si="22"/>
        <v/>
      </c>
      <c r="BJ34" s="43" t="str">
        <f t="shared" si="23"/>
        <v/>
      </c>
      <c r="BK34" s="44"/>
      <c r="BL34" s="40"/>
      <c r="BM34" s="41"/>
      <c r="BN34" s="42" t="str">
        <f t="shared" si="24"/>
        <v/>
      </c>
      <c r="BO34" s="43" t="str">
        <f t="shared" si="25"/>
        <v/>
      </c>
      <c r="BP34" s="44"/>
      <c r="BQ34" s="40"/>
      <c r="BR34" s="41"/>
      <c r="BS34" s="42" t="str">
        <f t="shared" si="26"/>
        <v/>
      </c>
      <c r="BT34" s="43" t="str">
        <f t="shared" si="27"/>
        <v/>
      </c>
      <c r="BU34" s="44"/>
      <c r="BV34" s="40"/>
      <c r="BW34" s="41"/>
      <c r="BX34" s="42" t="str">
        <f t="shared" si="28"/>
        <v/>
      </c>
      <c r="BY34" s="43" t="str">
        <f t="shared" si="29"/>
        <v/>
      </c>
      <c r="BZ34" s="44"/>
      <c r="CA34" s="40"/>
      <c r="CB34" s="41"/>
      <c r="CC34" s="42" t="str">
        <f t="shared" si="30"/>
        <v/>
      </c>
      <c r="CD34" s="43" t="str">
        <f t="shared" si="31"/>
        <v/>
      </c>
      <c r="CE34" s="44"/>
      <c r="CF34" s="40"/>
      <c r="CG34" s="41"/>
      <c r="CH34" s="42" t="str">
        <f t="shared" si="32"/>
        <v/>
      </c>
      <c r="CI34" s="43" t="str">
        <f t="shared" si="33"/>
        <v/>
      </c>
      <c r="CJ34" s="44"/>
      <c r="CK34" s="40"/>
      <c r="CL34" s="41"/>
      <c r="CM34" s="42" t="str">
        <f t="shared" si="34"/>
        <v/>
      </c>
      <c r="CN34" s="43" t="str">
        <f t="shared" si="35"/>
        <v/>
      </c>
      <c r="CO34" s="44"/>
      <c r="CP34" s="40"/>
      <c r="CQ34" s="41"/>
      <c r="CR34" s="42" t="str">
        <f t="shared" si="36"/>
        <v/>
      </c>
      <c r="CS34" s="43" t="str">
        <f t="shared" si="37"/>
        <v/>
      </c>
      <c r="CT34" s="44"/>
      <c r="CU34" s="40"/>
      <c r="CV34" s="41"/>
      <c r="CW34" s="42" t="str">
        <f t="shared" si="38"/>
        <v/>
      </c>
      <c r="CX34" s="43" t="str">
        <f t="shared" si="39"/>
        <v/>
      </c>
      <c r="CY34" s="44"/>
      <c r="CZ34" s="40"/>
      <c r="DA34" s="41"/>
      <c r="DB34" s="42" t="str">
        <f t="shared" si="40"/>
        <v/>
      </c>
      <c r="DC34" s="43" t="str">
        <f t="shared" si="41"/>
        <v/>
      </c>
      <c r="DD34" s="44"/>
      <c r="DE34" s="40"/>
      <c r="DF34" s="41"/>
      <c r="DG34" s="42" t="str">
        <f t="shared" si="42"/>
        <v/>
      </c>
      <c r="DH34" s="43" t="str">
        <f t="shared" si="43"/>
        <v/>
      </c>
      <c r="DI34" s="44"/>
      <c r="DJ34" s="40"/>
      <c r="DK34" s="41"/>
      <c r="DL34" s="42" t="str">
        <f t="shared" si="44"/>
        <v/>
      </c>
      <c r="DM34" s="43" t="str">
        <f t="shared" si="45"/>
        <v/>
      </c>
      <c r="DN34" s="44"/>
      <c r="DO34" s="40"/>
      <c r="DP34" s="41"/>
      <c r="DQ34" s="42" t="str">
        <f t="shared" si="46"/>
        <v/>
      </c>
      <c r="DR34" s="43" t="str">
        <f t="shared" si="47"/>
        <v/>
      </c>
      <c r="DS34" s="44"/>
      <c r="DT34" s="40"/>
      <c r="DU34" s="41"/>
      <c r="DV34" s="42" t="str">
        <f t="shared" si="48"/>
        <v/>
      </c>
      <c r="DW34" s="43" t="str">
        <f t="shared" si="49"/>
        <v/>
      </c>
      <c r="DX34" s="44"/>
      <c r="DY34" s="40"/>
      <c r="DZ34" s="41"/>
      <c r="EA34" s="42" t="str">
        <f t="shared" si="50"/>
        <v/>
      </c>
      <c r="EB34" s="43" t="str">
        <f t="shared" si="51"/>
        <v/>
      </c>
      <c r="EC34" s="44"/>
      <c r="ED34" s="40"/>
      <c r="EE34" s="41"/>
      <c r="EF34" s="42" t="str">
        <f t="shared" si="52"/>
        <v/>
      </c>
      <c r="EG34" s="43" t="str">
        <f t="shared" si="53"/>
        <v/>
      </c>
      <c r="EH34" s="44"/>
      <c r="EI34" s="40"/>
      <c r="EJ34" s="41"/>
      <c r="EK34" s="42" t="str">
        <f t="shared" si="54"/>
        <v/>
      </c>
      <c r="EL34" s="43" t="str">
        <f t="shared" si="55"/>
        <v/>
      </c>
      <c r="EM34" s="44"/>
      <c r="EN34" s="40"/>
      <c r="EO34" s="41"/>
      <c r="EP34" s="42" t="str">
        <f t="shared" si="56"/>
        <v/>
      </c>
      <c r="EQ34" s="43" t="str">
        <f t="shared" si="57"/>
        <v/>
      </c>
      <c r="ER34" s="44"/>
      <c r="ES34" s="40"/>
      <c r="ET34" s="41"/>
      <c r="EU34" s="42" t="str">
        <f t="shared" si="58"/>
        <v/>
      </c>
      <c r="EV34" s="43" t="str">
        <f t="shared" si="59"/>
        <v/>
      </c>
      <c r="EW34" s="44"/>
    </row>
    <row r="35" spans="1:153" ht="21.75" customHeight="1">
      <c r="A35" s="98" t="s">
        <v>120</v>
      </c>
      <c r="B35" s="98"/>
      <c r="C35" s="98"/>
      <c r="D35" s="99">
        <f>COUNTIF(F4:F34,"○")</f>
        <v>0</v>
      </c>
      <c r="E35" s="99"/>
      <c r="F35" s="99"/>
      <c r="G35" s="99"/>
      <c r="H35" s="99"/>
      <c r="I35" s="99">
        <f>COUNTIF(K4:K34,"○")</f>
        <v>0</v>
      </c>
      <c r="J35" s="99"/>
      <c r="K35" s="99"/>
      <c r="L35" s="99"/>
      <c r="M35" s="99"/>
      <c r="N35" s="99">
        <f>COUNTIF(P4:P34,"○")</f>
        <v>0</v>
      </c>
      <c r="O35" s="99"/>
      <c r="P35" s="99"/>
      <c r="Q35" s="99"/>
      <c r="R35" s="99"/>
      <c r="S35" s="99">
        <f>COUNTIF(U4:U34,"○")</f>
        <v>0</v>
      </c>
      <c r="T35" s="99"/>
      <c r="U35" s="99"/>
      <c r="V35" s="99"/>
      <c r="W35" s="99"/>
      <c r="X35" s="99">
        <f>COUNTIF(Z4:Z34,"○")</f>
        <v>0</v>
      </c>
      <c r="Y35" s="99"/>
      <c r="Z35" s="99"/>
      <c r="AA35" s="99"/>
      <c r="AB35" s="99"/>
      <c r="AC35" s="99">
        <f>COUNTIF(AE4:AE34,"○")</f>
        <v>0</v>
      </c>
      <c r="AD35" s="99"/>
      <c r="AE35" s="99"/>
      <c r="AF35" s="99"/>
      <c r="AG35" s="99"/>
      <c r="AH35" s="99">
        <f>COUNTIF(AJ4:AJ34,"○")</f>
        <v>0</v>
      </c>
      <c r="AI35" s="99"/>
      <c r="AJ35" s="99"/>
      <c r="AK35" s="99"/>
      <c r="AL35" s="99"/>
      <c r="AM35" s="99">
        <f>COUNTIF(AO4:AO34,"○")</f>
        <v>0</v>
      </c>
      <c r="AN35" s="99"/>
      <c r="AO35" s="99"/>
      <c r="AP35" s="99"/>
      <c r="AQ35" s="99"/>
      <c r="AR35" s="99">
        <f>COUNTIF(AT4:AT34,"○")</f>
        <v>0</v>
      </c>
      <c r="AS35" s="99"/>
      <c r="AT35" s="99"/>
      <c r="AU35" s="99"/>
      <c r="AV35" s="99"/>
      <c r="AW35" s="99">
        <f>COUNTIF(AY4:AY34,"○")</f>
        <v>0</v>
      </c>
      <c r="AX35" s="99"/>
      <c r="AY35" s="99"/>
      <c r="AZ35" s="99"/>
      <c r="BA35" s="99"/>
      <c r="BB35" s="99">
        <f>COUNTIF(BD4:BD34,"○")</f>
        <v>0</v>
      </c>
      <c r="BC35" s="99"/>
      <c r="BD35" s="99"/>
      <c r="BE35" s="99"/>
      <c r="BF35" s="99"/>
      <c r="BG35" s="99">
        <f>COUNTIF(BI4:BI34,"○")</f>
        <v>0</v>
      </c>
      <c r="BH35" s="99"/>
      <c r="BI35" s="99"/>
      <c r="BJ35" s="99"/>
      <c r="BK35" s="99"/>
      <c r="BL35" s="99">
        <f>COUNTIF(BN4:BN34,"○")</f>
        <v>0</v>
      </c>
      <c r="BM35" s="99"/>
      <c r="BN35" s="99"/>
      <c r="BO35" s="99"/>
      <c r="BP35" s="99"/>
      <c r="BQ35" s="99">
        <f>COUNTIF(BS4:BS34,"○")</f>
        <v>0</v>
      </c>
      <c r="BR35" s="99"/>
      <c r="BS35" s="99"/>
      <c r="BT35" s="99"/>
      <c r="BU35" s="99"/>
      <c r="BV35" s="99">
        <f>COUNTIF(BX4:BX34,"○")</f>
        <v>0</v>
      </c>
      <c r="BW35" s="99"/>
      <c r="BX35" s="99"/>
      <c r="BY35" s="99"/>
      <c r="BZ35" s="99"/>
      <c r="CA35" s="99">
        <f>COUNTIF(CC4:CC34,"○")</f>
        <v>0</v>
      </c>
      <c r="CB35" s="99"/>
      <c r="CC35" s="99"/>
      <c r="CD35" s="99"/>
      <c r="CE35" s="99"/>
      <c r="CF35" s="99">
        <f>COUNTIF(CH4:CH34,"○")</f>
        <v>0</v>
      </c>
      <c r="CG35" s="99"/>
      <c r="CH35" s="99"/>
      <c r="CI35" s="99"/>
      <c r="CJ35" s="99"/>
      <c r="CK35" s="99">
        <f>COUNTIF(CM4:CM34,"○")</f>
        <v>0</v>
      </c>
      <c r="CL35" s="99"/>
      <c r="CM35" s="99"/>
      <c r="CN35" s="99"/>
      <c r="CO35" s="99"/>
      <c r="CP35" s="99">
        <f>COUNTIF(CR4:CR34,"○")</f>
        <v>0</v>
      </c>
      <c r="CQ35" s="99"/>
      <c r="CR35" s="99"/>
      <c r="CS35" s="99"/>
      <c r="CT35" s="99"/>
      <c r="CU35" s="99">
        <f>COUNTIF(CW4:CW34,"○")</f>
        <v>0</v>
      </c>
      <c r="CV35" s="99"/>
      <c r="CW35" s="99"/>
      <c r="CX35" s="99"/>
      <c r="CY35" s="99"/>
      <c r="CZ35" s="99">
        <f>COUNTIF(DB4:DB34,"○")</f>
        <v>0</v>
      </c>
      <c r="DA35" s="99"/>
      <c r="DB35" s="99"/>
      <c r="DC35" s="99"/>
      <c r="DD35" s="99"/>
      <c r="DE35" s="99">
        <f>COUNTIF(DG4:DG34,"○")</f>
        <v>0</v>
      </c>
      <c r="DF35" s="99"/>
      <c r="DG35" s="99"/>
      <c r="DH35" s="99"/>
      <c r="DI35" s="99"/>
      <c r="DJ35" s="99">
        <f>COUNTIF(DL4:DL34,"○")</f>
        <v>0</v>
      </c>
      <c r="DK35" s="99"/>
      <c r="DL35" s="99"/>
      <c r="DM35" s="99"/>
      <c r="DN35" s="99"/>
      <c r="DO35" s="99">
        <f>COUNTIF(DQ4:DQ34,"○")</f>
        <v>0</v>
      </c>
      <c r="DP35" s="99"/>
      <c r="DQ35" s="99"/>
      <c r="DR35" s="99"/>
      <c r="DS35" s="99"/>
      <c r="DT35" s="99">
        <f>COUNTIF(DV4:DV34,"○")</f>
        <v>0</v>
      </c>
      <c r="DU35" s="99"/>
      <c r="DV35" s="99"/>
      <c r="DW35" s="99"/>
      <c r="DX35" s="99"/>
      <c r="DY35" s="99">
        <f>COUNTIF(EA4:EA34,"○")</f>
        <v>0</v>
      </c>
      <c r="DZ35" s="99"/>
      <c r="EA35" s="99"/>
      <c r="EB35" s="99"/>
      <c r="EC35" s="99"/>
      <c r="ED35" s="99">
        <f>COUNTIF(EF4:EF34,"○")</f>
        <v>0</v>
      </c>
      <c r="EE35" s="99"/>
      <c r="EF35" s="99"/>
      <c r="EG35" s="99"/>
      <c r="EH35" s="99"/>
      <c r="EI35" s="99">
        <f>COUNTIF(EK4:EK34,"○")</f>
        <v>0</v>
      </c>
      <c r="EJ35" s="99"/>
      <c r="EK35" s="99"/>
      <c r="EL35" s="99"/>
      <c r="EM35" s="99"/>
      <c r="EN35" s="99">
        <f>COUNTIF(EP4:EP34,"○")</f>
        <v>0</v>
      </c>
      <c r="EO35" s="99"/>
      <c r="EP35" s="99"/>
      <c r="EQ35" s="99"/>
      <c r="ER35" s="99"/>
      <c r="ES35" s="99">
        <f>COUNTIF(EU4:EU34,"○")</f>
        <v>0</v>
      </c>
      <c r="ET35" s="99"/>
      <c r="EU35" s="99"/>
      <c r="EV35" s="99"/>
      <c r="EW35" s="99"/>
    </row>
    <row r="36" spans="1:153" ht="21.75" customHeight="1">
      <c r="A36" s="100" t="s">
        <v>121</v>
      </c>
      <c r="B36" s="100"/>
      <c r="C36" s="100"/>
      <c r="D36" s="101">
        <f>COUNTIF(G4:G34,"○")</f>
        <v>0</v>
      </c>
      <c r="E36" s="101"/>
      <c r="F36" s="101"/>
      <c r="G36" s="101"/>
      <c r="H36" s="101"/>
      <c r="I36" s="101">
        <f>COUNTIF(L4:L34,"○")</f>
        <v>0</v>
      </c>
      <c r="J36" s="101"/>
      <c r="K36" s="101"/>
      <c r="L36" s="101"/>
      <c r="M36" s="101"/>
      <c r="N36" s="101">
        <f>COUNTIF(Q4:Q34,"○")</f>
        <v>0</v>
      </c>
      <c r="O36" s="101"/>
      <c r="P36" s="101"/>
      <c r="Q36" s="101"/>
      <c r="R36" s="101"/>
      <c r="S36" s="101">
        <f>COUNTIF(V4:V34,"○")</f>
        <v>0</v>
      </c>
      <c r="T36" s="101"/>
      <c r="U36" s="101"/>
      <c r="V36" s="101"/>
      <c r="W36" s="101"/>
      <c r="X36" s="101">
        <f>COUNTIF(AA4:AA34,"○")</f>
        <v>0</v>
      </c>
      <c r="Y36" s="101"/>
      <c r="Z36" s="101"/>
      <c r="AA36" s="101"/>
      <c r="AB36" s="101"/>
      <c r="AC36" s="101">
        <f>COUNTIF(AF4:AF34,"○")</f>
        <v>0</v>
      </c>
      <c r="AD36" s="101"/>
      <c r="AE36" s="101"/>
      <c r="AF36" s="101"/>
      <c r="AG36" s="101"/>
      <c r="AH36" s="101">
        <f>COUNTIF(AK4:AK34,"○")</f>
        <v>0</v>
      </c>
      <c r="AI36" s="101"/>
      <c r="AJ36" s="101"/>
      <c r="AK36" s="101"/>
      <c r="AL36" s="101"/>
      <c r="AM36" s="101">
        <f>COUNTIF(AP4:AP34,"○")</f>
        <v>0</v>
      </c>
      <c r="AN36" s="101"/>
      <c r="AO36" s="101"/>
      <c r="AP36" s="101"/>
      <c r="AQ36" s="101"/>
      <c r="AR36" s="101">
        <f>COUNTIF(AU4:AU34,"○")</f>
        <v>0</v>
      </c>
      <c r="AS36" s="101"/>
      <c r="AT36" s="101"/>
      <c r="AU36" s="101"/>
      <c r="AV36" s="101"/>
      <c r="AW36" s="101">
        <f>COUNTIF(AZ4:AZ34,"○")</f>
        <v>0</v>
      </c>
      <c r="AX36" s="101"/>
      <c r="AY36" s="101"/>
      <c r="AZ36" s="101"/>
      <c r="BA36" s="101"/>
      <c r="BB36" s="101">
        <f>COUNTIF(BE4:BE34,"○")</f>
        <v>0</v>
      </c>
      <c r="BC36" s="101"/>
      <c r="BD36" s="101"/>
      <c r="BE36" s="101"/>
      <c r="BF36" s="101"/>
      <c r="BG36" s="101">
        <f>COUNTIF(BJ4:BJ34,"○")</f>
        <v>0</v>
      </c>
      <c r="BH36" s="101"/>
      <c r="BI36" s="101"/>
      <c r="BJ36" s="101"/>
      <c r="BK36" s="101"/>
      <c r="BL36" s="101">
        <f>COUNTIF(BO4:BO34,"○")</f>
        <v>0</v>
      </c>
      <c r="BM36" s="101"/>
      <c r="BN36" s="101"/>
      <c r="BO36" s="101"/>
      <c r="BP36" s="101"/>
      <c r="BQ36" s="101">
        <f>COUNTIF(BT4:BT34,"○")</f>
        <v>0</v>
      </c>
      <c r="BR36" s="101"/>
      <c r="BS36" s="101"/>
      <c r="BT36" s="101"/>
      <c r="BU36" s="101"/>
      <c r="BV36" s="101">
        <f>COUNTIF(BY4:BY34,"○")</f>
        <v>0</v>
      </c>
      <c r="BW36" s="101"/>
      <c r="BX36" s="101"/>
      <c r="BY36" s="101"/>
      <c r="BZ36" s="101"/>
      <c r="CA36" s="101">
        <f>COUNTIF(CD4:CD34,"○")</f>
        <v>0</v>
      </c>
      <c r="CB36" s="101"/>
      <c r="CC36" s="101"/>
      <c r="CD36" s="101"/>
      <c r="CE36" s="101"/>
      <c r="CF36" s="101">
        <f>COUNTIF(CI4:CI34,"○")</f>
        <v>0</v>
      </c>
      <c r="CG36" s="101"/>
      <c r="CH36" s="101"/>
      <c r="CI36" s="101"/>
      <c r="CJ36" s="101"/>
      <c r="CK36" s="101">
        <f>COUNTIF(CN4:CN34,"○")</f>
        <v>0</v>
      </c>
      <c r="CL36" s="101"/>
      <c r="CM36" s="101"/>
      <c r="CN36" s="101"/>
      <c r="CO36" s="101"/>
      <c r="CP36" s="101">
        <f>COUNTIF(CS4:CS34,"○")</f>
        <v>0</v>
      </c>
      <c r="CQ36" s="101"/>
      <c r="CR36" s="101"/>
      <c r="CS36" s="101"/>
      <c r="CT36" s="101"/>
      <c r="CU36" s="101">
        <f>COUNTIF(CX4:CX34,"○")</f>
        <v>0</v>
      </c>
      <c r="CV36" s="101"/>
      <c r="CW36" s="101"/>
      <c r="CX36" s="101"/>
      <c r="CY36" s="101"/>
      <c r="CZ36" s="101">
        <f>COUNTIF(DC4:DC34,"○")</f>
        <v>0</v>
      </c>
      <c r="DA36" s="101"/>
      <c r="DB36" s="101"/>
      <c r="DC36" s="101"/>
      <c r="DD36" s="101"/>
      <c r="DE36" s="101">
        <f>COUNTIF(DH4:DH34,"○")</f>
        <v>0</v>
      </c>
      <c r="DF36" s="101"/>
      <c r="DG36" s="101"/>
      <c r="DH36" s="101"/>
      <c r="DI36" s="101"/>
      <c r="DJ36" s="101">
        <f>COUNTIF(DM4:DM34,"○")</f>
        <v>0</v>
      </c>
      <c r="DK36" s="101"/>
      <c r="DL36" s="101"/>
      <c r="DM36" s="101"/>
      <c r="DN36" s="101"/>
      <c r="DO36" s="101">
        <f>COUNTIF(DR4:DR34,"○")</f>
        <v>0</v>
      </c>
      <c r="DP36" s="101"/>
      <c r="DQ36" s="101"/>
      <c r="DR36" s="101"/>
      <c r="DS36" s="101"/>
      <c r="DT36" s="101">
        <f>COUNTIF(DW4:DW34,"○")</f>
        <v>0</v>
      </c>
      <c r="DU36" s="101"/>
      <c r="DV36" s="101"/>
      <c r="DW36" s="101"/>
      <c r="DX36" s="101"/>
      <c r="DY36" s="101">
        <f>COUNTIF(EB4:EB34,"○")</f>
        <v>0</v>
      </c>
      <c r="DZ36" s="101"/>
      <c r="EA36" s="101"/>
      <c r="EB36" s="101"/>
      <c r="EC36" s="101"/>
      <c r="ED36" s="101">
        <f>COUNTIF(EG4:EG34,"○")</f>
        <v>0</v>
      </c>
      <c r="EE36" s="101"/>
      <c r="EF36" s="101"/>
      <c r="EG36" s="101"/>
      <c r="EH36" s="101"/>
      <c r="EI36" s="101">
        <f>COUNTIF(EL4:EL34,"○")</f>
        <v>0</v>
      </c>
      <c r="EJ36" s="101"/>
      <c r="EK36" s="101"/>
      <c r="EL36" s="101"/>
      <c r="EM36" s="101"/>
      <c r="EN36" s="101">
        <f>COUNTIF(EQ4:EQ34,"○")</f>
        <v>0</v>
      </c>
      <c r="EO36" s="101"/>
      <c r="EP36" s="101"/>
      <c r="EQ36" s="101"/>
      <c r="ER36" s="101"/>
      <c r="ES36" s="101">
        <f>COUNTIF(EV4:EV34,"○")</f>
        <v>0</v>
      </c>
      <c r="ET36" s="101"/>
      <c r="EU36" s="101"/>
      <c r="EV36" s="101"/>
      <c r="EW36" s="101"/>
    </row>
    <row r="37" spans="1:153" ht="21.75" customHeight="1">
      <c r="A37" s="102" t="s">
        <v>122</v>
      </c>
      <c r="B37" s="102"/>
      <c r="C37" s="102"/>
      <c r="D37" s="103">
        <f>D35+D36</f>
        <v>0</v>
      </c>
      <c r="E37" s="103"/>
      <c r="F37" s="103"/>
      <c r="G37" s="103"/>
      <c r="H37" s="103"/>
      <c r="I37" s="103">
        <f>I35+I36</f>
        <v>0</v>
      </c>
      <c r="J37" s="103"/>
      <c r="K37" s="103"/>
      <c r="L37" s="103"/>
      <c r="M37" s="103"/>
      <c r="N37" s="103">
        <f>N35+N36</f>
        <v>0</v>
      </c>
      <c r="O37" s="103"/>
      <c r="P37" s="103"/>
      <c r="Q37" s="103"/>
      <c r="R37" s="103"/>
      <c r="S37" s="103">
        <f>S35+S36</f>
        <v>0</v>
      </c>
      <c r="T37" s="103"/>
      <c r="U37" s="103"/>
      <c r="V37" s="103"/>
      <c r="W37" s="103"/>
      <c r="X37" s="103">
        <f>X35+X36</f>
        <v>0</v>
      </c>
      <c r="Y37" s="103"/>
      <c r="Z37" s="103"/>
      <c r="AA37" s="103"/>
      <c r="AB37" s="103"/>
      <c r="AC37" s="103">
        <f>AC35+AC36</f>
        <v>0</v>
      </c>
      <c r="AD37" s="103"/>
      <c r="AE37" s="103"/>
      <c r="AF37" s="103"/>
      <c r="AG37" s="103"/>
      <c r="AH37" s="103">
        <f>AH35+AH36</f>
        <v>0</v>
      </c>
      <c r="AI37" s="103"/>
      <c r="AJ37" s="103"/>
      <c r="AK37" s="103"/>
      <c r="AL37" s="103"/>
      <c r="AM37" s="103">
        <f>AM35+AM36</f>
        <v>0</v>
      </c>
      <c r="AN37" s="103"/>
      <c r="AO37" s="103"/>
      <c r="AP37" s="103"/>
      <c r="AQ37" s="103"/>
      <c r="AR37" s="103">
        <f>AR35+AR36</f>
        <v>0</v>
      </c>
      <c r="AS37" s="103"/>
      <c r="AT37" s="103"/>
      <c r="AU37" s="103"/>
      <c r="AV37" s="103"/>
      <c r="AW37" s="103">
        <f>AW35+AW36</f>
        <v>0</v>
      </c>
      <c r="AX37" s="103"/>
      <c r="AY37" s="103"/>
      <c r="AZ37" s="103"/>
      <c r="BA37" s="103"/>
      <c r="BB37" s="103">
        <f>BB35+BB36</f>
        <v>0</v>
      </c>
      <c r="BC37" s="103"/>
      <c r="BD37" s="103"/>
      <c r="BE37" s="103"/>
      <c r="BF37" s="103"/>
      <c r="BG37" s="103">
        <f>BG35+BG36</f>
        <v>0</v>
      </c>
      <c r="BH37" s="103"/>
      <c r="BI37" s="103"/>
      <c r="BJ37" s="103"/>
      <c r="BK37" s="103"/>
      <c r="BL37" s="103">
        <f>BL35+BL36</f>
        <v>0</v>
      </c>
      <c r="BM37" s="103"/>
      <c r="BN37" s="103"/>
      <c r="BO37" s="103"/>
      <c r="BP37" s="103"/>
      <c r="BQ37" s="103">
        <f>BQ35+BQ36</f>
        <v>0</v>
      </c>
      <c r="BR37" s="103"/>
      <c r="BS37" s="103"/>
      <c r="BT37" s="103"/>
      <c r="BU37" s="103"/>
      <c r="BV37" s="103">
        <f>BV35+BV36</f>
        <v>0</v>
      </c>
      <c r="BW37" s="103"/>
      <c r="BX37" s="103"/>
      <c r="BY37" s="103"/>
      <c r="BZ37" s="103"/>
      <c r="CA37" s="103">
        <f>CA35+CA36</f>
        <v>0</v>
      </c>
      <c r="CB37" s="103"/>
      <c r="CC37" s="103"/>
      <c r="CD37" s="103"/>
      <c r="CE37" s="103"/>
      <c r="CF37" s="103">
        <f>CF35+CF36</f>
        <v>0</v>
      </c>
      <c r="CG37" s="103"/>
      <c r="CH37" s="103"/>
      <c r="CI37" s="103"/>
      <c r="CJ37" s="103"/>
      <c r="CK37" s="103">
        <f>CK35+CK36</f>
        <v>0</v>
      </c>
      <c r="CL37" s="103"/>
      <c r="CM37" s="103"/>
      <c r="CN37" s="103"/>
      <c r="CO37" s="103"/>
      <c r="CP37" s="103">
        <f>CP35+CP36</f>
        <v>0</v>
      </c>
      <c r="CQ37" s="103"/>
      <c r="CR37" s="103"/>
      <c r="CS37" s="103"/>
      <c r="CT37" s="103"/>
      <c r="CU37" s="103">
        <f>CU35+CU36</f>
        <v>0</v>
      </c>
      <c r="CV37" s="103"/>
      <c r="CW37" s="103"/>
      <c r="CX37" s="103"/>
      <c r="CY37" s="103"/>
      <c r="CZ37" s="103">
        <f>CZ35+CZ36</f>
        <v>0</v>
      </c>
      <c r="DA37" s="103"/>
      <c r="DB37" s="103"/>
      <c r="DC37" s="103"/>
      <c r="DD37" s="103"/>
      <c r="DE37" s="103">
        <f>DE35+DE36</f>
        <v>0</v>
      </c>
      <c r="DF37" s="103"/>
      <c r="DG37" s="103"/>
      <c r="DH37" s="103"/>
      <c r="DI37" s="103"/>
      <c r="DJ37" s="103">
        <f>DJ35+DJ36</f>
        <v>0</v>
      </c>
      <c r="DK37" s="103"/>
      <c r="DL37" s="103"/>
      <c r="DM37" s="103"/>
      <c r="DN37" s="103"/>
      <c r="DO37" s="103">
        <f>DO35+DO36</f>
        <v>0</v>
      </c>
      <c r="DP37" s="103"/>
      <c r="DQ37" s="103"/>
      <c r="DR37" s="103"/>
      <c r="DS37" s="103"/>
      <c r="DT37" s="103">
        <f>DT35+DT36</f>
        <v>0</v>
      </c>
      <c r="DU37" s="103"/>
      <c r="DV37" s="103"/>
      <c r="DW37" s="103"/>
      <c r="DX37" s="103"/>
      <c r="DY37" s="103">
        <f>DY35+DY36</f>
        <v>0</v>
      </c>
      <c r="DZ37" s="103"/>
      <c r="EA37" s="103"/>
      <c r="EB37" s="103"/>
      <c r="EC37" s="103"/>
      <c r="ED37" s="103">
        <f>ED35+ED36</f>
        <v>0</v>
      </c>
      <c r="EE37" s="103"/>
      <c r="EF37" s="103"/>
      <c r="EG37" s="103"/>
      <c r="EH37" s="103"/>
      <c r="EI37" s="103">
        <f>EI35+EI36</f>
        <v>0</v>
      </c>
      <c r="EJ37" s="103"/>
      <c r="EK37" s="103"/>
      <c r="EL37" s="103"/>
      <c r="EM37" s="103"/>
      <c r="EN37" s="103">
        <f>EN35+EN36</f>
        <v>0</v>
      </c>
      <c r="EO37" s="103"/>
      <c r="EP37" s="103"/>
      <c r="EQ37" s="103"/>
      <c r="ER37" s="103"/>
      <c r="ES37" s="103">
        <f>ES35+ES36</f>
        <v>0</v>
      </c>
      <c r="ET37" s="103"/>
      <c r="EU37" s="103"/>
      <c r="EV37" s="103"/>
      <c r="EW37" s="103"/>
    </row>
    <row r="38" spans="1:153" ht="21.75" customHeight="1">
      <c r="A38" s="104" t="s">
        <v>123</v>
      </c>
      <c r="B38" s="104"/>
      <c r="C38" s="104"/>
      <c r="D38" s="105">
        <f>SUM(H4:H34)</f>
        <v>0</v>
      </c>
      <c r="E38" s="105"/>
      <c r="F38" s="105"/>
      <c r="G38" s="105"/>
      <c r="H38" s="105"/>
      <c r="I38" s="105">
        <f>SUM(M4:M34)</f>
        <v>0</v>
      </c>
      <c r="J38" s="105"/>
      <c r="K38" s="105"/>
      <c r="L38" s="105"/>
      <c r="M38" s="105"/>
      <c r="N38" s="105">
        <f>SUM(R4:R34)</f>
        <v>0</v>
      </c>
      <c r="O38" s="105"/>
      <c r="P38" s="105"/>
      <c r="Q38" s="105"/>
      <c r="R38" s="105"/>
      <c r="S38" s="105">
        <f>SUM(W4:W34)</f>
        <v>0</v>
      </c>
      <c r="T38" s="105"/>
      <c r="U38" s="105"/>
      <c r="V38" s="105"/>
      <c r="W38" s="105"/>
      <c r="X38" s="105">
        <f>SUM(AB4:AB34)</f>
        <v>0</v>
      </c>
      <c r="Y38" s="105"/>
      <c r="Z38" s="105"/>
      <c r="AA38" s="105"/>
      <c r="AB38" s="105"/>
      <c r="AC38" s="105">
        <f>SUM(AG4:AG34)</f>
        <v>0</v>
      </c>
      <c r="AD38" s="105"/>
      <c r="AE38" s="105"/>
      <c r="AF38" s="105"/>
      <c r="AG38" s="105"/>
      <c r="AH38" s="105">
        <f>SUM(AL4:AL34)</f>
        <v>0</v>
      </c>
      <c r="AI38" s="105"/>
      <c r="AJ38" s="105"/>
      <c r="AK38" s="105"/>
      <c r="AL38" s="105"/>
      <c r="AM38" s="105">
        <f>SUM(AQ4:AQ34)</f>
        <v>0</v>
      </c>
      <c r="AN38" s="105"/>
      <c r="AO38" s="105"/>
      <c r="AP38" s="105"/>
      <c r="AQ38" s="105"/>
      <c r="AR38" s="105">
        <f>SUM(AV4:AV34)</f>
        <v>0</v>
      </c>
      <c r="AS38" s="105"/>
      <c r="AT38" s="105"/>
      <c r="AU38" s="105"/>
      <c r="AV38" s="105"/>
      <c r="AW38" s="105">
        <f>SUM(BA4:BA34)</f>
        <v>0</v>
      </c>
      <c r="AX38" s="105"/>
      <c r="AY38" s="105"/>
      <c r="AZ38" s="105"/>
      <c r="BA38" s="105"/>
      <c r="BB38" s="105">
        <f>SUM(BF4:BF34)</f>
        <v>0</v>
      </c>
      <c r="BC38" s="105"/>
      <c r="BD38" s="105"/>
      <c r="BE38" s="105"/>
      <c r="BF38" s="105"/>
      <c r="BG38" s="105">
        <f>SUM(BK4:BK34)</f>
        <v>0</v>
      </c>
      <c r="BH38" s="105"/>
      <c r="BI38" s="105"/>
      <c r="BJ38" s="105"/>
      <c r="BK38" s="105"/>
      <c r="BL38" s="105">
        <f>SUM(BP4:BP34)</f>
        <v>0</v>
      </c>
      <c r="BM38" s="105"/>
      <c r="BN38" s="105"/>
      <c r="BO38" s="105"/>
      <c r="BP38" s="105"/>
      <c r="BQ38" s="105">
        <f>SUM(BU4:BU34)</f>
        <v>0</v>
      </c>
      <c r="BR38" s="105"/>
      <c r="BS38" s="105"/>
      <c r="BT38" s="105"/>
      <c r="BU38" s="105"/>
      <c r="BV38" s="105">
        <f>SUM(BZ4:BZ34)</f>
        <v>0</v>
      </c>
      <c r="BW38" s="105"/>
      <c r="BX38" s="105"/>
      <c r="BY38" s="105"/>
      <c r="BZ38" s="105"/>
      <c r="CA38" s="105">
        <f>SUM(CE4:CE34)</f>
        <v>0</v>
      </c>
      <c r="CB38" s="105"/>
      <c r="CC38" s="105"/>
      <c r="CD38" s="105"/>
      <c r="CE38" s="105"/>
      <c r="CF38" s="105">
        <f>SUM(CJ4:CJ34)</f>
        <v>0</v>
      </c>
      <c r="CG38" s="105"/>
      <c r="CH38" s="105"/>
      <c r="CI38" s="105"/>
      <c r="CJ38" s="105"/>
      <c r="CK38" s="105">
        <f>SUM(CO4:CO34)</f>
        <v>0</v>
      </c>
      <c r="CL38" s="105"/>
      <c r="CM38" s="105"/>
      <c r="CN38" s="105"/>
      <c r="CO38" s="105"/>
      <c r="CP38" s="105">
        <f>SUM(CT4:CT34)</f>
        <v>0</v>
      </c>
      <c r="CQ38" s="105"/>
      <c r="CR38" s="105"/>
      <c r="CS38" s="105"/>
      <c r="CT38" s="105"/>
      <c r="CU38" s="105">
        <f>SUM(CY4:CY34)</f>
        <v>0</v>
      </c>
      <c r="CV38" s="105"/>
      <c r="CW38" s="105"/>
      <c r="CX38" s="105"/>
      <c r="CY38" s="105"/>
      <c r="CZ38" s="105">
        <f>SUM(DD4:DD34)</f>
        <v>0</v>
      </c>
      <c r="DA38" s="105"/>
      <c r="DB38" s="105"/>
      <c r="DC38" s="105"/>
      <c r="DD38" s="105"/>
      <c r="DE38" s="105">
        <f>SUM(DI4:DI34)</f>
        <v>0</v>
      </c>
      <c r="DF38" s="105"/>
      <c r="DG38" s="105"/>
      <c r="DH38" s="105"/>
      <c r="DI38" s="105"/>
      <c r="DJ38" s="105">
        <f>SUM(DN4:DN34)</f>
        <v>0</v>
      </c>
      <c r="DK38" s="105"/>
      <c r="DL38" s="105"/>
      <c r="DM38" s="105"/>
      <c r="DN38" s="105"/>
      <c r="DO38" s="105">
        <f>SUM(DS4:DS34)</f>
        <v>0</v>
      </c>
      <c r="DP38" s="105"/>
      <c r="DQ38" s="105"/>
      <c r="DR38" s="105"/>
      <c r="DS38" s="105"/>
      <c r="DT38" s="105">
        <f>SUM(DX4:DX34)</f>
        <v>0</v>
      </c>
      <c r="DU38" s="105"/>
      <c r="DV38" s="105"/>
      <c r="DW38" s="105"/>
      <c r="DX38" s="105"/>
      <c r="DY38" s="105">
        <f>SUM(EC4:EC34)</f>
        <v>0</v>
      </c>
      <c r="DZ38" s="105"/>
      <c r="EA38" s="105"/>
      <c r="EB38" s="105"/>
      <c r="EC38" s="105"/>
      <c r="ED38" s="105">
        <f>SUM(EH4:EH34)</f>
        <v>0</v>
      </c>
      <c r="EE38" s="105"/>
      <c r="EF38" s="105"/>
      <c r="EG38" s="105"/>
      <c r="EH38" s="105"/>
      <c r="EI38" s="105">
        <f>SUM(EM4:EM34)</f>
        <v>0</v>
      </c>
      <c r="EJ38" s="105"/>
      <c r="EK38" s="105"/>
      <c r="EL38" s="105"/>
      <c r="EM38" s="105"/>
      <c r="EN38" s="105">
        <f>SUM(ER4:ER34)</f>
        <v>0</v>
      </c>
      <c r="EO38" s="105"/>
      <c r="EP38" s="105"/>
      <c r="EQ38" s="105"/>
      <c r="ER38" s="105"/>
      <c r="ES38" s="105">
        <f>SUM(EW4:EW34)</f>
        <v>0</v>
      </c>
      <c r="ET38" s="105"/>
      <c r="EU38" s="105"/>
      <c r="EV38" s="105"/>
      <c r="EW38" s="105"/>
    </row>
    <row r="39" spans="1:153" ht="21.75" customHeight="1">
      <c r="A39" s="106" t="s">
        <v>105</v>
      </c>
      <c r="B39" s="106"/>
      <c r="C39" s="106"/>
      <c r="D39" s="107">
        <f>COUNTIF(D4:D34,"有給")</f>
        <v>0</v>
      </c>
      <c r="E39" s="107"/>
      <c r="F39" s="107"/>
      <c r="G39" s="107"/>
      <c r="H39" s="107"/>
      <c r="I39" s="107">
        <f>COUNTIF(I4:I34,"有給")</f>
        <v>0</v>
      </c>
      <c r="J39" s="107"/>
      <c r="K39" s="107"/>
      <c r="L39" s="107"/>
      <c r="M39" s="107"/>
      <c r="N39" s="107">
        <f>COUNTIF(N4:N34,"有給")</f>
        <v>0</v>
      </c>
      <c r="O39" s="107"/>
      <c r="P39" s="107"/>
      <c r="Q39" s="107"/>
      <c r="R39" s="107"/>
      <c r="S39" s="107">
        <f>COUNTIF(S4:S34,"有給")</f>
        <v>0</v>
      </c>
      <c r="T39" s="107"/>
      <c r="U39" s="107"/>
      <c r="V39" s="107"/>
      <c r="W39" s="107"/>
      <c r="X39" s="107">
        <f>COUNTIF(X4:X34,"有給")</f>
        <v>0</v>
      </c>
      <c r="Y39" s="107"/>
      <c r="Z39" s="107"/>
      <c r="AA39" s="107"/>
      <c r="AB39" s="107"/>
      <c r="AC39" s="107">
        <f>COUNTIF(AC4:AC34,"有給")</f>
        <v>0</v>
      </c>
      <c r="AD39" s="107"/>
      <c r="AE39" s="107"/>
      <c r="AF39" s="107"/>
      <c r="AG39" s="107"/>
      <c r="AH39" s="107">
        <f>COUNTIF(AH4:AH34,"有給")</f>
        <v>0</v>
      </c>
      <c r="AI39" s="107"/>
      <c r="AJ39" s="107"/>
      <c r="AK39" s="107"/>
      <c r="AL39" s="107"/>
      <c r="AM39" s="107">
        <f>COUNTIF(AM4:AM34,"有給")</f>
        <v>0</v>
      </c>
      <c r="AN39" s="107"/>
      <c r="AO39" s="107"/>
      <c r="AP39" s="107"/>
      <c r="AQ39" s="107"/>
      <c r="AR39" s="107">
        <f>COUNTIF(AR4:AR34,"有給")</f>
        <v>0</v>
      </c>
      <c r="AS39" s="107"/>
      <c r="AT39" s="107"/>
      <c r="AU39" s="107"/>
      <c r="AV39" s="107"/>
      <c r="AW39" s="107">
        <f>COUNTIF(AW4:AW34,"有給")</f>
        <v>0</v>
      </c>
      <c r="AX39" s="107"/>
      <c r="AY39" s="107"/>
      <c r="AZ39" s="107"/>
      <c r="BA39" s="107"/>
      <c r="BB39" s="107">
        <f>COUNTIF(BB4:BB34,"有給")</f>
        <v>0</v>
      </c>
      <c r="BC39" s="107"/>
      <c r="BD39" s="107"/>
      <c r="BE39" s="107"/>
      <c r="BF39" s="107"/>
      <c r="BG39" s="107">
        <f>COUNTIF(BG4:BG34,"有給")</f>
        <v>0</v>
      </c>
      <c r="BH39" s="107"/>
      <c r="BI39" s="107"/>
      <c r="BJ39" s="107"/>
      <c r="BK39" s="107"/>
      <c r="BL39" s="107">
        <f>COUNTIF(BL4:BL34,"有給")</f>
        <v>0</v>
      </c>
      <c r="BM39" s="107"/>
      <c r="BN39" s="107"/>
      <c r="BO39" s="107"/>
      <c r="BP39" s="107"/>
      <c r="BQ39" s="107">
        <f>COUNTIF(BQ4:BQ34,"有給")</f>
        <v>0</v>
      </c>
      <c r="BR39" s="107"/>
      <c r="BS39" s="107"/>
      <c r="BT39" s="107"/>
      <c r="BU39" s="107"/>
      <c r="BV39" s="107">
        <f>COUNTIF(BV4:BV34,"有給")</f>
        <v>0</v>
      </c>
      <c r="BW39" s="107"/>
      <c r="BX39" s="107"/>
      <c r="BY39" s="107"/>
      <c r="BZ39" s="107"/>
      <c r="CA39" s="107">
        <f>COUNTIF(CA4:CA34,"有給")</f>
        <v>0</v>
      </c>
      <c r="CB39" s="107"/>
      <c r="CC39" s="107"/>
      <c r="CD39" s="107"/>
      <c r="CE39" s="107"/>
      <c r="CF39" s="107">
        <f>COUNTIF(CF4:CF34,"有給")</f>
        <v>0</v>
      </c>
      <c r="CG39" s="107"/>
      <c r="CH39" s="107"/>
      <c r="CI39" s="107"/>
      <c r="CJ39" s="107"/>
      <c r="CK39" s="107">
        <f>COUNTIF(CK4:CK34,"有給")</f>
        <v>0</v>
      </c>
      <c r="CL39" s="107"/>
      <c r="CM39" s="107"/>
      <c r="CN39" s="107"/>
      <c r="CO39" s="107"/>
      <c r="CP39" s="107">
        <f>COUNTIF(CP4:CP34,"有給")</f>
        <v>0</v>
      </c>
      <c r="CQ39" s="107"/>
      <c r="CR39" s="107"/>
      <c r="CS39" s="107"/>
      <c r="CT39" s="107"/>
      <c r="CU39" s="107">
        <f>COUNTIF(CU4:CU34,"有給")</f>
        <v>0</v>
      </c>
      <c r="CV39" s="107"/>
      <c r="CW39" s="107"/>
      <c r="CX39" s="107"/>
      <c r="CY39" s="107"/>
      <c r="CZ39" s="107">
        <f>COUNTIF(CZ4:CZ34,"有給")</f>
        <v>0</v>
      </c>
      <c r="DA39" s="107"/>
      <c r="DB39" s="107"/>
      <c r="DC39" s="107"/>
      <c r="DD39" s="107"/>
      <c r="DE39" s="107">
        <f>COUNTIF(DE4:DE34,"有給")</f>
        <v>0</v>
      </c>
      <c r="DF39" s="107"/>
      <c r="DG39" s="107"/>
      <c r="DH39" s="107"/>
      <c r="DI39" s="107"/>
      <c r="DJ39" s="107">
        <f>COUNTIF(DJ4:DJ34,"有給")</f>
        <v>0</v>
      </c>
      <c r="DK39" s="107"/>
      <c r="DL39" s="107"/>
      <c r="DM39" s="107"/>
      <c r="DN39" s="107"/>
      <c r="DO39" s="107">
        <f>COUNTIF(DO4:DO34,"有給")</f>
        <v>0</v>
      </c>
      <c r="DP39" s="107"/>
      <c r="DQ39" s="107"/>
      <c r="DR39" s="107"/>
      <c r="DS39" s="107"/>
      <c r="DT39" s="107">
        <f>COUNTIF(DT4:DT34,"有給")</f>
        <v>0</v>
      </c>
      <c r="DU39" s="107"/>
      <c r="DV39" s="107"/>
      <c r="DW39" s="107"/>
      <c r="DX39" s="107"/>
      <c r="DY39" s="107">
        <f>COUNTIF(DY4:DY34,"有給")</f>
        <v>0</v>
      </c>
      <c r="DZ39" s="107"/>
      <c r="EA39" s="107"/>
      <c r="EB39" s="107"/>
      <c r="EC39" s="107"/>
      <c r="ED39" s="107">
        <f>COUNTIF(ED4:ED34,"有給")</f>
        <v>0</v>
      </c>
      <c r="EE39" s="107"/>
      <c r="EF39" s="107"/>
      <c r="EG39" s="107"/>
      <c r="EH39" s="107"/>
      <c r="EI39" s="107">
        <f>COUNTIF(EI4:EI34,"有給")</f>
        <v>0</v>
      </c>
      <c r="EJ39" s="107"/>
      <c r="EK39" s="107"/>
      <c r="EL39" s="107"/>
      <c r="EM39" s="107"/>
      <c r="EN39" s="107">
        <f>COUNTIF(EN4:EN34,"有給")</f>
        <v>0</v>
      </c>
      <c r="EO39" s="107"/>
      <c r="EP39" s="107"/>
      <c r="EQ39" s="107"/>
      <c r="ER39" s="107"/>
      <c r="ES39" s="107">
        <f>COUNTIF(ES4:ES34,"有給")</f>
        <v>0</v>
      </c>
      <c r="ET39" s="107"/>
      <c r="EU39" s="107"/>
      <c r="EV39" s="107"/>
      <c r="EW39" s="107"/>
    </row>
    <row r="40" spans="1:153" ht="21.75" customHeight="1">
      <c r="A40" s="108" t="s">
        <v>106</v>
      </c>
      <c r="B40" s="108"/>
      <c r="C40" s="108"/>
      <c r="D40" s="109">
        <f>COUNTIF(D4:D34,"休業")</f>
        <v>0</v>
      </c>
      <c r="E40" s="109"/>
      <c r="F40" s="109"/>
      <c r="G40" s="109"/>
      <c r="H40" s="109"/>
      <c r="I40" s="109">
        <f>COUNTIF(I4:I34,"休業")</f>
        <v>0</v>
      </c>
      <c r="J40" s="109"/>
      <c r="K40" s="109"/>
      <c r="L40" s="109"/>
      <c r="M40" s="109"/>
      <c r="N40" s="109">
        <f>COUNTIF(N4:N34,"休業")</f>
        <v>0</v>
      </c>
      <c r="O40" s="109"/>
      <c r="P40" s="109"/>
      <c r="Q40" s="109"/>
      <c r="R40" s="109"/>
      <c r="S40" s="109">
        <f>COUNTIF(S4:S34,"休業")</f>
        <v>0</v>
      </c>
      <c r="T40" s="109"/>
      <c r="U40" s="109"/>
      <c r="V40" s="109"/>
      <c r="W40" s="109"/>
      <c r="X40" s="109">
        <f>COUNTIF(X4:X34,"休業")</f>
        <v>0</v>
      </c>
      <c r="Y40" s="109"/>
      <c r="Z40" s="109"/>
      <c r="AA40" s="109"/>
      <c r="AB40" s="109"/>
      <c r="AC40" s="109">
        <f>COUNTIF(AC4:AC34,"休業")</f>
        <v>0</v>
      </c>
      <c r="AD40" s="109"/>
      <c r="AE40" s="109"/>
      <c r="AF40" s="109"/>
      <c r="AG40" s="109"/>
      <c r="AH40" s="109">
        <f>COUNTIF(AH4:AH34,"休業")</f>
        <v>0</v>
      </c>
      <c r="AI40" s="109"/>
      <c r="AJ40" s="109"/>
      <c r="AK40" s="109"/>
      <c r="AL40" s="109"/>
      <c r="AM40" s="109">
        <f>COUNTIF(AM4:AM34,"休業")</f>
        <v>0</v>
      </c>
      <c r="AN40" s="109"/>
      <c r="AO40" s="109"/>
      <c r="AP40" s="109"/>
      <c r="AQ40" s="109"/>
      <c r="AR40" s="109">
        <f>COUNTIF(AR4:AR34,"休業")</f>
        <v>0</v>
      </c>
      <c r="AS40" s="109"/>
      <c r="AT40" s="109"/>
      <c r="AU40" s="109"/>
      <c r="AV40" s="109"/>
      <c r="AW40" s="109">
        <f>COUNTIF(AW4:AW34,"休業")</f>
        <v>0</v>
      </c>
      <c r="AX40" s="109"/>
      <c r="AY40" s="109"/>
      <c r="AZ40" s="109"/>
      <c r="BA40" s="109"/>
      <c r="BB40" s="109">
        <f>COUNTIF(BB4:BB34,"休業")</f>
        <v>0</v>
      </c>
      <c r="BC40" s="109"/>
      <c r="BD40" s="109"/>
      <c r="BE40" s="109"/>
      <c r="BF40" s="109"/>
      <c r="BG40" s="109">
        <f>COUNTIF(BG4:BG34,"休業")</f>
        <v>0</v>
      </c>
      <c r="BH40" s="109"/>
      <c r="BI40" s="109"/>
      <c r="BJ40" s="109"/>
      <c r="BK40" s="109"/>
      <c r="BL40" s="109">
        <f>COUNTIF(BL4:BL34,"休業")</f>
        <v>0</v>
      </c>
      <c r="BM40" s="109"/>
      <c r="BN40" s="109"/>
      <c r="BO40" s="109"/>
      <c r="BP40" s="109"/>
      <c r="BQ40" s="109">
        <f>COUNTIF(BQ4:BQ34,"休業")</f>
        <v>0</v>
      </c>
      <c r="BR40" s="109"/>
      <c r="BS40" s="109"/>
      <c r="BT40" s="109"/>
      <c r="BU40" s="109"/>
      <c r="BV40" s="109">
        <f>COUNTIF(BV4:BV34,"休業")</f>
        <v>0</v>
      </c>
      <c r="BW40" s="109"/>
      <c r="BX40" s="109"/>
      <c r="BY40" s="109"/>
      <c r="BZ40" s="109"/>
      <c r="CA40" s="109">
        <f>COUNTIF(CA4:CA34,"休業")</f>
        <v>0</v>
      </c>
      <c r="CB40" s="109"/>
      <c r="CC40" s="109"/>
      <c r="CD40" s="109"/>
      <c r="CE40" s="109"/>
      <c r="CF40" s="109">
        <f>COUNTIF(CF4:CF34,"休業")</f>
        <v>0</v>
      </c>
      <c r="CG40" s="109"/>
      <c r="CH40" s="109"/>
      <c r="CI40" s="109"/>
      <c r="CJ40" s="109"/>
      <c r="CK40" s="109">
        <f>COUNTIF(CK4:CK34,"休業")</f>
        <v>0</v>
      </c>
      <c r="CL40" s="109"/>
      <c r="CM40" s="109"/>
      <c r="CN40" s="109"/>
      <c r="CO40" s="109"/>
      <c r="CP40" s="109">
        <f>COUNTIF(CP4:CP34,"休業")</f>
        <v>0</v>
      </c>
      <c r="CQ40" s="109"/>
      <c r="CR40" s="109"/>
      <c r="CS40" s="109"/>
      <c r="CT40" s="109"/>
      <c r="CU40" s="109">
        <f>COUNTIF(CU4:CU34,"休業")</f>
        <v>0</v>
      </c>
      <c r="CV40" s="109"/>
      <c r="CW40" s="109"/>
      <c r="CX40" s="109"/>
      <c r="CY40" s="109"/>
      <c r="CZ40" s="109">
        <f>COUNTIF(CZ4:CZ34,"休業")</f>
        <v>0</v>
      </c>
      <c r="DA40" s="109"/>
      <c r="DB40" s="109"/>
      <c r="DC40" s="109"/>
      <c r="DD40" s="109"/>
      <c r="DE40" s="109">
        <f>COUNTIF(DE4:DE34,"休業")</f>
        <v>0</v>
      </c>
      <c r="DF40" s="109"/>
      <c r="DG40" s="109"/>
      <c r="DH40" s="109"/>
      <c r="DI40" s="109"/>
      <c r="DJ40" s="109">
        <f>COUNTIF(DJ4:DJ34,"休業")</f>
        <v>0</v>
      </c>
      <c r="DK40" s="109"/>
      <c r="DL40" s="109"/>
      <c r="DM40" s="109"/>
      <c r="DN40" s="109"/>
      <c r="DO40" s="109">
        <f>COUNTIF(DO4:DO34,"休業")</f>
        <v>0</v>
      </c>
      <c r="DP40" s="109"/>
      <c r="DQ40" s="109"/>
      <c r="DR40" s="109"/>
      <c r="DS40" s="109"/>
      <c r="DT40" s="109">
        <f>COUNTIF(DT4:DT34,"休業")</f>
        <v>0</v>
      </c>
      <c r="DU40" s="109"/>
      <c r="DV40" s="109"/>
      <c r="DW40" s="109"/>
      <c r="DX40" s="109"/>
      <c r="DY40" s="109">
        <f>COUNTIF(DY4:DY34,"休業")</f>
        <v>0</v>
      </c>
      <c r="DZ40" s="109"/>
      <c r="EA40" s="109"/>
      <c r="EB40" s="109"/>
      <c r="EC40" s="109"/>
      <c r="ED40" s="109">
        <f>COUNTIF(ED4:ED34,"休業")</f>
        <v>0</v>
      </c>
      <c r="EE40" s="109"/>
      <c r="EF40" s="109"/>
      <c r="EG40" s="109"/>
      <c r="EH40" s="109"/>
      <c r="EI40" s="109">
        <f>COUNTIF(EI4:EI34,"休業")</f>
        <v>0</v>
      </c>
      <c r="EJ40" s="109"/>
      <c r="EK40" s="109"/>
      <c r="EL40" s="109"/>
      <c r="EM40" s="109"/>
      <c r="EN40" s="109">
        <f>COUNTIF(EN4:EN34,"休業")</f>
        <v>0</v>
      </c>
      <c r="EO40" s="109"/>
      <c r="EP40" s="109"/>
      <c r="EQ40" s="109"/>
      <c r="ER40" s="109"/>
      <c r="ES40" s="109">
        <f>COUNTIF(ES4:ES34,"休業")</f>
        <v>0</v>
      </c>
      <c r="ET40" s="109"/>
      <c r="EU40" s="109"/>
      <c r="EV40" s="109"/>
      <c r="EW40" s="109"/>
    </row>
  </sheetData>
  <mergeCells count="217">
    <mergeCell ref="ED40:EH40"/>
    <mergeCell ref="EI40:EM40"/>
    <mergeCell ref="EN40:ER40"/>
    <mergeCell ref="ES40:EW40"/>
    <mergeCell ref="CK40:CO40"/>
    <mergeCell ref="CP40:CT40"/>
    <mergeCell ref="CU40:CY40"/>
    <mergeCell ref="CZ40:DD40"/>
    <mergeCell ref="DE40:DI40"/>
    <mergeCell ref="DJ40:DN40"/>
    <mergeCell ref="DO40:DS40"/>
    <mergeCell ref="DT40:DX40"/>
    <mergeCell ref="DY40:EC40"/>
    <mergeCell ref="DT39:DX39"/>
    <mergeCell ref="DY39:EC39"/>
    <mergeCell ref="ED39:EH39"/>
    <mergeCell ref="EI39:EM39"/>
    <mergeCell ref="EN39:ER39"/>
    <mergeCell ref="ES39:EW39"/>
    <mergeCell ref="A40:C40"/>
    <mergeCell ref="D40:H40"/>
    <mergeCell ref="I40:M40"/>
    <mergeCell ref="N40:R40"/>
    <mergeCell ref="S40:W40"/>
    <mergeCell ref="X40:AB40"/>
    <mergeCell ref="AC40:AG40"/>
    <mergeCell ref="AH40:AL40"/>
    <mergeCell ref="AM40:AQ40"/>
    <mergeCell ref="AR40:AV40"/>
    <mergeCell ref="AW40:BA40"/>
    <mergeCell ref="BB40:BF40"/>
    <mergeCell ref="BG40:BK40"/>
    <mergeCell ref="BL40:BP40"/>
    <mergeCell ref="BQ40:BU40"/>
    <mergeCell ref="BV40:BZ40"/>
    <mergeCell ref="CA40:CE40"/>
    <mergeCell ref="CF40:CJ40"/>
    <mergeCell ref="CA39:CE39"/>
    <mergeCell ref="CF39:CJ39"/>
    <mergeCell ref="CK39:CO39"/>
    <mergeCell ref="CP39:CT39"/>
    <mergeCell ref="CU39:CY39"/>
    <mergeCell ref="CZ39:DD39"/>
    <mergeCell ref="DE39:DI39"/>
    <mergeCell ref="DJ39:DN39"/>
    <mergeCell ref="DO39:DS39"/>
    <mergeCell ref="DJ38:DN38"/>
    <mergeCell ref="DO38:DS38"/>
    <mergeCell ref="DT38:DX38"/>
    <mergeCell ref="DY38:EC38"/>
    <mergeCell ref="ED38:EH38"/>
    <mergeCell ref="EI38:EM38"/>
    <mergeCell ref="EN38:ER38"/>
    <mergeCell ref="ES38:EW38"/>
    <mergeCell ref="A39:C39"/>
    <mergeCell ref="D39:H39"/>
    <mergeCell ref="I39:M39"/>
    <mergeCell ref="N39:R39"/>
    <mergeCell ref="S39:W39"/>
    <mergeCell ref="X39:AB39"/>
    <mergeCell ref="AC39:AG39"/>
    <mergeCell ref="AH39:AL39"/>
    <mergeCell ref="AM39:AQ39"/>
    <mergeCell ref="AR39:AV39"/>
    <mergeCell ref="AW39:BA39"/>
    <mergeCell ref="BB39:BF39"/>
    <mergeCell ref="BG39:BK39"/>
    <mergeCell ref="BL39:BP39"/>
    <mergeCell ref="BQ39:BU39"/>
    <mergeCell ref="BV39:BZ39"/>
    <mergeCell ref="ES37:EW37"/>
    <mergeCell ref="A38:C38"/>
    <mergeCell ref="D38:H38"/>
    <mergeCell ref="I38:M38"/>
    <mergeCell ref="N38:R38"/>
    <mergeCell ref="S38:W38"/>
    <mergeCell ref="X38:AB38"/>
    <mergeCell ref="AC38:AG38"/>
    <mergeCell ref="AH38:AL38"/>
    <mergeCell ref="AM38:AQ38"/>
    <mergeCell ref="AR38:AV38"/>
    <mergeCell ref="AW38:BA38"/>
    <mergeCell ref="BB38:BF38"/>
    <mergeCell ref="BG38:BK38"/>
    <mergeCell ref="BL38:BP38"/>
    <mergeCell ref="BQ38:BU38"/>
    <mergeCell ref="BV38:BZ38"/>
    <mergeCell ref="CA38:CE38"/>
    <mergeCell ref="CF38:CJ38"/>
    <mergeCell ref="CK38:CO38"/>
    <mergeCell ref="CP38:CT38"/>
    <mergeCell ref="CU38:CY38"/>
    <mergeCell ref="CZ38:DD38"/>
    <mergeCell ref="DE38:DI38"/>
    <mergeCell ref="CZ37:DD37"/>
    <mergeCell ref="DE37:DI37"/>
    <mergeCell ref="DJ37:DN37"/>
    <mergeCell ref="DO37:DS37"/>
    <mergeCell ref="DT37:DX37"/>
    <mergeCell ref="DY37:EC37"/>
    <mergeCell ref="ED37:EH37"/>
    <mergeCell ref="EI37:EM37"/>
    <mergeCell ref="EN37:ER37"/>
    <mergeCell ref="EI36:EM36"/>
    <mergeCell ref="EN36:ER36"/>
    <mergeCell ref="ES36:EW36"/>
    <mergeCell ref="A37:C37"/>
    <mergeCell ref="D37:H37"/>
    <mergeCell ref="I37:M37"/>
    <mergeCell ref="N37:R37"/>
    <mergeCell ref="S37:W37"/>
    <mergeCell ref="X37:AB37"/>
    <mergeCell ref="AC37:AG37"/>
    <mergeCell ref="AH37:AL37"/>
    <mergeCell ref="AM37:AQ37"/>
    <mergeCell ref="AR37:AV37"/>
    <mergeCell ref="AW37:BA37"/>
    <mergeCell ref="BB37:BF37"/>
    <mergeCell ref="BG37:BK37"/>
    <mergeCell ref="BL37:BP37"/>
    <mergeCell ref="BQ37:BU37"/>
    <mergeCell ref="BV37:BZ37"/>
    <mergeCell ref="CA37:CE37"/>
    <mergeCell ref="CF37:CJ37"/>
    <mergeCell ref="CK37:CO37"/>
    <mergeCell ref="CP37:CT37"/>
    <mergeCell ref="CU37:CY37"/>
    <mergeCell ref="CP36:CT36"/>
    <mergeCell ref="CU36:CY36"/>
    <mergeCell ref="CZ36:DD36"/>
    <mergeCell ref="DE36:DI36"/>
    <mergeCell ref="DJ36:DN36"/>
    <mergeCell ref="DO36:DS36"/>
    <mergeCell ref="DT36:DX36"/>
    <mergeCell ref="DY36:EC36"/>
    <mergeCell ref="ED36:EH36"/>
    <mergeCell ref="DY35:EC35"/>
    <mergeCell ref="ED35:EH35"/>
    <mergeCell ref="EI35:EM35"/>
    <mergeCell ref="EN35:ER35"/>
    <mergeCell ref="ES35:EW35"/>
    <mergeCell ref="A36:C36"/>
    <mergeCell ref="D36:H36"/>
    <mergeCell ref="I36:M36"/>
    <mergeCell ref="N36:R36"/>
    <mergeCell ref="S36:W36"/>
    <mergeCell ref="X36:AB36"/>
    <mergeCell ref="AC36:AG36"/>
    <mergeCell ref="AH36:AL36"/>
    <mergeCell ref="AM36:AQ36"/>
    <mergeCell ref="AR36:AV36"/>
    <mergeCell ref="AW36:BA36"/>
    <mergeCell ref="BB36:BF36"/>
    <mergeCell ref="BG36:BK36"/>
    <mergeCell ref="BL36:BP36"/>
    <mergeCell ref="BQ36:BU36"/>
    <mergeCell ref="BV36:BZ36"/>
    <mergeCell ref="CA36:CE36"/>
    <mergeCell ref="CF36:CJ36"/>
    <mergeCell ref="CK36:CO36"/>
    <mergeCell ref="CF35:CJ35"/>
    <mergeCell ref="CK35:CO35"/>
    <mergeCell ref="CP35:CT35"/>
    <mergeCell ref="CU35:CY35"/>
    <mergeCell ref="CZ35:DD35"/>
    <mergeCell ref="DE35:DI35"/>
    <mergeCell ref="DJ35:DN35"/>
    <mergeCell ref="DO35:DS35"/>
    <mergeCell ref="DT35:DX35"/>
    <mergeCell ref="DO2:DS2"/>
    <mergeCell ref="DT2:DX2"/>
    <mergeCell ref="DY2:EC2"/>
    <mergeCell ref="ED2:EH2"/>
    <mergeCell ref="EI2:EM2"/>
    <mergeCell ref="EN2:ER2"/>
    <mergeCell ref="ES2:EW2"/>
    <mergeCell ref="A35:C35"/>
    <mergeCell ref="D35:H35"/>
    <mergeCell ref="I35:M35"/>
    <mergeCell ref="N35:R35"/>
    <mergeCell ref="S35:W35"/>
    <mergeCell ref="X35:AB35"/>
    <mergeCell ref="AC35:AG35"/>
    <mergeCell ref="AH35:AL35"/>
    <mergeCell ref="AM35:AQ35"/>
    <mergeCell ref="AR35:AV35"/>
    <mergeCell ref="AW35:BA35"/>
    <mergeCell ref="BB35:BF35"/>
    <mergeCell ref="BG35:BK35"/>
    <mergeCell ref="BL35:BP35"/>
    <mergeCell ref="BQ35:BU35"/>
    <mergeCell ref="BV35:BZ35"/>
    <mergeCell ref="CA35:CE35"/>
    <mergeCell ref="A1:EW1"/>
    <mergeCell ref="D2:H2"/>
    <mergeCell ref="I2:M2"/>
    <mergeCell ref="N2:R2"/>
    <mergeCell ref="S2:W2"/>
    <mergeCell ref="X2:AB2"/>
    <mergeCell ref="AC2:AG2"/>
    <mergeCell ref="AH2:AL2"/>
    <mergeCell ref="AM2:AQ2"/>
    <mergeCell ref="AR2:AV2"/>
    <mergeCell ref="AW2:BA2"/>
    <mergeCell ref="BB2:BF2"/>
    <mergeCell ref="BG2:BK2"/>
    <mergeCell ref="BL2:BP2"/>
    <mergeCell ref="BQ2:BU2"/>
    <mergeCell ref="BV2:BZ2"/>
    <mergeCell ref="CA2:CE2"/>
    <mergeCell ref="CF2:CJ2"/>
    <mergeCell ref="CK2:CO2"/>
    <mergeCell ref="CP2:CT2"/>
    <mergeCell ref="CU2:CY2"/>
    <mergeCell ref="CZ2:DD2"/>
    <mergeCell ref="DE2:DI2"/>
    <mergeCell ref="DJ2:DN2"/>
  </mergeCells>
  <phoneticPr fontId="51"/>
  <conditionalFormatting sqref="A4:EW34">
    <cfRule type="expression" dxfId="127" priority="63">
      <formula>$B4="日"</formula>
    </cfRule>
    <cfRule type="expression" dxfId="126" priority="64">
      <formula>$B4="土"</formula>
    </cfRule>
    <cfRule type="expression" dxfId="125" priority="62">
      <formula>AND($A4&lt;&gt;"",ISNUMBER(MATCH(DATE(対象年度,12,$A4),祝日リスト,0)))</formula>
    </cfRule>
  </conditionalFormatting>
  <conditionalFormatting sqref="D4:D34">
    <cfRule type="expression" dxfId="124" priority="3">
      <formula>$D4="休業"</formula>
    </cfRule>
    <cfRule type="expression" dxfId="123" priority="2">
      <formula>$D4="有給"</formula>
    </cfRule>
  </conditionalFormatting>
  <conditionalFormatting sqref="I4:I34">
    <cfRule type="expression" dxfId="122" priority="4">
      <formula>$I4="有給"</formula>
    </cfRule>
    <cfRule type="expression" dxfId="121" priority="5">
      <formula>$I4="休業"</formula>
    </cfRule>
  </conditionalFormatting>
  <conditionalFormatting sqref="N4:N34">
    <cfRule type="expression" dxfId="120" priority="6">
      <formula>$N4="有給"</formula>
    </cfRule>
    <cfRule type="expression" dxfId="119" priority="7">
      <formula>$N4="休業"</formula>
    </cfRule>
  </conditionalFormatting>
  <conditionalFormatting sqref="S4:S34">
    <cfRule type="expression" dxfId="118" priority="8">
      <formula>$S4="有給"</formula>
    </cfRule>
    <cfRule type="expression" dxfId="117" priority="9">
      <formula>$S4="休業"</formula>
    </cfRule>
  </conditionalFormatting>
  <conditionalFormatting sqref="X4:X34">
    <cfRule type="expression" dxfId="116" priority="10">
      <formula>$X4="有給"</formula>
    </cfRule>
    <cfRule type="expression" dxfId="115" priority="11">
      <formula>$X4="休業"</formula>
    </cfRule>
  </conditionalFormatting>
  <conditionalFormatting sqref="AC4:AC34">
    <cfRule type="expression" dxfId="114" priority="12">
      <formula>$AC4="有給"</formula>
    </cfRule>
    <cfRule type="expression" dxfId="113" priority="13">
      <formula>$AC4="休業"</formula>
    </cfRule>
  </conditionalFormatting>
  <conditionalFormatting sqref="AH4:AH34">
    <cfRule type="expression" dxfId="112" priority="14">
      <formula>$AH4="有給"</formula>
    </cfRule>
    <cfRule type="expression" dxfId="111" priority="15">
      <formula>$AH4="休業"</formula>
    </cfRule>
  </conditionalFormatting>
  <conditionalFormatting sqref="AM4:AM34">
    <cfRule type="expression" dxfId="110" priority="17">
      <formula>$AM4="休業"</formula>
    </cfRule>
    <cfRule type="expression" dxfId="109" priority="16">
      <formula>$AM4="有給"</formula>
    </cfRule>
  </conditionalFormatting>
  <conditionalFormatting sqref="AR4:AR34">
    <cfRule type="expression" dxfId="108" priority="19">
      <formula>$AR4="休業"</formula>
    </cfRule>
    <cfRule type="expression" dxfId="107" priority="18">
      <formula>$AR4="有給"</formula>
    </cfRule>
  </conditionalFormatting>
  <conditionalFormatting sqref="AW4:AW34">
    <cfRule type="expression" dxfId="106" priority="20">
      <formula>$AW4="有給"</formula>
    </cfRule>
    <cfRule type="expression" dxfId="105" priority="21">
      <formula>$AW4="休業"</formula>
    </cfRule>
  </conditionalFormatting>
  <conditionalFormatting sqref="BB4:BB34">
    <cfRule type="expression" dxfId="104" priority="22">
      <formula>$BB4="有給"</formula>
    </cfRule>
    <cfRule type="expression" dxfId="103" priority="23">
      <formula>$BB4="休業"</formula>
    </cfRule>
  </conditionalFormatting>
  <conditionalFormatting sqref="BG4:BG34">
    <cfRule type="expression" dxfId="102" priority="24">
      <formula>$BG4="有給"</formula>
    </cfRule>
    <cfRule type="expression" dxfId="101" priority="25">
      <formula>$BG4="休業"</formula>
    </cfRule>
  </conditionalFormatting>
  <conditionalFormatting sqref="BL4:BL34">
    <cfRule type="expression" dxfId="100" priority="26">
      <formula>$BL4="有給"</formula>
    </cfRule>
    <cfRule type="expression" dxfId="99" priority="27">
      <formula>$BL4="休業"</formula>
    </cfRule>
  </conditionalFormatting>
  <conditionalFormatting sqref="BQ4:BQ34">
    <cfRule type="expression" dxfId="98" priority="28">
      <formula>$BQ4="有給"</formula>
    </cfRule>
    <cfRule type="expression" dxfId="97" priority="29">
      <formula>$BQ4="休業"</formula>
    </cfRule>
  </conditionalFormatting>
  <conditionalFormatting sqref="BV4:BV34">
    <cfRule type="expression" dxfId="96" priority="30">
      <formula>$BV4="有給"</formula>
    </cfRule>
    <cfRule type="expression" dxfId="95" priority="31">
      <formula>$BV4="休業"</formula>
    </cfRule>
  </conditionalFormatting>
  <conditionalFormatting sqref="CA4:CA34">
    <cfRule type="expression" dxfId="94" priority="33">
      <formula>$CA4="休業"</formula>
    </cfRule>
    <cfRule type="expression" dxfId="93" priority="32">
      <formula>$CA4="有給"</formula>
    </cfRule>
  </conditionalFormatting>
  <conditionalFormatting sqref="CF4:CF34">
    <cfRule type="expression" dxfId="92" priority="34">
      <formula>$CF4="有給"</formula>
    </cfRule>
    <cfRule type="expression" dxfId="91" priority="35">
      <formula>$CF4="休業"</formula>
    </cfRule>
  </conditionalFormatting>
  <conditionalFormatting sqref="CK4:CK34">
    <cfRule type="expression" dxfId="90" priority="37">
      <formula>$CK4="休業"</formula>
    </cfRule>
    <cfRule type="expression" dxfId="89" priority="36">
      <formula>$CK4="有給"</formula>
    </cfRule>
  </conditionalFormatting>
  <conditionalFormatting sqref="CP4:CP34">
    <cfRule type="expression" dxfId="88" priority="38">
      <formula>$CP4="有給"</formula>
    </cfRule>
    <cfRule type="expression" dxfId="87" priority="39">
      <formula>$CP4="休業"</formula>
    </cfRule>
  </conditionalFormatting>
  <conditionalFormatting sqref="CU4:CU34">
    <cfRule type="expression" dxfId="86" priority="40">
      <formula>$CU4="有給"</formula>
    </cfRule>
    <cfRule type="expression" dxfId="85" priority="41">
      <formula>$CU4="休業"</formula>
    </cfRule>
  </conditionalFormatting>
  <conditionalFormatting sqref="CZ4:CZ34">
    <cfRule type="expression" dxfId="84" priority="42">
      <formula>$CZ4="有給"</formula>
    </cfRule>
    <cfRule type="expression" dxfId="83" priority="43">
      <formula>$CZ4="休業"</formula>
    </cfRule>
  </conditionalFormatting>
  <conditionalFormatting sqref="DE4:DE34">
    <cfRule type="expression" dxfId="82" priority="44">
      <formula>$DE4="有給"</formula>
    </cfRule>
    <cfRule type="expression" dxfId="81" priority="45">
      <formula>$DE4="休業"</formula>
    </cfRule>
  </conditionalFormatting>
  <conditionalFormatting sqref="DJ4:DJ34">
    <cfRule type="expression" dxfId="80" priority="46">
      <formula>$DJ4="有給"</formula>
    </cfRule>
    <cfRule type="expression" dxfId="79" priority="47">
      <formula>$DJ4="休業"</formula>
    </cfRule>
  </conditionalFormatting>
  <conditionalFormatting sqref="DO4:DO34">
    <cfRule type="expression" dxfId="78" priority="48">
      <formula>$DO4="有給"</formula>
    </cfRule>
    <cfRule type="expression" dxfId="77" priority="49">
      <formula>$DO4="休業"</formula>
    </cfRule>
  </conditionalFormatting>
  <conditionalFormatting sqref="DT4:DT34">
    <cfRule type="expression" dxfId="76" priority="51">
      <formula>$DT4="休業"</formula>
    </cfRule>
    <cfRule type="expression" dxfId="75" priority="50">
      <formula>$DT4="有給"</formula>
    </cfRule>
  </conditionalFormatting>
  <conditionalFormatting sqref="DY4:DY34">
    <cfRule type="expression" dxfId="74" priority="52">
      <formula>$DY4="有給"</formula>
    </cfRule>
    <cfRule type="expression" dxfId="73" priority="53">
      <formula>$DY4="休業"</formula>
    </cfRule>
  </conditionalFormatting>
  <conditionalFormatting sqref="ED4:ED34">
    <cfRule type="expression" dxfId="72" priority="54">
      <formula>$ED4="有給"</formula>
    </cfRule>
    <cfRule type="expression" dxfId="71" priority="55">
      <formula>$ED4="休業"</formula>
    </cfRule>
  </conditionalFormatting>
  <conditionalFormatting sqref="EI4:EI34">
    <cfRule type="expression" dxfId="70" priority="56">
      <formula>$EI4="有給"</formula>
    </cfRule>
    <cfRule type="expression" dxfId="69" priority="57">
      <formula>$EI4="休業"</formula>
    </cfRule>
  </conditionalFormatting>
  <conditionalFormatting sqref="EN4:EN34">
    <cfRule type="expression" dxfId="68" priority="58">
      <formula>$EN4="有給"</formula>
    </cfRule>
    <cfRule type="expression" dxfId="67" priority="59">
      <formula>$EN4="休業"</formula>
    </cfRule>
  </conditionalFormatting>
  <conditionalFormatting sqref="ES4:ES34">
    <cfRule type="expression" dxfId="66" priority="60">
      <formula>$ES4="有給"</formula>
    </cfRule>
    <cfRule type="expression" dxfId="65" priority="61">
      <formula>$ES4="休業"</formula>
    </cfRule>
  </conditionalFormatting>
  <pageMargins left="0.31496062992125984" right="0.31496062992125984" top="0.98425196850393704" bottom="0.98425196850393704" header="0.51181102362204722" footer="0.51181102362204722"/>
  <pageSetup paperSize="8" scale="14" orientation="landscape" horizontalDpi="300" verticalDpi="300" r:id="rId1"/>
  <headerFooter>
    <oddFooter>&amp;C&amp;"ＭＳ Ｐゴシック,標準"制作：有限会社水越設備&amp;Rsp-mizukoshi.jp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00000000-0002-0000-0F00-000000000000}">
          <x14:formula1>
            <xm:f>現場マスタ!$C$4:$C$43</xm:f>
          </x14:formula1>
          <x14:formula2>
            <xm:f>0</xm:f>
          </x14:formula2>
          <xm:sqref>D4:E34 I4:J34 N4:O34 S4:T34 X4:Y34 AC4:AD34 AH4:AI34 AM4:AN34 AR4:AS34 AW4:AX34 BB4:BC34 BG4:BH34 BL4:BM34 BQ4:BR34 BV4:BW34 CA4:CB34 CF4:CG34 CK4:CL34 CP4:CQ34 CU4:CV34 CZ4:DA34 DE4:DF34 DJ4:DK34 DO4:DP34 DT4:DU34 DY4:DZ34 ED4:EE34 EI4:EJ34 EN4:EO34 ES4:ET34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H39"/>
  <sheetViews>
    <sheetView topLeftCell="A7" zoomScaleNormal="100" workbookViewId="0">
      <selection sqref="A1:EW1"/>
    </sheetView>
  </sheetViews>
  <sheetFormatPr defaultColWidth="8.7109375" defaultRowHeight="15"/>
  <cols>
    <col min="1" max="1" width="5" customWidth="1"/>
    <col min="2" max="2" width="4" customWidth="1"/>
    <col min="3" max="4" width="14" customWidth="1"/>
    <col min="5" max="6" width="6" customWidth="1"/>
    <col min="7" max="7" width="7" customWidth="1"/>
    <col min="8" max="8" width="12" customWidth="1"/>
  </cols>
  <sheetData>
    <row r="1" spans="1:8" ht="27.75" customHeight="1">
      <c r="A1" s="90" t="s">
        <v>133</v>
      </c>
      <c r="B1" s="90"/>
      <c r="C1" s="90"/>
      <c r="D1" s="90"/>
      <c r="E1" s="90"/>
      <c r="F1" s="90"/>
      <c r="G1" s="90"/>
      <c r="H1" s="90"/>
    </row>
    <row r="2" spans="1:8" ht="18" customHeight="1">
      <c r="A2" s="113" t="s">
        <v>134</v>
      </c>
      <c r="B2" s="113"/>
      <c r="C2" s="113"/>
      <c r="D2" s="113"/>
      <c r="E2" s="113"/>
      <c r="F2" s="113"/>
      <c r="G2" s="113"/>
      <c r="H2" s="113"/>
    </row>
    <row r="3" spans="1:8" ht="27.75" customHeight="1">
      <c r="A3" s="49" t="s">
        <v>135</v>
      </c>
      <c r="B3" s="114" t="str">
        <f>対象年度&amp;"年 "&amp;$B$4&amp;"月"</f>
        <v>2026年 1月</v>
      </c>
      <c r="C3" s="114"/>
      <c r="D3" s="49" t="s">
        <v>136</v>
      </c>
      <c r="E3" s="115" t="s">
        <v>137</v>
      </c>
      <c r="F3" s="115"/>
      <c r="G3" s="115"/>
      <c r="H3" s="115"/>
    </row>
    <row r="4" spans="1:8" ht="19.5" customHeight="1">
      <c r="A4" s="50" t="s">
        <v>138</v>
      </c>
      <c r="B4" s="51">
        <v>1</v>
      </c>
      <c r="C4" s="52" t="s">
        <v>139</v>
      </c>
      <c r="D4" s="53" t="s">
        <v>140</v>
      </c>
      <c r="E4" s="53" t="s">
        <v>141</v>
      </c>
      <c r="F4" s="53" t="s">
        <v>142</v>
      </c>
      <c r="G4" s="116" t="s">
        <v>143</v>
      </c>
      <c r="H4" s="116"/>
    </row>
    <row r="5" spans="1:8" ht="48" customHeight="1">
      <c r="A5" s="110"/>
      <c r="B5" s="110"/>
      <c r="C5" s="110"/>
      <c r="D5" s="54"/>
      <c r="E5" s="54"/>
      <c r="F5" s="54"/>
      <c r="G5" s="54"/>
      <c r="H5" s="54"/>
    </row>
    <row r="6" spans="1:8" ht="21.75" customHeight="1">
      <c r="A6" s="55" t="s">
        <v>108</v>
      </c>
      <c r="B6" s="55" t="s">
        <v>109</v>
      </c>
      <c r="C6" s="55" t="s">
        <v>111</v>
      </c>
      <c r="D6" s="56" t="s">
        <v>112</v>
      </c>
      <c r="E6" s="55" t="s">
        <v>113</v>
      </c>
      <c r="F6" s="55" t="s">
        <v>114</v>
      </c>
      <c r="G6" s="55" t="s">
        <v>115</v>
      </c>
      <c r="H6" s="55" t="s">
        <v>75</v>
      </c>
    </row>
    <row r="7" spans="1:8" ht="15" customHeight="1">
      <c r="A7" s="57">
        <f>IF(DAY(DATE(対象年度,$B$4,1))&lt;&gt;1,"",1)</f>
        <v>1</v>
      </c>
      <c r="B7" s="57" t="str">
        <f>IF(DAY(DATE(対象年度,$B$4,1))&lt;&gt;1,"",CHOOSE(WEEKDAY(DATE(対象年度,$B$4,1),2),"月","火","水","木","金","土","日"))</f>
        <v>木</v>
      </c>
      <c r="C7" s="57" t="str">
        <f ca="1">IFERROR(IF(INDEX(INDIRECT("'"&amp;$B$4&amp;"月"&amp;"'!A:AZ"),4,(4 + (MATCH($E$3,従業員マスタ!$C$4:$C$33,0)-1)*5)+0)="","",INDEX(INDIRECT("'"&amp;$B$4&amp;"月"&amp;"'!A:AZ"),4,(4 + (MATCH($E$3,従業員マスタ!$C$4:$C$33,0)-1)*5)+0)),"")</f>
        <v/>
      </c>
      <c r="D7" s="58" t="str">
        <f ca="1">IFERROR(IF(INDEX(INDIRECT("'"&amp;$B$4&amp;"月"&amp;"'!A:AZ"),4,(4 + (MATCH($E$3,従業員マスタ!$C$4:$C$33,0)-1)*5)+1)="","",INDEX(INDIRECT("'"&amp;$B$4&amp;"月"&amp;"'!A:AZ"),4,(4 + (MATCH($E$3,従業員マスタ!$C$4:$C$33,0)-1)*5)+1)),"")</f>
        <v/>
      </c>
      <c r="E7" s="57" t="str">
        <f ca="1">IFERROR(IF(INDEX(INDIRECT("'"&amp;$B$4&amp;"月"&amp;"'!A:AZ"),4,(4 + (MATCH($E$3,従業員マスタ!$C$4:$C$33,0)-1)*5)+2)="","",INDEX(INDIRECT("'"&amp;$B$4&amp;"月"&amp;"'!A:AZ"),4,(4 + (MATCH($E$3,従業員マスタ!$C$4:$C$33,0)-1)*5)+2)),"")</f>
        <v/>
      </c>
      <c r="F7" s="59" t="str">
        <f ca="1">IFERROR(IF(INDEX(INDIRECT("'"&amp;$B$4&amp;"月"&amp;"'!A:AZ"),4,(4 + (MATCH($E$3,従業員マスタ!$C$4:$C$33,0)-1)*5)+3)="","",INDEX(INDIRECT("'"&amp;$B$4&amp;"月"&amp;"'!A:AZ"),4,(4 + (MATCH($E$3,従業員マスタ!$C$4:$C$33,0)-1)*5)+3)),"")</f>
        <v/>
      </c>
      <c r="G7" s="57" t="str">
        <f ca="1">IFERROR(IF(INDEX(INDIRECT("'"&amp;$B$4&amp;"月"&amp;"'!A:AZ"),4,(4 + (MATCH($E$3,従業員マスタ!$C$4:$C$33,0)-1)*5)+4)="","",INDEX(INDIRECT("'"&amp;$B$4&amp;"月"&amp;"'!A:AZ"),4,(4 + (MATCH($E$3,従業員マスタ!$C$4:$C$33,0)-1)*5)+4)),"")</f>
        <v/>
      </c>
      <c r="H7" s="57"/>
    </row>
    <row r="8" spans="1:8" ht="15" customHeight="1">
      <c r="A8" s="57">
        <f>IF(DAY(DATE(対象年度,$B$4,2))&lt;&gt;2,"",2)</f>
        <v>2</v>
      </c>
      <c r="B8" s="57" t="str">
        <f>IF(DAY(DATE(対象年度,$B$4,2))&lt;&gt;2,"",CHOOSE(WEEKDAY(DATE(対象年度,$B$4,2),2),"月","火","水","木","金","土","日"))</f>
        <v>金</v>
      </c>
      <c r="C8" s="57" t="str">
        <f ca="1">IFERROR(IF(INDEX(INDIRECT("'"&amp;$B$4&amp;"月"&amp;"'!A:AZ"),5,(4 + (MATCH($E$3,従業員マスタ!$C$4:$C$33,0)-1)*5)+0)="","",INDEX(INDIRECT("'"&amp;$B$4&amp;"月"&amp;"'!A:AZ"),5,(4 + (MATCH($E$3,従業員マスタ!$C$4:$C$33,0)-1)*5)+0)),"")</f>
        <v/>
      </c>
      <c r="D8" s="58" t="str">
        <f ca="1">IFERROR(IF(INDEX(INDIRECT("'"&amp;$B$4&amp;"月"&amp;"'!A:AZ"),5,(4 + (MATCH($E$3,従業員マスタ!$C$4:$C$33,0)-1)*5)+1)="","",INDEX(INDIRECT("'"&amp;$B$4&amp;"月"&amp;"'!A:AZ"),5,(4 + (MATCH($E$3,従業員マスタ!$C$4:$C$33,0)-1)*5)+1)),"")</f>
        <v/>
      </c>
      <c r="E8" s="57" t="str">
        <f ca="1">IFERROR(IF(INDEX(INDIRECT("'"&amp;$B$4&amp;"月"&amp;"'!A:AZ"),5,(4 + (MATCH($E$3,従業員マスタ!$C$4:$C$33,0)-1)*5)+2)="","",INDEX(INDIRECT("'"&amp;$B$4&amp;"月"&amp;"'!A:AZ"),5,(4 + (MATCH($E$3,従業員マスタ!$C$4:$C$33,0)-1)*5)+2)),"")</f>
        <v/>
      </c>
      <c r="F8" s="59" t="str">
        <f ca="1">IFERROR(IF(INDEX(INDIRECT("'"&amp;$B$4&amp;"月"&amp;"'!A:AZ"),5,(4 + (MATCH($E$3,従業員マスタ!$C$4:$C$33,0)-1)*5)+3)="","",INDEX(INDIRECT("'"&amp;$B$4&amp;"月"&amp;"'!A:AZ"),5,(4 + (MATCH($E$3,従業員マスタ!$C$4:$C$33,0)-1)*5)+3)),"")</f>
        <v/>
      </c>
      <c r="G8" s="57" t="str">
        <f ca="1">IFERROR(IF(INDEX(INDIRECT("'"&amp;$B$4&amp;"月"&amp;"'!A:AZ"),5,(4 + (MATCH($E$3,従業員マスタ!$C$4:$C$33,0)-1)*5)+4)="","",INDEX(INDIRECT("'"&amp;$B$4&amp;"月"&amp;"'!A:AZ"),5,(4 + (MATCH($E$3,従業員マスタ!$C$4:$C$33,0)-1)*5)+4)),"")</f>
        <v/>
      </c>
      <c r="H8" s="57"/>
    </row>
    <row r="9" spans="1:8" ht="15" customHeight="1">
      <c r="A9" s="57">
        <f>IF(DAY(DATE(対象年度,$B$4,3))&lt;&gt;3,"",3)</f>
        <v>3</v>
      </c>
      <c r="B9" s="57" t="str">
        <f>IF(DAY(DATE(対象年度,$B$4,3))&lt;&gt;3,"",CHOOSE(WEEKDAY(DATE(対象年度,$B$4,3),2),"月","火","水","木","金","土","日"))</f>
        <v>土</v>
      </c>
      <c r="C9" s="57" t="str">
        <f ca="1">IFERROR(IF(INDEX(INDIRECT("'"&amp;$B$4&amp;"月"&amp;"'!A:AZ"),6,(4 + (MATCH($E$3,従業員マスタ!$C$4:$C$33,0)-1)*5)+0)="","",INDEX(INDIRECT("'"&amp;$B$4&amp;"月"&amp;"'!A:AZ"),6,(4 + (MATCH($E$3,従業員マスタ!$C$4:$C$33,0)-1)*5)+0)),"")</f>
        <v/>
      </c>
      <c r="D9" s="58" t="str">
        <f ca="1">IFERROR(IF(INDEX(INDIRECT("'"&amp;$B$4&amp;"月"&amp;"'!A:AZ"),6,(4 + (MATCH($E$3,従業員マスタ!$C$4:$C$33,0)-1)*5)+1)="","",INDEX(INDIRECT("'"&amp;$B$4&amp;"月"&amp;"'!A:AZ"),6,(4 + (MATCH($E$3,従業員マスタ!$C$4:$C$33,0)-1)*5)+1)),"")</f>
        <v/>
      </c>
      <c r="E9" s="57" t="str">
        <f ca="1">IFERROR(IF(INDEX(INDIRECT("'"&amp;$B$4&amp;"月"&amp;"'!A:AZ"),6,(4 + (MATCH($E$3,従業員マスタ!$C$4:$C$33,0)-1)*5)+2)="","",INDEX(INDIRECT("'"&amp;$B$4&amp;"月"&amp;"'!A:AZ"),6,(4 + (MATCH($E$3,従業員マスタ!$C$4:$C$33,0)-1)*5)+2)),"")</f>
        <v/>
      </c>
      <c r="F9" s="59" t="str">
        <f ca="1">IFERROR(IF(INDEX(INDIRECT("'"&amp;$B$4&amp;"月"&amp;"'!A:AZ"),6,(4 + (MATCH($E$3,従業員マスタ!$C$4:$C$33,0)-1)*5)+3)="","",INDEX(INDIRECT("'"&amp;$B$4&amp;"月"&amp;"'!A:AZ"),6,(4 + (MATCH($E$3,従業員マスタ!$C$4:$C$33,0)-1)*5)+3)),"")</f>
        <v/>
      </c>
      <c r="G9" s="57" t="str">
        <f ca="1">IFERROR(IF(INDEX(INDIRECT("'"&amp;$B$4&amp;"月"&amp;"'!A:AZ"),6,(4 + (MATCH($E$3,従業員マスタ!$C$4:$C$33,0)-1)*5)+4)="","",INDEX(INDIRECT("'"&amp;$B$4&amp;"月"&amp;"'!A:AZ"),6,(4 + (MATCH($E$3,従業員マスタ!$C$4:$C$33,0)-1)*5)+4)),"")</f>
        <v/>
      </c>
      <c r="H9" s="57"/>
    </row>
    <row r="10" spans="1:8" ht="15" customHeight="1">
      <c r="A10" s="57">
        <f>IF(DAY(DATE(対象年度,$B$4,4))&lt;&gt;4,"",4)</f>
        <v>4</v>
      </c>
      <c r="B10" s="57" t="str">
        <f>IF(DAY(DATE(対象年度,$B$4,4))&lt;&gt;4,"",CHOOSE(WEEKDAY(DATE(対象年度,$B$4,4),2),"月","火","水","木","金","土","日"))</f>
        <v>日</v>
      </c>
      <c r="C10" s="57" t="str">
        <f ca="1">IFERROR(IF(INDEX(INDIRECT("'"&amp;$B$4&amp;"月"&amp;"'!A:AZ"),7,(4 + (MATCH($E$3,従業員マスタ!$C$4:$C$33,0)-1)*5)+0)="","",INDEX(INDIRECT("'"&amp;$B$4&amp;"月"&amp;"'!A:AZ"),7,(4 + (MATCH($E$3,従業員マスタ!$C$4:$C$33,0)-1)*5)+0)),"")</f>
        <v/>
      </c>
      <c r="D10" s="58" t="str">
        <f ca="1">IFERROR(IF(INDEX(INDIRECT("'"&amp;$B$4&amp;"月"&amp;"'!A:AZ"),7,(4 + (MATCH($E$3,従業員マスタ!$C$4:$C$33,0)-1)*5)+1)="","",INDEX(INDIRECT("'"&amp;$B$4&amp;"月"&amp;"'!A:AZ"),7,(4 + (MATCH($E$3,従業員マスタ!$C$4:$C$33,0)-1)*5)+1)),"")</f>
        <v/>
      </c>
      <c r="E10" s="57" t="str">
        <f ca="1">IFERROR(IF(INDEX(INDIRECT("'"&amp;$B$4&amp;"月"&amp;"'!A:AZ"),7,(4 + (MATCH($E$3,従業員マスタ!$C$4:$C$33,0)-1)*5)+2)="","",INDEX(INDIRECT("'"&amp;$B$4&amp;"月"&amp;"'!A:AZ"),7,(4 + (MATCH($E$3,従業員マスタ!$C$4:$C$33,0)-1)*5)+2)),"")</f>
        <v/>
      </c>
      <c r="F10" s="59" t="str">
        <f ca="1">IFERROR(IF(INDEX(INDIRECT("'"&amp;$B$4&amp;"月"&amp;"'!A:AZ"),7,(4 + (MATCH($E$3,従業員マスタ!$C$4:$C$33,0)-1)*5)+3)="","",INDEX(INDIRECT("'"&amp;$B$4&amp;"月"&amp;"'!A:AZ"),7,(4 + (MATCH($E$3,従業員マスタ!$C$4:$C$33,0)-1)*5)+3)),"")</f>
        <v/>
      </c>
      <c r="G10" s="57" t="str">
        <f ca="1">IFERROR(IF(INDEX(INDIRECT("'"&amp;$B$4&amp;"月"&amp;"'!A:AZ"),7,(4 + (MATCH($E$3,従業員マスタ!$C$4:$C$33,0)-1)*5)+4)="","",INDEX(INDIRECT("'"&amp;$B$4&amp;"月"&amp;"'!A:AZ"),7,(4 + (MATCH($E$3,従業員マスタ!$C$4:$C$33,0)-1)*5)+4)),"")</f>
        <v/>
      </c>
      <c r="H10" s="57"/>
    </row>
    <row r="11" spans="1:8" ht="15" customHeight="1">
      <c r="A11" s="57">
        <f>IF(DAY(DATE(対象年度,$B$4,5))&lt;&gt;5,"",5)</f>
        <v>5</v>
      </c>
      <c r="B11" s="57" t="str">
        <f>IF(DAY(DATE(対象年度,$B$4,5))&lt;&gt;5,"",CHOOSE(WEEKDAY(DATE(対象年度,$B$4,5),2),"月","火","水","木","金","土","日"))</f>
        <v>月</v>
      </c>
      <c r="C11" s="57" t="str">
        <f ca="1">IFERROR(IF(INDEX(INDIRECT("'"&amp;$B$4&amp;"月"&amp;"'!A:AZ"),8,(4 + (MATCH($E$3,従業員マスタ!$C$4:$C$33,0)-1)*5)+0)="","",INDEX(INDIRECT("'"&amp;$B$4&amp;"月"&amp;"'!A:AZ"),8,(4 + (MATCH($E$3,従業員マスタ!$C$4:$C$33,0)-1)*5)+0)),"")</f>
        <v/>
      </c>
      <c r="D11" s="58" t="str">
        <f ca="1">IFERROR(IF(INDEX(INDIRECT("'"&amp;$B$4&amp;"月"&amp;"'!A:AZ"),8,(4 + (MATCH($E$3,従業員マスタ!$C$4:$C$33,0)-1)*5)+1)="","",INDEX(INDIRECT("'"&amp;$B$4&amp;"月"&amp;"'!A:AZ"),8,(4 + (MATCH($E$3,従業員マスタ!$C$4:$C$33,0)-1)*5)+1)),"")</f>
        <v/>
      </c>
      <c r="E11" s="57" t="str">
        <f ca="1">IFERROR(IF(INDEX(INDIRECT("'"&amp;$B$4&amp;"月"&amp;"'!A:AZ"),8,(4 + (MATCH($E$3,従業員マスタ!$C$4:$C$33,0)-1)*5)+2)="","",INDEX(INDIRECT("'"&amp;$B$4&amp;"月"&amp;"'!A:AZ"),8,(4 + (MATCH($E$3,従業員マスタ!$C$4:$C$33,0)-1)*5)+2)),"")</f>
        <v/>
      </c>
      <c r="F11" s="59" t="str">
        <f ca="1">IFERROR(IF(INDEX(INDIRECT("'"&amp;$B$4&amp;"月"&amp;"'!A:AZ"),8,(4 + (MATCH($E$3,従業員マスタ!$C$4:$C$33,0)-1)*5)+3)="","",INDEX(INDIRECT("'"&amp;$B$4&amp;"月"&amp;"'!A:AZ"),8,(4 + (MATCH($E$3,従業員マスタ!$C$4:$C$33,0)-1)*5)+3)),"")</f>
        <v/>
      </c>
      <c r="G11" s="57" t="str">
        <f ca="1">IFERROR(IF(INDEX(INDIRECT("'"&amp;$B$4&amp;"月"&amp;"'!A:AZ"),8,(4 + (MATCH($E$3,従業員マスタ!$C$4:$C$33,0)-1)*5)+4)="","",INDEX(INDIRECT("'"&amp;$B$4&amp;"月"&amp;"'!A:AZ"),8,(4 + (MATCH($E$3,従業員マスタ!$C$4:$C$33,0)-1)*5)+4)),"")</f>
        <v/>
      </c>
      <c r="H11" s="57"/>
    </row>
    <row r="12" spans="1:8" ht="15" customHeight="1">
      <c r="A12" s="57">
        <f>IF(DAY(DATE(対象年度,$B$4,6))&lt;&gt;6,"",6)</f>
        <v>6</v>
      </c>
      <c r="B12" s="57" t="str">
        <f>IF(DAY(DATE(対象年度,$B$4,6))&lt;&gt;6,"",CHOOSE(WEEKDAY(DATE(対象年度,$B$4,6),2),"月","火","水","木","金","土","日"))</f>
        <v>火</v>
      </c>
      <c r="C12" s="57" t="str">
        <f ca="1">IFERROR(IF(INDEX(INDIRECT("'"&amp;$B$4&amp;"月"&amp;"'!A:AZ"),9,(4 + (MATCH($E$3,従業員マスタ!$C$4:$C$33,0)-1)*5)+0)="","",INDEX(INDIRECT("'"&amp;$B$4&amp;"月"&amp;"'!A:AZ"),9,(4 + (MATCH($E$3,従業員マスタ!$C$4:$C$33,0)-1)*5)+0)),"")</f>
        <v/>
      </c>
      <c r="D12" s="58" t="str">
        <f ca="1">IFERROR(IF(INDEX(INDIRECT("'"&amp;$B$4&amp;"月"&amp;"'!A:AZ"),9,(4 + (MATCH($E$3,従業員マスタ!$C$4:$C$33,0)-1)*5)+1)="","",INDEX(INDIRECT("'"&amp;$B$4&amp;"月"&amp;"'!A:AZ"),9,(4 + (MATCH($E$3,従業員マスタ!$C$4:$C$33,0)-1)*5)+1)),"")</f>
        <v/>
      </c>
      <c r="E12" s="57" t="str">
        <f ca="1">IFERROR(IF(INDEX(INDIRECT("'"&amp;$B$4&amp;"月"&amp;"'!A:AZ"),9,(4 + (MATCH($E$3,従業員マスタ!$C$4:$C$33,0)-1)*5)+2)="","",INDEX(INDIRECT("'"&amp;$B$4&amp;"月"&amp;"'!A:AZ"),9,(4 + (MATCH($E$3,従業員マスタ!$C$4:$C$33,0)-1)*5)+2)),"")</f>
        <v/>
      </c>
      <c r="F12" s="59" t="str">
        <f ca="1">IFERROR(IF(INDEX(INDIRECT("'"&amp;$B$4&amp;"月"&amp;"'!A:AZ"),9,(4 + (MATCH($E$3,従業員マスタ!$C$4:$C$33,0)-1)*5)+3)="","",INDEX(INDIRECT("'"&amp;$B$4&amp;"月"&amp;"'!A:AZ"),9,(4 + (MATCH($E$3,従業員マスタ!$C$4:$C$33,0)-1)*5)+3)),"")</f>
        <v/>
      </c>
      <c r="G12" s="57" t="str">
        <f ca="1">IFERROR(IF(INDEX(INDIRECT("'"&amp;$B$4&amp;"月"&amp;"'!A:AZ"),9,(4 + (MATCH($E$3,従業員マスタ!$C$4:$C$33,0)-1)*5)+4)="","",INDEX(INDIRECT("'"&amp;$B$4&amp;"月"&amp;"'!A:AZ"),9,(4 + (MATCH($E$3,従業員マスタ!$C$4:$C$33,0)-1)*5)+4)),"")</f>
        <v/>
      </c>
      <c r="H12" s="57"/>
    </row>
    <row r="13" spans="1:8" ht="15" customHeight="1">
      <c r="A13" s="57">
        <f>IF(DAY(DATE(対象年度,$B$4,7))&lt;&gt;7,"",7)</f>
        <v>7</v>
      </c>
      <c r="B13" s="57" t="str">
        <f>IF(DAY(DATE(対象年度,$B$4,7))&lt;&gt;7,"",CHOOSE(WEEKDAY(DATE(対象年度,$B$4,7),2),"月","火","水","木","金","土","日"))</f>
        <v>水</v>
      </c>
      <c r="C13" s="57" t="str">
        <f ca="1">IFERROR(IF(INDEX(INDIRECT("'"&amp;$B$4&amp;"月"&amp;"'!A:AZ"),10,(4 + (MATCH($E$3,従業員マスタ!$C$4:$C$33,0)-1)*5)+0)="","",INDEX(INDIRECT("'"&amp;$B$4&amp;"月"&amp;"'!A:AZ"),10,(4 + (MATCH($E$3,従業員マスタ!$C$4:$C$33,0)-1)*5)+0)),"")</f>
        <v/>
      </c>
      <c r="D13" s="58" t="str">
        <f ca="1">IFERROR(IF(INDEX(INDIRECT("'"&amp;$B$4&amp;"月"&amp;"'!A:AZ"),10,(4 + (MATCH($E$3,従業員マスタ!$C$4:$C$33,0)-1)*5)+1)="","",INDEX(INDIRECT("'"&amp;$B$4&amp;"月"&amp;"'!A:AZ"),10,(4 + (MATCH($E$3,従業員マスタ!$C$4:$C$33,0)-1)*5)+1)),"")</f>
        <v/>
      </c>
      <c r="E13" s="57" t="str">
        <f ca="1">IFERROR(IF(INDEX(INDIRECT("'"&amp;$B$4&amp;"月"&amp;"'!A:AZ"),10,(4 + (MATCH($E$3,従業員マスタ!$C$4:$C$33,0)-1)*5)+2)="","",INDEX(INDIRECT("'"&amp;$B$4&amp;"月"&amp;"'!A:AZ"),10,(4 + (MATCH($E$3,従業員マスタ!$C$4:$C$33,0)-1)*5)+2)),"")</f>
        <v/>
      </c>
      <c r="F13" s="59" t="str">
        <f ca="1">IFERROR(IF(INDEX(INDIRECT("'"&amp;$B$4&amp;"月"&amp;"'!A:AZ"),10,(4 + (MATCH($E$3,従業員マスタ!$C$4:$C$33,0)-1)*5)+3)="","",INDEX(INDIRECT("'"&amp;$B$4&amp;"月"&amp;"'!A:AZ"),10,(4 + (MATCH($E$3,従業員マスタ!$C$4:$C$33,0)-1)*5)+3)),"")</f>
        <v/>
      </c>
      <c r="G13" s="57" t="str">
        <f ca="1">IFERROR(IF(INDEX(INDIRECT("'"&amp;$B$4&amp;"月"&amp;"'!A:AZ"),10,(4 + (MATCH($E$3,従業員マスタ!$C$4:$C$33,0)-1)*5)+4)="","",INDEX(INDIRECT("'"&amp;$B$4&amp;"月"&amp;"'!A:AZ"),10,(4 + (MATCH($E$3,従業員マスタ!$C$4:$C$33,0)-1)*5)+4)),"")</f>
        <v/>
      </c>
      <c r="H13" s="57"/>
    </row>
    <row r="14" spans="1:8" ht="15" customHeight="1">
      <c r="A14" s="57">
        <f>IF(DAY(DATE(対象年度,$B$4,8))&lt;&gt;8,"",8)</f>
        <v>8</v>
      </c>
      <c r="B14" s="57" t="str">
        <f>IF(DAY(DATE(対象年度,$B$4,8))&lt;&gt;8,"",CHOOSE(WEEKDAY(DATE(対象年度,$B$4,8),2),"月","火","水","木","金","土","日"))</f>
        <v>木</v>
      </c>
      <c r="C14" s="57" t="str">
        <f ca="1">IFERROR(IF(INDEX(INDIRECT("'"&amp;$B$4&amp;"月"&amp;"'!A:AZ"),11,(4 + (MATCH($E$3,従業員マスタ!$C$4:$C$33,0)-1)*5)+0)="","",INDEX(INDIRECT("'"&amp;$B$4&amp;"月"&amp;"'!A:AZ"),11,(4 + (MATCH($E$3,従業員マスタ!$C$4:$C$33,0)-1)*5)+0)),"")</f>
        <v/>
      </c>
      <c r="D14" s="58" t="str">
        <f ca="1">IFERROR(IF(INDEX(INDIRECT("'"&amp;$B$4&amp;"月"&amp;"'!A:AZ"),11,(4 + (MATCH($E$3,従業員マスタ!$C$4:$C$33,0)-1)*5)+1)="","",INDEX(INDIRECT("'"&amp;$B$4&amp;"月"&amp;"'!A:AZ"),11,(4 + (MATCH($E$3,従業員マスタ!$C$4:$C$33,0)-1)*5)+1)),"")</f>
        <v/>
      </c>
      <c r="E14" s="57" t="str">
        <f ca="1">IFERROR(IF(INDEX(INDIRECT("'"&amp;$B$4&amp;"月"&amp;"'!A:AZ"),11,(4 + (MATCH($E$3,従業員マスタ!$C$4:$C$33,0)-1)*5)+2)="","",INDEX(INDIRECT("'"&amp;$B$4&amp;"月"&amp;"'!A:AZ"),11,(4 + (MATCH($E$3,従業員マスタ!$C$4:$C$33,0)-1)*5)+2)),"")</f>
        <v/>
      </c>
      <c r="F14" s="59" t="str">
        <f ca="1">IFERROR(IF(INDEX(INDIRECT("'"&amp;$B$4&amp;"月"&amp;"'!A:AZ"),11,(4 + (MATCH($E$3,従業員マスタ!$C$4:$C$33,0)-1)*5)+3)="","",INDEX(INDIRECT("'"&amp;$B$4&amp;"月"&amp;"'!A:AZ"),11,(4 + (MATCH($E$3,従業員マスタ!$C$4:$C$33,0)-1)*5)+3)),"")</f>
        <v/>
      </c>
      <c r="G14" s="57" t="str">
        <f ca="1">IFERROR(IF(INDEX(INDIRECT("'"&amp;$B$4&amp;"月"&amp;"'!A:AZ"),11,(4 + (MATCH($E$3,従業員マスタ!$C$4:$C$33,0)-1)*5)+4)="","",INDEX(INDIRECT("'"&amp;$B$4&amp;"月"&amp;"'!A:AZ"),11,(4 + (MATCH($E$3,従業員マスタ!$C$4:$C$33,0)-1)*5)+4)),"")</f>
        <v/>
      </c>
      <c r="H14" s="57"/>
    </row>
    <row r="15" spans="1:8" ht="15" customHeight="1">
      <c r="A15" s="57">
        <f>IF(DAY(DATE(対象年度,$B$4,9))&lt;&gt;9,"",9)</f>
        <v>9</v>
      </c>
      <c r="B15" s="57" t="str">
        <f>IF(DAY(DATE(対象年度,$B$4,9))&lt;&gt;9,"",CHOOSE(WEEKDAY(DATE(対象年度,$B$4,9),2),"月","火","水","木","金","土","日"))</f>
        <v>金</v>
      </c>
      <c r="C15" s="57" t="str">
        <f ca="1">IFERROR(IF(INDEX(INDIRECT("'"&amp;$B$4&amp;"月"&amp;"'!A:AZ"),12,(4 + (MATCH($E$3,従業員マスタ!$C$4:$C$33,0)-1)*5)+0)="","",INDEX(INDIRECT("'"&amp;$B$4&amp;"月"&amp;"'!A:AZ"),12,(4 + (MATCH($E$3,従業員マスタ!$C$4:$C$33,0)-1)*5)+0)),"")</f>
        <v/>
      </c>
      <c r="D15" s="58" t="str">
        <f ca="1">IFERROR(IF(INDEX(INDIRECT("'"&amp;$B$4&amp;"月"&amp;"'!A:AZ"),12,(4 + (MATCH($E$3,従業員マスタ!$C$4:$C$33,0)-1)*5)+1)="","",INDEX(INDIRECT("'"&amp;$B$4&amp;"月"&amp;"'!A:AZ"),12,(4 + (MATCH($E$3,従業員マスタ!$C$4:$C$33,0)-1)*5)+1)),"")</f>
        <v/>
      </c>
      <c r="E15" s="57" t="str">
        <f ca="1">IFERROR(IF(INDEX(INDIRECT("'"&amp;$B$4&amp;"月"&amp;"'!A:AZ"),12,(4 + (MATCH($E$3,従業員マスタ!$C$4:$C$33,0)-1)*5)+2)="","",INDEX(INDIRECT("'"&amp;$B$4&amp;"月"&amp;"'!A:AZ"),12,(4 + (MATCH($E$3,従業員マスタ!$C$4:$C$33,0)-1)*5)+2)),"")</f>
        <v/>
      </c>
      <c r="F15" s="59" t="str">
        <f ca="1">IFERROR(IF(INDEX(INDIRECT("'"&amp;$B$4&amp;"月"&amp;"'!A:AZ"),12,(4 + (MATCH($E$3,従業員マスタ!$C$4:$C$33,0)-1)*5)+3)="","",INDEX(INDIRECT("'"&amp;$B$4&amp;"月"&amp;"'!A:AZ"),12,(4 + (MATCH($E$3,従業員マスタ!$C$4:$C$33,0)-1)*5)+3)),"")</f>
        <v/>
      </c>
      <c r="G15" s="57" t="str">
        <f ca="1">IFERROR(IF(INDEX(INDIRECT("'"&amp;$B$4&amp;"月"&amp;"'!A:AZ"),12,(4 + (MATCH($E$3,従業員マスタ!$C$4:$C$33,0)-1)*5)+4)="","",INDEX(INDIRECT("'"&amp;$B$4&amp;"月"&amp;"'!A:AZ"),12,(4 + (MATCH($E$3,従業員マスタ!$C$4:$C$33,0)-1)*5)+4)),"")</f>
        <v/>
      </c>
      <c r="H15" s="57"/>
    </row>
    <row r="16" spans="1:8" ht="15" customHeight="1">
      <c r="A16" s="57">
        <f>IF(DAY(DATE(対象年度,$B$4,10))&lt;&gt;10,"",10)</f>
        <v>10</v>
      </c>
      <c r="B16" s="57" t="str">
        <f>IF(DAY(DATE(対象年度,$B$4,10))&lt;&gt;10,"",CHOOSE(WEEKDAY(DATE(対象年度,$B$4,10),2),"月","火","水","木","金","土","日"))</f>
        <v>土</v>
      </c>
      <c r="C16" s="57" t="str">
        <f ca="1">IFERROR(IF(INDEX(INDIRECT("'"&amp;$B$4&amp;"月"&amp;"'!A:AZ"),13,(4 + (MATCH($E$3,従業員マスタ!$C$4:$C$33,0)-1)*5)+0)="","",INDEX(INDIRECT("'"&amp;$B$4&amp;"月"&amp;"'!A:AZ"),13,(4 + (MATCH($E$3,従業員マスタ!$C$4:$C$33,0)-1)*5)+0)),"")</f>
        <v/>
      </c>
      <c r="D16" s="58" t="str">
        <f ca="1">IFERROR(IF(INDEX(INDIRECT("'"&amp;$B$4&amp;"月"&amp;"'!A:AZ"),13,(4 + (MATCH($E$3,従業員マスタ!$C$4:$C$33,0)-1)*5)+1)="","",INDEX(INDIRECT("'"&amp;$B$4&amp;"月"&amp;"'!A:AZ"),13,(4 + (MATCH($E$3,従業員マスタ!$C$4:$C$33,0)-1)*5)+1)),"")</f>
        <v/>
      </c>
      <c r="E16" s="57" t="str">
        <f ca="1">IFERROR(IF(INDEX(INDIRECT("'"&amp;$B$4&amp;"月"&amp;"'!A:AZ"),13,(4 + (MATCH($E$3,従業員マスタ!$C$4:$C$33,0)-1)*5)+2)="","",INDEX(INDIRECT("'"&amp;$B$4&amp;"月"&amp;"'!A:AZ"),13,(4 + (MATCH($E$3,従業員マスタ!$C$4:$C$33,0)-1)*5)+2)),"")</f>
        <v/>
      </c>
      <c r="F16" s="59" t="str">
        <f ca="1">IFERROR(IF(INDEX(INDIRECT("'"&amp;$B$4&amp;"月"&amp;"'!A:AZ"),13,(4 + (MATCH($E$3,従業員マスタ!$C$4:$C$33,0)-1)*5)+3)="","",INDEX(INDIRECT("'"&amp;$B$4&amp;"月"&amp;"'!A:AZ"),13,(4 + (MATCH($E$3,従業員マスタ!$C$4:$C$33,0)-1)*5)+3)),"")</f>
        <v/>
      </c>
      <c r="G16" s="57" t="str">
        <f ca="1">IFERROR(IF(INDEX(INDIRECT("'"&amp;$B$4&amp;"月"&amp;"'!A:AZ"),13,(4 + (MATCH($E$3,従業員マスタ!$C$4:$C$33,0)-1)*5)+4)="","",INDEX(INDIRECT("'"&amp;$B$4&amp;"月"&amp;"'!A:AZ"),13,(4 + (MATCH($E$3,従業員マスタ!$C$4:$C$33,0)-1)*5)+4)),"")</f>
        <v/>
      </c>
      <c r="H16" s="57"/>
    </row>
    <row r="17" spans="1:8" ht="15" customHeight="1">
      <c r="A17" s="57">
        <f>IF(DAY(DATE(対象年度,$B$4,11))&lt;&gt;11,"",11)</f>
        <v>11</v>
      </c>
      <c r="B17" s="57" t="str">
        <f>IF(DAY(DATE(対象年度,$B$4,11))&lt;&gt;11,"",CHOOSE(WEEKDAY(DATE(対象年度,$B$4,11),2),"月","火","水","木","金","土","日"))</f>
        <v>日</v>
      </c>
      <c r="C17" s="57" t="str">
        <f ca="1">IFERROR(IF(INDEX(INDIRECT("'"&amp;$B$4&amp;"月"&amp;"'!A:AZ"),14,(4 + (MATCH($E$3,従業員マスタ!$C$4:$C$33,0)-1)*5)+0)="","",INDEX(INDIRECT("'"&amp;$B$4&amp;"月"&amp;"'!A:AZ"),14,(4 + (MATCH($E$3,従業員マスタ!$C$4:$C$33,0)-1)*5)+0)),"")</f>
        <v/>
      </c>
      <c r="D17" s="58" t="str">
        <f ca="1">IFERROR(IF(INDEX(INDIRECT("'"&amp;$B$4&amp;"月"&amp;"'!A:AZ"),14,(4 + (MATCH($E$3,従業員マスタ!$C$4:$C$33,0)-1)*5)+1)="","",INDEX(INDIRECT("'"&amp;$B$4&amp;"月"&amp;"'!A:AZ"),14,(4 + (MATCH($E$3,従業員マスタ!$C$4:$C$33,0)-1)*5)+1)),"")</f>
        <v/>
      </c>
      <c r="E17" s="57" t="str">
        <f ca="1">IFERROR(IF(INDEX(INDIRECT("'"&amp;$B$4&amp;"月"&amp;"'!A:AZ"),14,(4 + (MATCH($E$3,従業員マスタ!$C$4:$C$33,0)-1)*5)+2)="","",INDEX(INDIRECT("'"&amp;$B$4&amp;"月"&amp;"'!A:AZ"),14,(4 + (MATCH($E$3,従業員マスタ!$C$4:$C$33,0)-1)*5)+2)),"")</f>
        <v/>
      </c>
      <c r="F17" s="59" t="str">
        <f ca="1">IFERROR(IF(INDEX(INDIRECT("'"&amp;$B$4&amp;"月"&amp;"'!A:AZ"),14,(4 + (MATCH($E$3,従業員マスタ!$C$4:$C$33,0)-1)*5)+3)="","",INDEX(INDIRECT("'"&amp;$B$4&amp;"月"&amp;"'!A:AZ"),14,(4 + (MATCH($E$3,従業員マスタ!$C$4:$C$33,0)-1)*5)+3)),"")</f>
        <v/>
      </c>
      <c r="G17" s="57" t="str">
        <f ca="1">IFERROR(IF(INDEX(INDIRECT("'"&amp;$B$4&amp;"月"&amp;"'!A:AZ"),14,(4 + (MATCH($E$3,従業員マスタ!$C$4:$C$33,0)-1)*5)+4)="","",INDEX(INDIRECT("'"&amp;$B$4&amp;"月"&amp;"'!A:AZ"),14,(4 + (MATCH($E$3,従業員マスタ!$C$4:$C$33,0)-1)*5)+4)),"")</f>
        <v/>
      </c>
      <c r="H17" s="57"/>
    </row>
    <row r="18" spans="1:8" ht="15" customHeight="1">
      <c r="A18" s="57">
        <f>IF(DAY(DATE(対象年度,$B$4,12))&lt;&gt;12,"",12)</f>
        <v>12</v>
      </c>
      <c r="B18" s="57" t="str">
        <f>IF(DAY(DATE(対象年度,$B$4,12))&lt;&gt;12,"",CHOOSE(WEEKDAY(DATE(対象年度,$B$4,12),2),"月","火","水","木","金","土","日"))</f>
        <v>月</v>
      </c>
      <c r="C18" s="57" t="str">
        <f ca="1">IFERROR(IF(INDEX(INDIRECT("'"&amp;$B$4&amp;"月"&amp;"'!A:AZ"),15,(4 + (MATCH($E$3,従業員マスタ!$C$4:$C$33,0)-1)*5)+0)="","",INDEX(INDIRECT("'"&amp;$B$4&amp;"月"&amp;"'!A:AZ"),15,(4 + (MATCH($E$3,従業員マスタ!$C$4:$C$33,0)-1)*5)+0)),"")</f>
        <v/>
      </c>
      <c r="D18" s="58" t="str">
        <f ca="1">IFERROR(IF(INDEX(INDIRECT("'"&amp;$B$4&amp;"月"&amp;"'!A:AZ"),15,(4 + (MATCH($E$3,従業員マスタ!$C$4:$C$33,0)-1)*5)+1)="","",INDEX(INDIRECT("'"&amp;$B$4&amp;"月"&amp;"'!A:AZ"),15,(4 + (MATCH($E$3,従業員マスタ!$C$4:$C$33,0)-1)*5)+1)),"")</f>
        <v/>
      </c>
      <c r="E18" s="57" t="str">
        <f ca="1">IFERROR(IF(INDEX(INDIRECT("'"&amp;$B$4&amp;"月"&amp;"'!A:AZ"),15,(4 + (MATCH($E$3,従業員マスタ!$C$4:$C$33,0)-1)*5)+2)="","",INDEX(INDIRECT("'"&amp;$B$4&amp;"月"&amp;"'!A:AZ"),15,(4 + (MATCH($E$3,従業員マスタ!$C$4:$C$33,0)-1)*5)+2)),"")</f>
        <v/>
      </c>
      <c r="F18" s="59" t="str">
        <f ca="1">IFERROR(IF(INDEX(INDIRECT("'"&amp;$B$4&amp;"月"&amp;"'!A:AZ"),15,(4 + (MATCH($E$3,従業員マスタ!$C$4:$C$33,0)-1)*5)+3)="","",INDEX(INDIRECT("'"&amp;$B$4&amp;"月"&amp;"'!A:AZ"),15,(4 + (MATCH($E$3,従業員マスタ!$C$4:$C$33,0)-1)*5)+3)),"")</f>
        <v/>
      </c>
      <c r="G18" s="57" t="str">
        <f ca="1">IFERROR(IF(INDEX(INDIRECT("'"&amp;$B$4&amp;"月"&amp;"'!A:AZ"),15,(4 + (MATCH($E$3,従業員マスタ!$C$4:$C$33,0)-1)*5)+4)="","",INDEX(INDIRECT("'"&amp;$B$4&amp;"月"&amp;"'!A:AZ"),15,(4 + (MATCH($E$3,従業員マスタ!$C$4:$C$33,0)-1)*5)+4)),"")</f>
        <v/>
      </c>
      <c r="H18" s="57"/>
    </row>
    <row r="19" spans="1:8" ht="15" customHeight="1">
      <c r="A19" s="57">
        <f>IF(DAY(DATE(対象年度,$B$4,13))&lt;&gt;13,"",13)</f>
        <v>13</v>
      </c>
      <c r="B19" s="57" t="str">
        <f>IF(DAY(DATE(対象年度,$B$4,13))&lt;&gt;13,"",CHOOSE(WEEKDAY(DATE(対象年度,$B$4,13),2),"月","火","水","木","金","土","日"))</f>
        <v>火</v>
      </c>
      <c r="C19" s="57" t="str">
        <f ca="1">IFERROR(IF(INDEX(INDIRECT("'"&amp;$B$4&amp;"月"&amp;"'!A:AZ"),16,(4 + (MATCH($E$3,従業員マスタ!$C$4:$C$33,0)-1)*5)+0)="","",INDEX(INDIRECT("'"&amp;$B$4&amp;"月"&amp;"'!A:AZ"),16,(4 + (MATCH($E$3,従業員マスタ!$C$4:$C$33,0)-1)*5)+0)),"")</f>
        <v/>
      </c>
      <c r="D19" s="58" t="str">
        <f ca="1">IFERROR(IF(INDEX(INDIRECT("'"&amp;$B$4&amp;"月"&amp;"'!A:AZ"),16,(4 + (MATCH($E$3,従業員マスタ!$C$4:$C$33,0)-1)*5)+1)="","",INDEX(INDIRECT("'"&amp;$B$4&amp;"月"&amp;"'!A:AZ"),16,(4 + (MATCH($E$3,従業員マスタ!$C$4:$C$33,0)-1)*5)+1)),"")</f>
        <v/>
      </c>
      <c r="E19" s="57" t="str">
        <f ca="1">IFERROR(IF(INDEX(INDIRECT("'"&amp;$B$4&amp;"月"&amp;"'!A:AZ"),16,(4 + (MATCH($E$3,従業員マスタ!$C$4:$C$33,0)-1)*5)+2)="","",INDEX(INDIRECT("'"&amp;$B$4&amp;"月"&amp;"'!A:AZ"),16,(4 + (MATCH($E$3,従業員マスタ!$C$4:$C$33,0)-1)*5)+2)),"")</f>
        <v/>
      </c>
      <c r="F19" s="59" t="str">
        <f ca="1">IFERROR(IF(INDEX(INDIRECT("'"&amp;$B$4&amp;"月"&amp;"'!A:AZ"),16,(4 + (MATCH($E$3,従業員マスタ!$C$4:$C$33,0)-1)*5)+3)="","",INDEX(INDIRECT("'"&amp;$B$4&amp;"月"&amp;"'!A:AZ"),16,(4 + (MATCH($E$3,従業員マスタ!$C$4:$C$33,0)-1)*5)+3)),"")</f>
        <v/>
      </c>
      <c r="G19" s="57" t="str">
        <f ca="1">IFERROR(IF(INDEX(INDIRECT("'"&amp;$B$4&amp;"月"&amp;"'!A:AZ"),16,(4 + (MATCH($E$3,従業員マスタ!$C$4:$C$33,0)-1)*5)+4)="","",INDEX(INDIRECT("'"&amp;$B$4&amp;"月"&amp;"'!A:AZ"),16,(4 + (MATCH($E$3,従業員マスタ!$C$4:$C$33,0)-1)*5)+4)),"")</f>
        <v/>
      </c>
      <c r="H19" s="57"/>
    </row>
    <row r="20" spans="1:8" ht="15" customHeight="1">
      <c r="A20" s="57">
        <f>IF(DAY(DATE(対象年度,$B$4,14))&lt;&gt;14,"",14)</f>
        <v>14</v>
      </c>
      <c r="B20" s="57" t="str">
        <f>IF(DAY(DATE(対象年度,$B$4,14))&lt;&gt;14,"",CHOOSE(WEEKDAY(DATE(対象年度,$B$4,14),2),"月","火","水","木","金","土","日"))</f>
        <v>水</v>
      </c>
      <c r="C20" s="57" t="str">
        <f ca="1">IFERROR(IF(INDEX(INDIRECT("'"&amp;$B$4&amp;"月"&amp;"'!A:AZ"),17,(4 + (MATCH($E$3,従業員マスタ!$C$4:$C$33,0)-1)*5)+0)="","",INDEX(INDIRECT("'"&amp;$B$4&amp;"月"&amp;"'!A:AZ"),17,(4 + (MATCH($E$3,従業員マスタ!$C$4:$C$33,0)-1)*5)+0)),"")</f>
        <v/>
      </c>
      <c r="D20" s="58" t="str">
        <f ca="1">IFERROR(IF(INDEX(INDIRECT("'"&amp;$B$4&amp;"月"&amp;"'!A:AZ"),17,(4 + (MATCH($E$3,従業員マスタ!$C$4:$C$33,0)-1)*5)+1)="","",INDEX(INDIRECT("'"&amp;$B$4&amp;"月"&amp;"'!A:AZ"),17,(4 + (MATCH($E$3,従業員マスタ!$C$4:$C$33,0)-1)*5)+1)),"")</f>
        <v/>
      </c>
      <c r="E20" s="57" t="str">
        <f ca="1">IFERROR(IF(INDEX(INDIRECT("'"&amp;$B$4&amp;"月"&amp;"'!A:AZ"),17,(4 + (MATCH($E$3,従業員マスタ!$C$4:$C$33,0)-1)*5)+2)="","",INDEX(INDIRECT("'"&amp;$B$4&amp;"月"&amp;"'!A:AZ"),17,(4 + (MATCH($E$3,従業員マスタ!$C$4:$C$33,0)-1)*5)+2)),"")</f>
        <v/>
      </c>
      <c r="F20" s="59" t="str">
        <f ca="1">IFERROR(IF(INDEX(INDIRECT("'"&amp;$B$4&amp;"月"&amp;"'!A:AZ"),17,(4 + (MATCH($E$3,従業員マスタ!$C$4:$C$33,0)-1)*5)+3)="","",INDEX(INDIRECT("'"&amp;$B$4&amp;"月"&amp;"'!A:AZ"),17,(4 + (MATCH($E$3,従業員マスタ!$C$4:$C$33,0)-1)*5)+3)),"")</f>
        <v/>
      </c>
      <c r="G20" s="57" t="str">
        <f ca="1">IFERROR(IF(INDEX(INDIRECT("'"&amp;$B$4&amp;"月"&amp;"'!A:AZ"),17,(4 + (MATCH($E$3,従業員マスタ!$C$4:$C$33,0)-1)*5)+4)="","",INDEX(INDIRECT("'"&amp;$B$4&amp;"月"&amp;"'!A:AZ"),17,(4 + (MATCH($E$3,従業員マスタ!$C$4:$C$33,0)-1)*5)+4)),"")</f>
        <v/>
      </c>
      <c r="H20" s="57"/>
    </row>
    <row r="21" spans="1:8" ht="15" customHeight="1">
      <c r="A21" s="57">
        <f>IF(DAY(DATE(対象年度,$B$4,15))&lt;&gt;15,"",15)</f>
        <v>15</v>
      </c>
      <c r="B21" s="57" t="str">
        <f>IF(DAY(DATE(対象年度,$B$4,15))&lt;&gt;15,"",CHOOSE(WEEKDAY(DATE(対象年度,$B$4,15),2),"月","火","水","木","金","土","日"))</f>
        <v>木</v>
      </c>
      <c r="C21" s="57" t="str">
        <f ca="1">IFERROR(IF(INDEX(INDIRECT("'"&amp;$B$4&amp;"月"&amp;"'!A:AZ"),18,(4 + (MATCH($E$3,従業員マスタ!$C$4:$C$33,0)-1)*5)+0)="","",INDEX(INDIRECT("'"&amp;$B$4&amp;"月"&amp;"'!A:AZ"),18,(4 + (MATCH($E$3,従業員マスタ!$C$4:$C$33,0)-1)*5)+0)),"")</f>
        <v/>
      </c>
      <c r="D21" s="58" t="str">
        <f ca="1">IFERROR(IF(INDEX(INDIRECT("'"&amp;$B$4&amp;"月"&amp;"'!A:AZ"),18,(4 + (MATCH($E$3,従業員マスタ!$C$4:$C$33,0)-1)*5)+1)="","",INDEX(INDIRECT("'"&amp;$B$4&amp;"月"&amp;"'!A:AZ"),18,(4 + (MATCH($E$3,従業員マスタ!$C$4:$C$33,0)-1)*5)+1)),"")</f>
        <v/>
      </c>
      <c r="E21" s="57" t="str">
        <f ca="1">IFERROR(IF(INDEX(INDIRECT("'"&amp;$B$4&amp;"月"&amp;"'!A:AZ"),18,(4 + (MATCH($E$3,従業員マスタ!$C$4:$C$33,0)-1)*5)+2)="","",INDEX(INDIRECT("'"&amp;$B$4&amp;"月"&amp;"'!A:AZ"),18,(4 + (MATCH($E$3,従業員マスタ!$C$4:$C$33,0)-1)*5)+2)),"")</f>
        <v/>
      </c>
      <c r="F21" s="59" t="str">
        <f ca="1">IFERROR(IF(INDEX(INDIRECT("'"&amp;$B$4&amp;"月"&amp;"'!A:AZ"),18,(4 + (MATCH($E$3,従業員マスタ!$C$4:$C$33,0)-1)*5)+3)="","",INDEX(INDIRECT("'"&amp;$B$4&amp;"月"&amp;"'!A:AZ"),18,(4 + (MATCH($E$3,従業員マスタ!$C$4:$C$33,0)-1)*5)+3)),"")</f>
        <v/>
      </c>
      <c r="G21" s="57" t="str">
        <f ca="1">IFERROR(IF(INDEX(INDIRECT("'"&amp;$B$4&amp;"月"&amp;"'!A:AZ"),18,(4 + (MATCH($E$3,従業員マスタ!$C$4:$C$33,0)-1)*5)+4)="","",INDEX(INDIRECT("'"&amp;$B$4&amp;"月"&amp;"'!A:AZ"),18,(4 + (MATCH($E$3,従業員マスタ!$C$4:$C$33,0)-1)*5)+4)),"")</f>
        <v/>
      </c>
      <c r="H21" s="57"/>
    </row>
    <row r="22" spans="1:8" ht="15" customHeight="1">
      <c r="A22" s="57">
        <f>IF(DAY(DATE(対象年度,$B$4,16))&lt;&gt;16,"",16)</f>
        <v>16</v>
      </c>
      <c r="B22" s="57" t="str">
        <f>IF(DAY(DATE(対象年度,$B$4,16))&lt;&gt;16,"",CHOOSE(WEEKDAY(DATE(対象年度,$B$4,16),2),"月","火","水","木","金","土","日"))</f>
        <v>金</v>
      </c>
      <c r="C22" s="57" t="str">
        <f ca="1">IFERROR(IF(INDEX(INDIRECT("'"&amp;$B$4&amp;"月"&amp;"'!A:AZ"),19,(4 + (MATCH($E$3,従業員マスタ!$C$4:$C$33,0)-1)*5)+0)="","",INDEX(INDIRECT("'"&amp;$B$4&amp;"月"&amp;"'!A:AZ"),19,(4 + (MATCH($E$3,従業員マスタ!$C$4:$C$33,0)-1)*5)+0)),"")</f>
        <v/>
      </c>
      <c r="D22" s="58" t="str">
        <f ca="1">IFERROR(IF(INDEX(INDIRECT("'"&amp;$B$4&amp;"月"&amp;"'!A:AZ"),19,(4 + (MATCH($E$3,従業員マスタ!$C$4:$C$33,0)-1)*5)+1)="","",INDEX(INDIRECT("'"&amp;$B$4&amp;"月"&amp;"'!A:AZ"),19,(4 + (MATCH($E$3,従業員マスタ!$C$4:$C$33,0)-1)*5)+1)),"")</f>
        <v/>
      </c>
      <c r="E22" s="57" t="str">
        <f ca="1">IFERROR(IF(INDEX(INDIRECT("'"&amp;$B$4&amp;"月"&amp;"'!A:AZ"),19,(4 + (MATCH($E$3,従業員マスタ!$C$4:$C$33,0)-1)*5)+2)="","",INDEX(INDIRECT("'"&amp;$B$4&amp;"月"&amp;"'!A:AZ"),19,(4 + (MATCH($E$3,従業員マスタ!$C$4:$C$33,0)-1)*5)+2)),"")</f>
        <v/>
      </c>
      <c r="F22" s="59" t="str">
        <f ca="1">IFERROR(IF(INDEX(INDIRECT("'"&amp;$B$4&amp;"月"&amp;"'!A:AZ"),19,(4 + (MATCH($E$3,従業員マスタ!$C$4:$C$33,0)-1)*5)+3)="","",INDEX(INDIRECT("'"&amp;$B$4&amp;"月"&amp;"'!A:AZ"),19,(4 + (MATCH($E$3,従業員マスタ!$C$4:$C$33,0)-1)*5)+3)),"")</f>
        <v/>
      </c>
      <c r="G22" s="57" t="str">
        <f ca="1">IFERROR(IF(INDEX(INDIRECT("'"&amp;$B$4&amp;"月"&amp;"'!A:AZ"),19,(4 + (MATCH($E$3,従業員マスタ!$C$4:$C$33,0)-1)*5)+4)="","",INDEX(INDIRECT("'"&amp;$B$4&amp;"月"&amp;"'!A:AZ"),19,(4 + (MATCH($E$3,従業員マスタ!$C$4:$C$33,0)-1)*5)+4)),"")</f>
        <v/>
      </c>
      <c r="H22" s="57"/>
    </row>
    <row r="23" spans="1:8" ht="15" customHeight="1">
      <c r="A23" s="57">
        <f>IF(DAY(DATE(対象年度,$B$4,17))&lt;&gt;17,"",17)</f>
        <v>17</v>
      </c>
      <c r="B23" s="57" t="str">
        <f>IF(DAY(DATE(対象年度,$B$4,17))&lt;&gt;17,"",CHOOSE(WEEKDAY(DATE(対象年度,$B$4,17),2),"月","火","水","木","金","土","日"))</f>
        <v>土</v>
      </c>
      <c r="C23" s="57" t="str">
        <f ca="1">IFERROR(IF(INDEX(INDIRECT("'"&amp;$B$4&amp;"月"&amp;"'!A:AZ"),20,(4 + (MATCH($E$3,従業員マスタ!$C$4:$C$33,0)-1)*5)+0)="","",INDEX(INDIRECT("'"&amp;$B$4&amp;"月"&amp;"'!A:AZ"),20,(4 + (MATCH($E$3,従業員マスタ!$C$4:$C$33,0)-1)*5)+0)),"")</f>
        <v/>
      </c>
      <c r="D23" s="58" t="str">
        <f ca="1">IFERROR(IF(INDEX(INDIRECT("'"&amp;$B$4&amp;"月"&amp;"'!A:AZ"),20,(4 + (MATCH($E$3,従業員マスタ!$C$4:$C$33,0)-1)*5)+1)="","",INDEX(INDIRECT("'"&amp;$B$4&amp;"月"&amp;"'!A:AZ"),20,(4 + (MATCH($E$3,従業員マスタ!$C$4:$C$33,0)-1)*5)+1)),"")</f>
        <v/>
      </c>
      <c r="E23" s="57" t="str">
        <f ca="1">IFERROR(IF(INDEX(INDIRECT("'"&amp;$B$4&amp;"月"&amp;"'!A:AZ"),20,(4 + (MATCH($E$3,従業員マスタ!$C$4:$C$33,0)-1)*5)+2)="","",INDEX(INDIRECT("'"&amp;$B$4&amp;"月"&amp;"'!A:AZ"),20,(4 + (MATCH($E$3,従業員マスタ!$C$4:$C$33,0)-1)*5)+2)),"")</f>
        <v/>
      </c>
      <c r="F23" s="59" t="str">
        <f ca="1">IFERROR(IF(INDEX(INDIRECT("'"&amp;$B$4&amp;"月"&amp;"'!A:AZ"),20,(4 + (MATCH($E$3,従業員マスタ!$C$4:$C$33,0)-1)*5)+3)="","",INDEX(INDIRECT("'"&amp;$B$4&amp;"月"&amp;"'!A:AZ"),20,(4 + (MATCH($E$3,従業員マスタ!$C$4:$C$33,0)-1)*5)+3)),"")</f>
        <v/>
      </c>
      <c r="G23" s="57" t="str">
        <f ca="1">IFERROR(IF(INDEX(INDIRECT("'"&amp;$B$4&amp;"月"&amp;"'!A:AZ"),20,(4 + (MATCH($E$3,従業員マスタ!$C$4:$C$33,0)-1)*5)+4)="","",INDEX(INDIRECT("'"&amp;$B$4&amp;"月"&amp;"'!A:AZ"),20,(4 + (MATCH($E$3,従業員マスタ!$C$4:$C$33,0)-1)*5)+4)),"")</f>
        <v/>
      </c>
      <c r="H23" s="57"/>
    </row>
    <row r="24" spans="1:8" ht="15" customHeight="1">
      <c r="A24" s="57">
        <f>IF(DAY(DATE(対象年度,$B$4,18))&lt;&gt;18,"",18)</f>
        <v>18</v>
      </c>
      <c r="B24" s="57" t="str">
        <f>IF(DAY(DATE(対象年度,$B$4,18))&lt;&gt;18,"",CHOOSE(WEEKDAY(DATE(対象年度,$B$4,18),2),"月","火","水","木","金","土","日"))</f>
        <v>日</v>
      </c>
      <c r="C24" s="57" t="str">
        <f ca="1">IFERROR(IF(INDEX(INDIRECT("'"&amp;$B$4&amp;"月"&amp;"'!A:AZ"),21,(4 + (MATCH($E$3,従業員マスタ!$C$4:$C$33,0)-1)*5)+0)="","",INDEX(INDIRECT("'"&amp;$B$4&amp;"月"&amp;"'!A:AZ"),21,(4 + (MATCH($E$3,従業員マスタ!$C$4:$C$33,0)-1)*5)+0)),"")</f>
        <v/>
      </c>
      <c r="D24" s="58" t="str">
        <f ca="1">IFERROR(IF(INDEX(INDIRECT("'"&amp;$B$4&amp;"月"&amp;"'!A:AZ"),21,(4 + (MATCH($E$3,従業員マスタ!$C$4:$C$33,0)-1)*5)+1)="","",INDEX(INDIRECT("'"&amp;$B$4&amp;"月"&amp;"'!A:AZ"),21,(4 + (MATCH($E$3,従業員マスタ!$C$4:$C$33,0)-1)*5)+1)),"")</f>
        <v/>
      </c>
      <c r="E24" s="57" t="str">
        <f ca="1">IFERROR(IF(INDEX(INDIRECT("'"&amp;$B$4&amp;"月"&amp;"'!A:AZ"),21,(4 + (MATCH($E$3,従業員マスタ!$C$4:$C$33,0)-1)*5)+2)="","",INDEX(INDIRECT("'"&amp;$B$4&amp;"月"&amp;"'!A:AZ"),21,(4 + (MATCH($E$3,従業員マスタ!$C$4:$C$33,0)-1)*5)+2)),"")</f>
        <v/>
      </c>
      <c r="F24" s="59" t="str">
        <f ca="1">IFERROR(IF(INDEX(INDIRECT("'"&amp;$B$4&amp;"月"&amp;"'!A:AZ"),21,(4 + (MATCH($E$3,従業員マスタ!$C$4:$C$33,0)-1)*5)+3)="","",INDEX(INDIRECT("'"&amp;$B$4&amp;"月"&amp;"'!A:AZ"),21,(4 + (MATCH($E$3,従業員マスタ!$C$4:$C$33,0)-1)*5)+3)),"")</f>
        <v/>
      </c>
      <c r="G24" s="57" t="str">
        <f ca="1">IFERROR(IF(INDEX(INDIRECT("'"&amp;$B$4&amp;"月"&amp;"'!A:AZ"),21,(4 + (MATCH($E$3,従業員マスタ!$C$4:$C$33,0)-1)*5)+4)="","",INDEX(INDIRECT("'"&amp;$B$4&amp;"月"&amp;"'!A:AZ"),21,(4 + (MATCH($E$3,従業員マスタ!$C$4:$C$33,0)-1)*5)+4)),"")</f>
        <v/>
      </c>
      <c r="H24" s="57"/>
    </row>
    <row r="25" spans="1:8" ht="15" customHeight="1">
      <c r="A25" s="57">
        <f>IF(DAY(DATE(対象年度,$B$4,19))&lt;&gt;19,"",19)</f>
        <v>19</v>
      </c>
      <c r="B25" s="57" t="str">
        <f>IF(DAY(DATE(対象年度,$B$4,19))&lt;&gt;19,"",CHOOSE(WEEKDAY(DATE(対象年度,$B$4,19),2),"月","火","水","木","金","土","日"))</f>
        <v>月</v>
      </c>
      <c r="C25" s="57" t="str">
        <f ca="1">IFERROR(IF(INDEX(INDIRECT("'"&amp;$B$4&amp;"月"&amp;"'!A:AZ"),22,(4 + (MATCH($E$3,従業員マスタ!$C$4:$C$33,0)-1)*5)+0)="","",INDEX(INDIRECT("'"&amp;$B$4&amp;"月"&amp;"'!A:AZ"),22,(4 + (MATCH($E$3,従業員マスタ!$C$4:$C$33,0)-1)*5)+0)),"")</f>
        <v/>
      </c>
      <c r="D25" s="58" t="str">
        <f ca="1">IFERROR(IF(INDEX(INDIRECT("'"&amp;$B$4&amp;"月"&amp;"'!A:AZ"),22,(4 + (MATCH($E$3,従業員マスタ!$C$4:$C$33,0)-1)*5)+1)="","",INDEX(INDIRECT("'"&amp;$B$4&amp;"月"&amp;"'!A:AZ"),22,(4 + (MATCH($E$3,従業員マスタ!$C$4:$C$33,0)-1)*5)+1)),"")</f>
        <v/>
      </c>
      <c r="E25" s="57" t="str">
        <f ca="1">IFERROR(IF(INDEX(INDIRECT("'"&amp;$B$4&amp;"月"&amp;"'!A:AZ"),22,(4 + (MATCH($E$3,従業員マスタ!$C$4:$C$33,0)-1)*5)+2)="","",INDEX(INDIRECT("'"&amp;$B$4&amp;"月"&amp;"'!A:AZ"),22,(4 + (MATCH($E$3,従業員マスタ!$C$4:$C$33,0)-1)*5)+2)),"")</f>
        <v/>
      </c>
      <c r="F25" s="59" t="str">
        <f ca="1">IFERROR(IF(INDEX(INDIRECT("'"&amp;$B$4&amp;"月"&amp;"'!A:AZ"),22,(4 + (MATCH($E$3,従業員マスタ!$C$4:$C$33,0)-1)*5)+3)="","",INDEX(INDIRECT("'"&amp;$B$4&amp;"月"&amp;"'!A:AZ"),22,(4 + (MATCH($E$3,従業員マスタ!$C$4:$C$33,0)-1)*5)+3)),"")</f>
        <v/>
      </c>
      <c r="G25" s="57" t="str">
        <f ca="1">IFERROR(IF(INDEX(INDIRECT("'"&amp;$B$4&amp;"月"&amp;"'!A:AZ"),22,(4 + (MATCH($E$3,従業員マスタ!$C$4:$C$33,0)-1)*5)+4)="","",INDEX(INDIRECT("'"&amp;$B$4&amp;"月"&amp;"'!A:AZ"),22,(4 + (MATCH($E$3,従業員マスタ!$C$4:$C$33,0)-1)*5)+4)),"")</f>
        <v/>
      </c>
      <c r="H25" s="57"/>
    </row>
    <row r="26" spans="1:8" ht="15" customHeight="1">
      <c r="A26" s="57">
        <f>IF(DAY(DATE(対象年度,$B$4,20))&lt;&gt;20,"",20)</f>
        <v>20</v>
      </c>
      <c r="B26" s="57" t="str">
        <f>IF(DAY(DATE(対象年度,$B$4,20))&lt;&gt;20,"",CHOOSE(WEEKDAY(DATE(対象年度,$B$4,20),2),"月","火","水","木","金","土","日"))</f>
        <v>火</v>
      </c>
      <c r="C26" s="57" t="str">
        <f ca="1">IFERROR(IF(INDEX(INDIRECT("'"&amp;$B$4&amp;"月"&amp;"'!A:AZ"),23,(4 + (MATCH($E$3,従業員マスタ!$C$4:$C$33,0)-1)*5)+0)="","",INDEX(INDIRECT("'"&amp;$B$4&amp;"月"&amp;"'!A:AZ"),23,(4 + (MATCH($E$3,従業員マスタ!$C$4:$C$33,0)-1)*5)+0)),"")</f>
        <v/>
      </c>
      <c r="D26" s="58" t="str">
        <f ca="1">IFERROR(IF(INDEX(INDIRECT("'"&amp;$B$4&amp;"月"&amp;"'!A:AZ"),23,(4 + (MATCH($E$3,従業員マスタ!$C$4:$C$33,0)-1)*5)+1)="","",INDEX(INDIRECT("'"&amp;$B$4&amp;"月"&amp;"'!A:AZ"),23,(4 + (MATCH($E$3,従業員マスタ!$C$4:$C$33,0)-1)*5)+1)),"")</f>
        <v/>
      </c>
      <c r="E26" s="57" t="str">
        <f ca="1">IFERROR(IF(INDEX(INDIRECT("'"&amp;$B$4&amp;"月"&amp;"'!A:AZ"),23,(4 + (MATCH($E$3,従業員マスタ!$C$4:$C$33,0)-1)*5)+2)="","",INDEX(INDIRECT("'"&amp;$B$4&amp;"月"&amp;"'!A:AZ"),23,(4 + (MATCH($E$3,従業員マスタ!$C$4:$C$33,0)-1)*5)+2)),"")</f>
        <v/>
      </c>
      <c r="F26" s="59" t="str">
        <f ca="1">IFERROR(IF(INDEX(INDIRECT("'"&amp;$B$4&amp;"月"&amp;"'!A:AZ"),23,(4 + (MATCH($E$3,従業員マスタ!$C$4:$C$33,0)-1)*5)+3)="","",INDEX(INDIRECT("'"&amp;$B$4&amp;"月"&amp;"'!A:AZ"),23,(4 + (MATCH($E$3,従業員マスタ!$C$4:$C$33,0)-1)*5)+3)),"")</f>
        <v/>
      </c>
      <c r="G26" s="57" t="str">
        <f ca="1">IFERROR(IF(INDEX(INDIRECT("'"&amp;$B$4&amp;"月"&amp;"'!A:AZ"),23,(4 + (MATCH($E$3,従業員マスタ!$C$4:$C$33,0)-1)*5)+4)="","",INDEX(INDIRECT("'"&amp;$B$4&amp;"月"&amp;"'!A:AZ"),23,(4 + (MATCH($E$3,従業員マスタ!$C$4:$C$33,0)-1)*5)+4)),"")</f>
        <v/>
      </c>
      <c r="H26" s="57"/>
    </row>
    <row r="27" spans="1:8" ht="15" customHeight="1">
      <c r="A27" s="57">
        <f>IF(DAY(DATE(対象年度,$B$4,21))&lt;&gt;21,"",21)</f>
        <v>21</v>
      </c>
      <c r="B27" s="57" t="str">
        <f>IF(DAY(DATE(対象年度,$B$4,21))&lt;&gt;21,"",CHOOSE(WEEKDAY(DATE(対象年度,$B$4,21),2),"月","火","水","木","金","土","日"))</f>
        <v>水</v>
      </c>
      <c r="C27" s="57" t="str">
        <f ca="1">IFERROR(IF(INDEX(INDIRECT("'"&amp;$B$4&amp;"月"&amp;"'!A:AZ"),24,(4 + (MATCH($E$3,従業員マスタ!$C$4:$C$33,0)-1)*5)+0)="","",INDEX(INDIRECT("'"&amp;$B$4&amp;"月"&amp;"'!A:AZ"),24,(4 + (MATCH($E$3,従業員マスタ!$C$4:$C$33,0)-1)*5)+0)),"")</f>
        <v/>
      </c>
      <c r="D27" s="58" t="str">
        <f ca="1">IFERROR(IF(INDEX(INDIRECT("'"&amp;$B$4&amp;"月"&amp;"'!A:AZ"),24,(4 + (MATCH($E$3,従業員マスタ!$C$4:$C$33,0)-1)*5)+1)="","",INDEX(INDIRECT("'"&amp;$B$4&amp;"月"&amp;"'!A:AZ"),24,(4 + (MATCH($E$3,従業員マスタ!$C$4:$C$33,0)-1)*5)+1)),"")</f>
        <v/>
      </c>
      <c r="E27" s="57" t="str">
        <f ca="1">IFERROR(IF(INDEX(INDIRECT("'"&amp;$B$4&amp;"月"&amp;"'!A:AZ"),24,(4 + (MATCH($E$3,従業員マスタ!$C$4:$C$33,0)-1)*5)+2)="","",INDEX(INDIRECT("'"&amp;$B$4&amp;"月"&amp;"'!A:AZ"),24,(4 + (MATCH($E$3,従業員マスタ!$C$4:$C$33,0)-1)*5)+2)),"")</f>
        <v/>
      </c>
      <c r="F27" s="59" t="str">
        <f ca="1">IFERROR(IF(INDEX(INDIRECT("'"&amp;$B$4&amp;"月"&amp;"'!A:AZ"),24,(4 + (MATCH($E$3,従業員マスタ!$C$4:$C$33,0)-1)*5)+3)="","",INDEX(INDIRECT("'"&amp;$B$4&amp;"月"&amp;"'!A:AZ"),24,(4 + (MATCH($E$3,従業員マスタ!$C$4:$C$33,0)-1)*5)+3)),"")</f>
        <v/>
      </c>
      <c r="G27" s="57" t="str">
        <f ca="1">IFERROR(IF(INDEX(INDIRECT("'"&amp;$B$4&amp;"月"&amp;"'!A:AZ"),24,(4 + (MATCH($E$3,従業員マスタ!$C$4:$C$33,0)-1)*5)+4)="","",INDEX(INDIRECT("'"&amp;$B$4&amp;"月"&amp;"'!A:AZ"),24,(4 + (MATCH($E$3,従業員マスタ!$C$4:$C$33,0)-1)*5)+4)),"")</f>
        <v/>
      </c>
      <c r="H27" s="57"/>
    </row>
    <row r="28" spans="1:8" ht="15" customHeight="1">
      <c r="A28" s="57">
        <f>IF(DAY(DATE(対象年度,$B$4,22))&lt;&gt;22,"",22)</f>
        <v>22</v>
      </c>
      <c r="B28" s="57" t="str">
        <f>IF(DAY(DATE(対象年度,$B$4,22))&lt;&gt;22,"",CHOOSE(WEEKDAY(DATE(対象年度,$B$4,22),2),"月","火","水","木","金","土","日"))</f>
        <v>木</v>
      </c>
      <c r="C28" s="57" t="str">
        <f ca="1">IFERROR(IF(INDEX(INDIRECT("'"&amp;$B$4&amp;"月"&amp;"'!A:AZ"),25,(4 + (MATCH($E$3,従業員マスタ!$C$4:$C$33,0)-1)*5)+0)="","",INDEX(INDIRECT("'"&amp;$B$4&amp;"月"&amp;"'!A:AZ"),25,(4 + (MATCH($E$3,従業員マスタ!$C$4:$C$33,0)-1)*5)+0)),"")</f>
        <v/>
      </c>
      <c r="D28" s="58" t="str">
        <f ca="1">IFERROR(IF(INDEX(INDIRECT("'"&amp;$B$4&amp;"月"&amp;"'!A:AZ"),25,(4 + (MATCH($E$3,従業員マスタ!$C$4:$C$33,0)-1)*5)+1)="","",INDEX(INDIRECT("'"&amp;$B$4&amp;"月"&amp;"'!A:AZ"),25,(4 + (MATCH($E$3,従業員マスタ!$C$4:$C$33,0)-1)*5)+1)),"")</f>
        <v/>
      </c>
      <c r="E28" s="57" t="str">
        <f ca="1">IFERROR(IF(INDEX(INDIRECT("'"&amp;$B$4&amp;"月"&amp;"'!A:AZ"),25,(4 + (MATCH($E$3,従業員マスタ!$C$4:$C$33,0)-1)*5)+2)="","",INDEX(INDIRECT("'"&amp;$B$4&amp;"月"&amp;"'!A:AZ"),25,(4 + (MATCH($E$3,従業員マスタ!$C$4:$C$33,0)-1)*5)+2)),"")</f>
        <v/>
      </c>
      <c r="F28" s="59" t="str">
        <f ca="1">IFERROR(IF(INDEX(INDIRECT("'"&amp;$B$4&amp;"月"&amp;"'!A:AZ"),25,(4 + (MATCH($E$3,従業員マスタ!$C$4:$C$33,0)-1)*5)+3)="","",INDEX(INDIRECT("'"&amp;$B$4&amp;"月"&amp;"'!A:AZ"),25,(4 + (MATCH($E$3,従業員マスタ!$C$4:$C$33,0)-1)*5)+3)),"")</f>
        <v/>
      </c>
      <c r="G28" s="57" t="str">
        <f ca="1">IFERROR(IF(INDEX(INDIRECT("'"&amp;$B$4&amp;"月"&amp;"'!A:AZ"),25,(4 + (MATCH($E$3,従業員マスタ!$C$4:$C$33,0)-1)*5)+4)="","",INDEX(INDIRECT("'"&amp;$B$4&amp;"月"&amp;"'!A:AZ"),25,(4 + (MATCH($E$3,従業員マスタ!$C$4:$C$33,0)-1)*5)+4)),"")</f>
        <v/>
      </c>
      <c r="H28" s="57"/>
    </row>
    <row r="29" spans="1:8" ht="15" customHeight="1">
      <c r="A29" s="57">
        <f>IF(DAY(DATE(対象年度,$B$4,23))&lt;&gt;23,"",23)</f>
        <v>23</v>
      </c>
      <c r="B29" s="57" t="str">
        <f>IF(DAY(DATE(対象年度,$B$4,23))&lt;&gt;23,"",CHOOSE(WEEKDAY(DATE(対象年度,$B$4,23),2),"月","火","水","木","金","土","日"))</f>
        <v>金</v>
      </c>
      <c r="C29" s="57" t="str">
        <f ca="1">IFERROR(IF(INDEX(INDIRECT("'"&amp;$B$4&amp;"月"&amp;"'!A:AZ"),26,(4 + (MATCH($E$3,従業員マスタ!$C$4:$C$33,0)-1)*5)+0)="","",INDEX(INDIRECT("'"&amp;$B$4&amp;"月"&amp;"'!A:AZ"),26,(4 + (MATCH($E$3,従業員マスタ!$C$4:$C$33,0)-1)*5)+0)),"")</f>
        <v/>
      </c>
      <c r="D29" s="58" t="str">
        <f ca="1">IFERROR(IF(INDEX(INDIRECT("'"&amp;$B$4&amp;"月"&amp;"'!A:AZ"),26,(4 + (MATCH($E$3,従業員マスタ!$C$4:$C$33,0)-1)*5)+1)="","",INDEX(INDIRECT("'"&amp;$B$4&amp;"月"&amp;"'!A:AZ"),26,(4 + (MATCH($E$3,従業員マスタ!$C$4:$C$33,0)-1)*5)+1)),"")</f>
        <v/>
      </c>
      <c r="E29" s="57" t="str">
        <f ca="1">IFERROR(IF(INDEX(INDIRECT("'"&amp;$B$4&amp;"月"&amp;"'!A:AZ"),26,(4 + (MATCH($E$3,従業員マスタ!$C$4:$C$33,0)-1)*5)+2)="","",INDEX(INDIRECT("'"&amp;$B$4&amp;"月"&amp;"'!A:AZ"),26,(4 + (MATCH($E$3,従業員マスタ!$C$4:$C$33,0)-1)*5)+2)),"")</f>
        <v/>
      </c>
      <c r="F29" s="59" t="str">
        <f ca="1">IFERROR(IF(INDEX(INDIRECT("'"&amp;$B$4&amp;"月"&amp;"'!A:AZ"),26,(4 + (MATCH($E$3,従業員マスタ!$C$4:$C$33,0)-1)*5)+3)="","",INDEX(INDIRECT("'"&amp;$B$4&amp;"月"&amp;"'!A:AZ"),26,(4 + (MATCH($E$3,従業員マスタ!$C$4:$C$33,0)-1)*5)+3)),"")</f>
        <v/>
      </c>
      <c r="G29" s="57" t="str">
        <f ca="1">IFERROR(IF(INDEX(INDIRECT("'"&amp;$B$4&amp;"月"&amp;"'!A:AZ"),26,(4 + (MATCH($E$3,従業員マスタ!$C$4:$C$33,0)-1)*5)+4)="","",INDEX(INDIRECT("'"&amp;$B$4&amp;"月"&amp;"'!A:AZ"),26,(4 + (MATCH($E$3,従業員マスタ!$C$4:$C$33,0)-1)*5)+4)),"")</f>
        <v/>
      </c>
      <c r="H29" s="57"/>
    </row>
    <row r="30" spans="1:8" ht="15" customHeight="1">
      <c r="A30" s="57">
        <f>IF(DAY(DATE(対象年度,$B$4,24))&lt;&gt;24,"",24)</f>
        <v>24</v>
      </c>
      <c r="B30" s="57" t="str">
        <f>IF(DAY(DATE(対象年度,$B$4,24))&lt;&gt;24,"",CHOOSE(WEEKDAY(DATE(対象年度,$B$4,24),2),"月","火","水","木","金","土","日"))</f>
        <v>土</v>
      </c>
      <c r="C30" s="57" t="str">
        <f ca="1">IFERROR(IF(INDEX(INDIRECT("'"&amp;$B$4&amp;"月"&amp;"'!A:AZ"),27,(4 + (MATCH($E$3,従業員マスタ!$C$4:$C$33,0)-1)*5)+0)="","",INDEX(INDIRECT("'"&amp;$B$4&amp;"月"&amp;"'!A:AZ"),27,(4 + (MATCH($E$3,従業員マスタ!$C$4:$C$33,0)-1)*5)+0)),"")</f>
        <v/>
      </c>
      <c r="D30" s="58" t="str">
        <f ca="1">IFERROR(IF(INDEX(INDIRECT("'"&amp;$B$4&amp;"月"&amp;"'!A:AZ"),27,(4 + (MATCH($E$3,従業員マスタ!$C$4:$C$33,0)-1)*5)+1)="","",INDEX(INDIRECT("'"&amp;$B$4&amp;"月"&amp;"'!A:AZ"),27,(4 + (MATCH($E$3,従業員マスタ!$C$4:$C$33,0)-1)*5)+1)),"")</f>
        <v/>
      </c>
      <c r="E30" s="57" t="str">
        <f ca="1">IFERROR(IF(INDEX(INDIRECT("'"&amp;$B$4&amp;"月"&amp;"'!A:AZ"),27,(4 + (MATCH($E$3,従業員マスタ!$C$4:$C$33,0)-1)*5)+2)="","",INDEX(INDIRECT("'"&amp;$B$4&amp;"月"&amp;"'!A:AZ"),27,(4 + (MATCH($E$3,従業員マスタ!$C$4:$C$33,0)-1)*5)+2)),"")</f>
        <v/>
      </c>
      <c r="F30" s="59" t="str">
        <f ca="1">IFERROR(IF(INDEX(INDIRECT("'"&amp;$B$4&amp;"月"&amp;"'!A:AZ"),27,(4 + (MATCH($E$3,従業員マスタ!$C$4:$C$33,0)-1)*5)+3)="","",INDEX(INDIRECT("'"&amp;$B$4&amp;"月"&amp;"'!A:AZ"),27,(4 + (MATCH($E$3,従業員マスタ!$C$4:$C$33,0)-1)*5)+3)),"")</f>
        <v/>
      </c>
      <c r="G30" s="57" t="str">
        <f ca="1">IFERROR(IF(INDEX(INDIRECT("'"&amp;$B$4&amp;"月"&amp;"'!A:AZ"),27,(4 + (MATCH($E$3,従業員マスタ!$C$4:$C$33,0)-1)*5)+4)="","",INDEX(INDIRECT("'"&amp;$B$4&amp;"月"&amp;"'!A:AZ"),27,(4 + (MATCH($E$3,従業員マスタ!$C$4:$C$33,0)-1)*5)+4)),"")</f>
        <v/>
      </c>
      <c r="H30" s="57"/>
    </row>
    <row r="31" spans="1:8" ht="15" customHeight="1">
      <c r="A31" s="57">
        <f>IF(DAY(DATE(対象年度,$B$4,25))&lt;&gt;25,"",25)</f>
        <v>25</v>
      </c>
      <c r="B31" s="57" t="str">
        <f>IF(DAY(DATE(対象年度,$B$4,25))&lt;&gt;25,"",CHOOSE(WEEKDAY(DATE(対象年度,$B$4,25),2),"月","火","水","木","金","土","日"))</f>
        <v>日</v>
      </c>
      <c r="C31" s="57" t="str">
        <f ca="1">IFERROR(IF(INDEX(INDIRECT("'"&amp;$B$4&amp;"月"&amp;"'!A:AZ"),28,(4 + (MATCH($E$3,従業員マスタ!$C$4:$C$33,0)-1)*5)+0)="","",INDEX(INDIRECT("'"&amp;$B$4&amp;"月"&amp;"'!A:AZ"),28,(4 + (MATCH($E$3,従業員マスタ!$C$4:$C$33,0)-1)*5)+0)),"")</f>
        <v/>
      </c>
      <c r="D31" s="58" t="str">
        <f ca="1">IFERROR(IF(INDEX(INDIRECT("'"&amp;$B$4&amp;"月"&amp;"'!A:AZ"),28,(4 + (MATCH($E$3,従業員マスタ!$C$4:$C$33,0)-1)*5)+1)="","",INDEX(INDIRECT("'"&amp;$B$4&amp;"月"&amp;"'!A:AZ"),28,(4 + (MATCH($E$3,従業員マスタ!$C$4:$C$33,0)-1)*5)+1)),"")</f>
        <v/>
      </c>
      <c r="E31" s="57" t="str">
        <f ca="1">IFERROR(IF(INDEX(INDIRECT("'"&amp;$B$4&amp;"月"&amp;"'!A:AZ"),28,(4 + (MATCH($E$3,従業員マスタ!$C$4:$C$33,0)-1)*5)+2)="","",INDEX(INDIRECT("'"&amp;$B$4&amp;"月"&amp;"'!A:AZ"),28,(4 + (MATCH($E$3,従業員マスタ!$C$4:$C$33,0)-1)*5)+2)),"")</f>
        <v/>
      </c>
      <c r="F31" s="59" t="str">
        <f ca="1">IFERROR(IF(INDEX(INDIRECT("'"&amp;$B$4&amp;"月"&amp;"'!A:AZ"),28,(4 + (MATCH($E$3,従業員マスタ!$C$4:$C$33,0)-1)*5)+3)="","",INDEX(INDIRECT("'"&amp;$B$4&amp;"月"&amp;"'!A:AZ"),28,(4 + (MATCH($E$3,従業員マスタ!$C$4:$C$33,0)-1)*5)+3)),"")</f>
        <v/>
      </c>
      <c r="G31" s="57" t="str">
        <f ca="1">IFERROR(IF(INDEX(INDIRECT("'"&amp;$B$4&amp;"月"&amp;"'!A:AZ"),28,(4 + (MATCH($E$3,従業員マスタ!$C$4:$C$33,0)-1)*5)+4)="","",INDEX(INDIRECT("'"&amp;$B$4&amp;"月"&amp;"'!A:AZ"),28,(4 + (MATCH($E$3,従業員マスタ!$C$4:$C$33,0)-1)*5)+4)),"")</f>
        <v/>
      </c>
      <c r="H31" s="57"/>
    </row>
    <row r="32" spans="1:8" ht="15" customHeight="1">
      <c r="A32" s="57">
        <f>IF(DAY(DATE(対象年度,$B$4,26))&lt;&gt;26,"",26)</f>
        <v>26</v>
      </c>
      <c r="B32" s="57" t="str">
        <f>IF(DAY(DATE(対象年度,$B$4,26))&lt;&gt;26,"",CHOOSE(WEEKDAY(DATE(対象年度,$B$4,26),2),"月","火","水","木","金","土","日"))</f>
        <v>月</v>
      </c>
      <c r="C32" s="57" t="str">
        <f ca="1">IFERROR(IF(INDEX(INDIRECT("'"&amp;$B$4&amp;"月"&amp;"'!A:AZ"),29,(4 + (MATCH($E$3,従業員マスタ!$C$4:$C$33,0)-1)*5)+0)="","",INDEX(INDIRECT("'"&amp;$B$4&amp;"月"&amp;"'!A:AZ"),29,(4 + (MATCH($E$3,従業員マスタ!$C$4:$C$33,0)-1)*5)+0)),"")</f>
        <v/>
      </c>
      <c r="D32" s="58" t="str">
        <f ca="1">IFERROR(IF(INDEX(INDIRECT("'"&amp;$B$4&amp;"月"&amp;"'!A:AZ"),29,(4 + (MATCH($E$3,従業員マスタ!$C$4:$C$33,0)-1)*5)+1)="","",INDEX(INDIRECT("'"&amp;$B$4&amp;"月"&amp;"'!A:AZ"),29,(4 + (MATCH($E$3,従業員マスタ!$C$4:$C$33,0)-1)*5)+1)),"")</f>
        <v/>
      </c>
      <c r="E32" s="57" t="str">
        <f ca="1">IFERROR(IF(INDEX(INDIRECT("'"&amp;$B$4&amp;"月"&amp;"'!A:AZ"),29,(4 + (MATCH($E$3,従業員マスタ!$C$4:$C$33,0)-1)*5)+2)="","",INDEX(INDIRECT("'"&amp;$B$4&amp;"月"&amp;"'!A:AZ"),29,(4 + (MATCH($E$3,従業員マスタ!$C$4:$C$33,0)-1)*5)+2)),"")</f>
        <v/>
      </c>
      <c r="F32" s="59" t="str">
        <f ca="1">IFERROR(IF(INDEX(INDIRECT("'"&amp;$B$4&amp;"月"&amp;"'!A:AZ"),29,(4 + (MATCH($E$3,従業員マスタ!$C$4:$C$33,0)-1)*5)+3)="","",INDEX(INDIRECT("'"&amp;$B$4&amp;"月"&amp;"'!A:AZ"),29,(4 + (MATCH($E$3,従業員マスタ!$C$4:$C$33,0)-1)*5)+3)),"")</f>
        <v/>
      </c>
      <c r="G32" s="57" t="str">
        <f ca="1">IFERROR(IF(INDEX(INDIRECT("'"&amp;$B$4&amp;"月"&amp;"'!A:AZ"),29,(4 + (MATCH($E$3,従業員マスタ!$C$4:$C$33,0)-1)*5)+4)="","",INDEX(INDIRECT("'"&amp;$B$4&amp;"月"&amp;"'!A:AZ"),29,(4 + (MATCH($E$3,従業員マスタ!$C$4:$C$33,0)-1)*5)+4)),"")</f>
        <v/>
      </c>
      <c r="H32" s="57"/>
    </row>
    <row r="33" spans="1:8" ht="15" customHeight="1">
      <c r="A33" s="57">
        <f>IF(DAY(DATE(対象年度,$B$4,27))&lt;&gt;27,"",27)</f>
        <v>27</v>
      </c>
      <c r="B33" s="57" t="str">
        <f>IF(DAY(DATE(対象年度,$B$4,27))&lt;&gt;27,"",CHOOSE(WEEKDAY(DATE(対象年度,$B$4,27),2),"月","火","水","木","金","土","日"))</f>
        <v>火</v>
      </c>
      <c r="C33" s="57" t="str">
        <f ca="1">IFERROR(IF(INDEX(INDIRECT("'"&amp;$B$4&amp;"月"&amp;"'!A:AZ"),30,(4 + (MATCH($E$3,従業員マスタ!$C$4:$C$33,0)-1)*5)+0)="","",INDEX(INDIRECT("'"&amp;$B$4&amp;"月"&amp;"'!A:AZ"),30,(4 + (MATCH($E$3,従業員マスタ!$C$4:$C$33,0)-1)*5)+0)),"")</f>
        <v/>
      </c>
      <c r="D33" s="58" t="str">
        <f ca="1">IFERROR(IF(INDEX(INDIRECT("'"&amp;$B$4&amp;"月"&amp;"'!A:AZ"),30,(4 + (MATCH($E$3,従業員マスタ!$C$4:$C$33,0)-1)*5)+1)="","",INDEX(INDIRECT("'"&amp;$B$4&amp;"月"&amp;"'!A:AZ"),30,(4 + (MATCH($E$3,従業員マスタ!$C$4:$C$33,0)-1)*5)+1)),"")</f>
        <v/>
      </c>
      <c r="E33" s="57" t="str">
        <f ca="1">IFERROR(IF(INDEX(INDIRECT("'"&amp;$B$4&amp;"月"&amp;"'!A:AZ"),30,(4 + (MATCH($E$3,従業員マスタ!$C$4:$C$33,0)-1)*5)+2)="","",INDEX(INDIRECT("'"&amp;$B$4&amp;"月"&amp;"'!A:AZ"),30,(4 + (MATCH($E$3,従業員マスタ!$C$4:$C$33,0)-1)*5)+2)),"")</f>
        <v/>
      </c>
      <c r="F33" s="59" t="str">
        <f ca="1">IFERROR(IF(INDEX(INDIRECT("'"&amp;$B$4&amp;"月"&amp;"'!A:AZ"),30,(4 + (MATCH($E$3,従業員マスタ!$C$4:$C$33,0)-1)*5)+3)="","",INDEX(INDIRECT("'"&amp;$B$4&amp;"月"&amp;"'!A:AZ"),30,(4 + (MATCH($E$3,従業員マスタ!$C$4:$C$33,0)-1)*5)+3)),"")</f>
        <v/>
      </c>
      <c r="G33" s="57" t="str">
        <f ca="1">IFERROR(IF(INDEX(INDIRECT("'"&amp;$B$4&amp;"月"&amp;"'!A:AZ"),30,(4 + (MATCH($E$3,従業員マスタ!$C$4:$C$33,0)-1)*5)+4)="","",INDEX(INDIRECT("'"&amp;$B$4&amp;"月"&amp;"'!A:AZ"),30,(4 + (MATCH($E$3,従業員マスタ!$C$4:$C$33,0)-1)*5)+4)),"")</f>
        <v/>
      </c>
      <c r="H33" s="57"/>
    </row>
    <row r="34" spans="1:8" ht="15" customHeight="1">
      <c r="A34" s="57">
        <f>IF(DAY(DATE(対象年度,$B$4,28))&lt;&gt;28,"",28)</f>
        <v>28</v>
      </c>
      <c r="B34" s="57" t="str">
        <f>IF(DAY(DATE(対象年度,$B$4,28))&lt;&gt;28,"",CHOOSE(WEEKDAY(DATE(対象年度,$B$4,28),2),"月","火","水","木","金","土","日"))</f>
        <v>水</v>
      </c>
      <c r="C34" s="57" t="str">
        <f ca="1">IFERROR(IF(INDEX(INDIRECT("'"&amp;$B$4&amp;"月"&amp;"'!A:AZ"),31,(4 + (MATCH($E$3,従業員マスタ!$C$4:$C$33,0)-1)*5)+0)="","",INDEX(INDIRECT("'"&amp;$B$4&amp;"月"&amp;"'!A:AZ"),31,(4 + (MATCH($E$3,従業員マスタ!$C$4:$C$33,0)-1)*5)+0)),"")</f>
        <v/>
      </c>
      <c r="D34" s="58" t="str">
        <f ca="1">IFERROR(IF(INDEX(INDIRECT("'"&amp;$B$4&amp;"月"&amp;"'!A:AZ"),31,(4 + (MATCH($E$3,従業員マスタ!$C$4:$C$33,0)-1)*5)+1)="","",INDEX(INDIRECT("'"&amp;$B$4&amp;"月"&amp;"'!A:AZ"),31,(4 + (MATCH($E$3,従業員マスタ!$C$4:$C$33,0)-1)*5)+1)),"")</f>
        <v/>
      </c>
      <c r="E34" s="57" t="str">
        <f ca="1">IFERROR(IF(INDEX(INDIRECT("'"&amp;$B$4&amp;"月"&amp;"'!A:AZ"),31,(4 + (MATCH($E$3,従業員マスタ!$C$4:$C$33,0)-1)*5)+2)="","",INDEX(INDIRECT("'"&amp;$B$4&amp;"月"&amp;"'!A:AZ"),31,(4 + (MATCH($E$3,従業員マスタ!$C$4:$C$33,0)-1)*5)+2)),"")</f>
        <v/>
      </c>
      <c r="F34" s="59" t="str">
        <f ca="1">IFERROR(IF(INDEX(INDIRECT("'"&amp;$B$4&amp;"月"&amp;"'!A:AZ"),31,(4 + (MATCH($E$3,従業員マスタ!$C$4:$C$33,0)-1)*5)+3)="","",INDEX(INDIRECT("'"&amp;$B$4&amp;"月"&amp;"'!A:AZ"),31,(4 + (MATCH($E$3,従業員マスタ!$C$4:$C$33,0)-1)*5)+3)),"")</f>
        <v/>
      </c>
      <c r="G34" s="57" t="str">
        <f ca="1">IFERROR(IF(INDEX(INDIRECT("'"&amp;$B$4&amp;"月"&amp;"'!A:AZ"),31,(4 + (MATCH($E$3,従業員マスタ!$C$4:$C$33,0)-1)*5)+4)="","",INDEX(INDIRECT("'"&amp;$B$4&amp;"月"&amp;"'!A:AZ"),31,(4 + (MATCH($E$3,従業員マスタ!$C$4:$C$33,0)-1)*5)+4)),"")</f>
        <v/>
      </c>
      <c r="H34" s="57"/>
    </row>
    <row r="35" spans="1:8" ht="15" customHeight="1">
      <c r="A35" s="57">
        <f>IF(DAY(DATE(対象年度,$B$4,29))&lt;&gt;29,"",29)</f>
        <v>29</v>
      </c>
      <c r="B35" s="57" t="str">
        <f>IF(DAY(DATE(対象年度,$B$4,29))&lt;&gt;29,"",CHOOSE(WEEKDAY(DATE(対象年度,$B$4,29),2),"月","火","水","木","金","土","日"))</f>
        <v>木</v>
      </c>
      <c r="C35" s="57" t="str">
        <f ca="1">IFERROR(IF(INDEX(INDIRECT("'"&amp;$B$4&amp;"月"&amp;"'!A:AZ"),32,(4 + (MATCH($E$3,従業員マスタ!$C$4:$C$33,0)-1)*5)+0)="","",INDEX(INDIRECT("'"&amp;$B$4&amp;"月"&amp;"'!A:AZ"),32,(4 + (MATCH($E$3,従業員マスタ!$C$4:$C$33,0)-1)*5)+0)),"")</f>
        <v/>
      </c>
      <c r="D35" s="58" t="str">
        <f ca="1">IFERROR(IF(INDEX(INDIRECT("'"&amp;$B$4&amp;"月"&amp;"'!A:AZ"),32,(4 + (MATCH($E$3,従業員マスタ!$C$4:$C$33,0)-1)*5)+1)="","",INDEX(INDIRECT("'"&amp;$B$4&amp;"月"&amp;"'!A:AZ"),32,(4 + (MATCH($E$3,従業員マスタ!$C$4:$C$33,0)-1)*5)+1)),"")</f>
        <v/>
      </c>
      <c r="E35" s="57" t="str">
        <f ca="1">IFERROR(IF(INDEX(INDIRECT("'"&amp;$B$4&amp;"月"&amp;"'!A:AZ"),32,(4 + (MATCH($E$3,従業員マスタ!$C$4:$C$33,0)-1)*5)+2)="","",INDEX(INDIRECT("'"&amp;$B$4&amp;"月"&amp;"'!A:AZ"),32,(4 + (MATCH($E$3,従業員マスタ!$C$4:$C$33,0)-1)*5)+2)),"")</f>
        <v/>
      </c>
      <c r="F35" s="59" t="str">
        <f ca="1">IFERROR(IF(INDEX(INDIRECT("'"&amp;$B$4&amp;"月"&amp;"'!A:AZ"),32,(4 + (MATCH($E$3,従業員マスタ!$C$4:$C$33,0)-1)*5)+3)="","",INDEX(INDIRECT("'"&amp;$B$4&amp;"月"&amp;"'!A:AZ"),32,(4 + (MATCH($E$3,従業員マスタ!$C$4:$C$33,0)-1)*5)+3)),"")</f>
        <v/>
      </c>
      <c r="G35" s="57" t="str">
        <f ca="1">IFERROR(IF(INDEX(INDIRECT("'"&amp;$B$4&amp;"月"&amp;"'!A:AZ"),32,(4 + (MATCH($E$3,従業員マスタ!$C$4:$C$33,0)-1)*5)+4)="","",INDEX(INDIRECT("'"&amp;$B$4&amp;"月"&amp;"'!A:AZ"),32,(4 + (MATCH($E$3,従業員マスタ!$C$4:$C$33,0)-1)*5)+4)),"")</f>
        <v/>
      </c>
      <c r="H35" s="57"/>
    </row>
    <row r="36" spans="1:8" ht="15" customHeight="1">
      <c r="A36" s="57">
        <f>IF(DAY(DATE(対象年度,$B$4,30))&lt;&gt;30,"",30)</f>
        <v>30</v>
      </c>
      <c r="B36" s="57" t="str">
        <f>IF(DAY(DATE(対象年度,$B$4,30))&lt;&gt;30,"",CHOOSE(WEEKDAY(DATE(対象年度,$B$4,30),2),"月","火","水","木","金","土","日"))</f>
        <v>金</v>
      </c>
      <c r="C36" s="57" t="str">
        <f ca="1">IFERROR(IF(INDEX(INDIRECT("'"&amp;$B$4&amp;"月"&amp;"'!A:AZ"),33,(4 + (MATCH($E$3,従業員マスタ!$C$4:$C$33,0)-1)*5)+0)="","",INDEX(INDIRECT("'"&amp;$B$4&amp;"月"&amp;"'!A:AZ"),33,(4 + (MATCH($E$3,従業員マスタ!$C$4:$C$33,0)-1)*5)+0)),"")</f>
        <v/>
      </c>
      <c r="D36" s="58" t="str">
        <f ca="1">IFERROR(IF(INDEX(INDIRECT("'"&amp;$B$4&amp;"月"&amp;"'!A:AZ"),33,(4 + (MATCH($E$3,従業員マスタ!$C$4:$C$33,0)-1)*5)+1)="","",INDEX(INDIRECT("'"&amp;$B$4&amp;"月"&amp;"'!A:AZ"),33,(4 + (MATCH($E$3,従業員マスタ!$C$4:$C$33,0)-1)*5)+1)),"")</f>
        <v/>
      </c>
      <c r="E36" s="57" t="str">
        <f ca="1">IFERROR(IF(INDEX(INDIRECT("'"&amp;$B$4&amp;"月"&amp;"'!A:AZ"),33,(4 + (MATCH($E$3,従業員マスタ!$C$4:$C$33,0)-1)*5)+2)="","",INDEX(INDIRECT("'"&amp;$B$4&amp;"月"&amp;"'!A:AZ"),33,(4 + (MATCH($E$3,従業員マスタ!$C$4:$C$33,0)-1)*5)+2)),"")</f>
        <v/>
      </c>
      <c r="F36" s="59" t="str">
        <f ca="1">IFERROR(IF(INDEX(INDIRECT("'"&amp;$B$4&amp;"月"&amp;"'!A:AZ"),33,(4 + (MATCH($E$3,従業員マスタ!$C$4:$C$33,0)-1)*5)+3)="","",INDEX(INDIRECT("'"&amp;$B$4&amp;"月"&amp;"'!A:AZ"),33,(4 + (MATCH($E$3,従業員マスタ!$C$4:$C$33,0)-1)*5)+3)),"")</f>
        <v/>
      </c>
      <c r="G36" s="57" t="str">
        <f ca="1">IFERROR(IF(INDEX(INDIRECT("'"&amp;$B$4&amp;"月"&amp;"'!A:AZ"),33,(4 + (MATCH($E$3,従業員マスタ!$C$4:$C$33,0)-1)*5)+4)="","",INDEX(INDIRECT("'"&amp;$B$4&amp;"月"&amp;"'!A:AZ"),33,(4 + (MATCH($E$3,従業員マスタ!$C$4:$C$33,0)-1)*5)+4)),"")</f>
        <v/>
      </c>
      <c r="H36" s="57"/>
    </row>
    <row r="37" spans="1:8" ht="15" customHeight="1">
      <c r="A37" s="57">
        <f>IF(DAY(DATE(対象年度,$B$4,31))&lt;&gt;31,"",31)</f>
        <v>31</v>
      </c>
      <c r="B37" s="57" t="str">
        <f>IF(DAY(DATE(対象年度,$B$4,31))&lt;&gt;31,"",CHOOSE(WEEKDAY(DATE(対象年度,$B$4,31),2),"月","火","水","木","金","土","日"))</f>
        <v>土</v>
      </c>
      <c r="C37" s="57" t="str">
        <f ca="1">IFERROR(IF(INDEX(INDIRECT("'"&amp;$B$4&amp;"月"&amp;"'!A:AZ"),34,(4 + (MATCH($E$3,従業員マスタ!$C$4:$C$33,0)-1)*5)+0)="","",INDEX(INDIRECT("'"&amp;$B$4&amp;"月"&amp;"'!A:AZ"),34,(4 + (MATCH($E$3,従業員マスタ!$C$4:$C$33,0)-1)*5)+0)),"")</f>
        <v/>
      </c>
      <c r="D37" s="58" t="str">
        <f ca="1">IFERROR(IF(INDEX(INDIRECT("'"&amp;$B$4&amp;"月"&amp;"'!A:AZ"),34,(4 + (MATCH($E$3,従業員マスタ!$C$4:$C$33,0)-1)*5)+1)="","",INDEX(INDIRECT("'"&amp;$B$4&amp;"月"&amp;"'!A:AZ"),34,(4 + (MATCH($E$3,従業員マスタ!$C$4:$C$33,0)-1)*5)+1)),"")</f>
        <v/>
      </c>
      <c r="E37" s="57" t="str">
        <f ca="1">IFERROR(IF(INDEX(INDIRECT("'"&amp;$B$4&amp;"月"&amp;"'!A:AZ"),34,(4 + (MATCH($E$3,従業員マスタ!$C$4:$C$33,0)-1)*5)+2)="","",INDEX(INDIRECT("'"&amp;$B$4&amp;"月"&amp;"'!A:AZ"),34,(4 + (MATCH($E$3,従業員マスタ!$C$4:$C$33,0)-1)*5)+2)),"")</f>
        <v/>
      </c>
      <c r="F37" s="59" t="str">
        <f ca="1">IFERROR(IF(INDEX(INDIRECT("'"&amp;$B$4&amp;"月"&amp;"'!A:AZ"),34,(4 + (MATCH($E$3,従業員マスタ!$C$4:$C$33,0)-1)*5)+3)="","",INDEX(INDIRECT("'"&amp;$B$4&amp;"月"&amp;"'!A:AZ"),34,(4 + (MATCH($E$3,従業員マスタ!$C$4:$C$33,0)-1)*5)+3)),"")</f>
        <v/>
      </c>
      <c r="G37" s="57" t="str">
        <f ca="1">IFERROR(IF(INDEX(INDIRECT("'"&amp;$B$4&amp;"月"&amp;"'!A:AZ"),34,(4 + (MATCH($E$3,従業員マスタ!$C$4:$C$33,0)-1)*5)+4)="","",INDEX(INDIRECT("'"&amp;$B$4&amp;"月"&amp;"'!A:AZ"),34,(4 + (MATCH($E$3,従業員マスタ!$C$4:$C$33,0)-1)*5)+4)),"")</f>
        <v/>
      </c>
      <c r="H37" s="57"/>
    </row>
    <row r="38" spans="1:8" ht="21.75" customHeight="1">
      <c r="A38" s="111" t="s">
        <v>144</v>
      </c>
      <c r="B38" s="111"/>
      <c r="C38" s="61" t="s">
        <v>113</v>
      </c>
      <c r="D38" s="62">
        <f ca="1">IFERROR(INDEX(INDIRECT("'"&amp;$B$4&amp;"月"&amp;"'!A:AZ"),35,(4 + (MATCH($E$3,従業員マスタ!$C$4:$C$33,0)-1)*5)),0)</f>
        <v>0</v>
      </c>
      <c r="E38" s="63" t="s">
        <v>114</v>
      </c>
      <c r="F38" s="64">
        <f ca="1">IFERROR(INDEX(INDIRECT("'"&amp;$B$4&amp;"月"&amp;"'!A:AZ"),36,(4 + (MATCH($E$3,従業員マスタ!$C$4:$C$33,0)-1)*5)),0)</f>
        <v>0</v>
      </c>
      <c r="G38" s="61" t="s">
        <v>115</v>
      </c>
      <c r="H38" s="62">
        <f ca="1">IFERROR(INDEX(INDIRECT("'"&amp;$B$4&amp;"月"&amp;"'!A:AZ"),38,(4 + (MATCH($E$3,従業員マスタ!$C$4:$C$33,0)-1)*5)),0)</f>
        <v>0</v>
      </c>
    </row>
    <row r="39" spans="1:8" ht="24" customHeight="1">
      <c r="A39" s="112"/>
      <c r="B39" s="112"/>
      <c r="C39" s="65" t="s">
        <v>122</v>
      </c>
      <c r="D39" s="66">
        <f ca="1">IFERROR(INDEX(INDIRECT("'"&amp;$B$4&amp;"月"&amp;"'!A:AZ"),37,(4 + (MATCH($E$3,従業員マスタ!$C$4:$C$33,0)-1)*5)),0)</f>
        <v>0</v>
      </c>
      <c r="E39" s="67" t="s">
        <v>105</v>
      </c>
      <c r="F39" s="68">
        <f ca="1">IFERROR(INDEX(INDIRECT("'"&amp;$B$4&amp;"月"&amp;"'!A:AZ"),39,(4 + (MATCH($E$3,従業員マスタ!$C$4:$C$33,0)-1)*5)),0)</f>
        <v>0</v>
      </c>
      <c r="G39" s="69" t="s">
        <v>106</v>
      </c>
      <c r="H39" s="70">
        <f ca="1">IFERROR(INDEX(INDIRECT("'"&amp;$B$4&amp;"月"&amp;"'!A:AZ"),40,(4 + (MATCH($E$3,従業員マスタ!$C$4:$C$33,0)-1)*5)),0)</f>
        <v>0</v>
      </c>
    </row>
  </sheetData>
  <mergeCells count="8">
    <mergeCell ref="A5:C5"/>
    <mergeCell ref="A38:B38"/>
    <mergeCell ref="A39:B39"/>
    <mergeCell ref="A1:H1"/>
    <mergeCell ref="A2:H2"/>
    <mergeCell ref="B3:C3"/>
    <mergeCell ref="E3:H3"/>
    <mergeCell ref="G4:H4"/>
  </mergeCells>
  <phoneticPr fontId="51"/>
  <conditionalFormatting sqref="A7:H37">
    <cfRule type="expression" dxfId="64" priority="2">
      <formula>$C7="有給"</formula>
    </cfRule>
    <cfRule type="expression" dxfId="63" priority="3">
      <formula>$C7="休業"</formula>
    </cfRule>
    <cfRule type="expression" dxfId="62" priority="4">
      <formula>AND($A7&lt;&gt;"",ISNUMBER(MATCH(DATE(対象年度,$B$4,$A7),祝日リスト,0)))</formula>
    </cfRule>
    <cfRule type="expression" dxfId="61" priority="5">
      <formula>$B7="日"</formula>
    </cfRule>
    <cfRule type="expression" dxfId="60" priority="6">
      <formula>$B7="土"</formula>
    </cfRule>
  </conditionalFormatting>
  <dataValidations count="1">
    <dataValidation type="list" sqref="B4" xr:uid="{00000000-0002-0000-1000-000001000000}">
      <formula1>"1,2,3,4,5,6,7,8,9,10,11,12"</formula1>
      <formula2>0</formula2>
    </dataValidation>
  </dataValidations>
  <pageMargins left="0.51181102362204722" right="0.51181102362204722" top="0.51181102362204722" bottom="0.51181102362204722" header="0.51181102362204722" footer="0.51181102362204722"/>
  <pageSetup paperSize="9" orientation="portrait" horizontalDpi="300" verticalDpi="300" r:id="rId1"/>
  <headerFooter>
    <oddFooter>&amp;C&amp;"ＭＳ Ｐゴシック,標準"制作：有限会社水越設備&amp;Rsp-mizukoshi.jp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xr:uid="{00000000-0002-0000-1000-000000000000}">
          <x14:formula1>
            <xm:f>従業員マスタ!$C$4:$C$33</xm:f>
          </x14:formula1>
          <x14:formula2>
            <xm:f>0</xm:f>
          </x14:formula2>
          <xm:sqref>E3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H482"/>
  <sheetViews>
    <sheetView topLeftCell="A40" zoomScaleNormal="100" workbookViewId="0">
      <selection sqref="A1:EW1"/>
    </sheetView>
  </sheetViews>
  <sheetFormatPr defaultColWidth="8.7109375" defaultRowHeight="15"/>
  <cols>
    <col min="1" max="1" width="5" customWidth="1"/>
    <col min="2" max="2" width="4" customWidth="1"/>
    <col min="3" max="4" width="14" customWidth="1"/>
    <col min="5" max="6" width="6" customWidth="1"/>
    <col min="7" max="7" width="7" customWidth="1"/>
    <col min="8" max="8" width="12" customWidth="1"/>
  </cols>
  <sheetData>
    <row r="1" spans="1:8" ht="27.75" customHeight="1">
      <c r="A1" s="117" t="s">
        <v>145</v>
      </c>
      <c r="B1" s="117"/>
      <c r="C1" s="117"/>
      <c r="D1" s="117"/>
      <c r="E1" s="117"/>
      <c r="F1" s="117"/>
      <c r="G1" s="117"/>
      <c r="H1" s="117"/>
    </row>
    <row r="2" spans="1:8" ht="24" customHeight="1">
      <c r="A2" s="71" t="s">
        <v>146</v>
      </c>
      <c r="B2" s="72">
        <v>1</v>
      </c>
      <c r="C2" s="52" t="s">
        <v>139</v>
      </c>
      <c r="D2" s="118" t="str">
        <f>対象年度&amp;"年"</f>
        <v>2026年</v>
      </c>
      <c r="E2" s="118"/>
      <c r="F2" s="118"/>
      <c r="G2" s="118"/>
      <c r="H2" s="118"/>
    </row>
    <row r="4" spans="1:8" ht="27.75" customHeight="1">
      <c r="A4" s="90" t="s">
        <v>133</v>
      </c>
      <c r="B4" s="90"/>
      <c r="C4" s="90"/>
      <c r="D4" s="90"/>
      <c r="E4" s="90"/>
      <c r="F4" s="90"/>
      <c r="G4" s="90"/>
      <c r="H4" s="90"/>
    </row>
    <row r="5" spans="1:8" ht="18" customHeight="1">
      <c r="A5" s="113" t="s">
        <v>134</v>
      </c>
      <c r="B5" s="113"/>
      <c r="C5" s="113"/>
      <c r="D5" s="113"/>
      <c r="E5" s="113"/>
      <c r="F5" s="113"/>
      <c r="G5" s="113"/>
      <c r="H5" s="113"/>
    </row>
    <row r="6" spans="1:8" ht="27.75" customHeight="1">
      <c r="A6" s="49" t="s">
        <v>135</v>
      </c>
      <c r="B6" s="114" t="str">
        <f>対象年度&amp;"年 "&amp;$B$2&amp;"月"</f>
        <v>2026年 1月</v>
      </c>
      <c r="C6" s="114"/>
      <c r="D6" s="49" t="s">
        <v>136</v>
      </c>
      <c r="E6" s="115" t="str">
        <f>IFERROR(従業員マスタ!$C$4,"")</f>
        <v>代表 太郎</v>
      </c>
      <c r="F6" s="115"/>
      <c r="G6" s="115"/>
      <c r="H6" s="115"/>
    </row>
    <row r="7" spans="1:8" ht="19.5" customHeight="1">
      <c r="A7" s="73" t="s">
        <v>147</v>
      </c>
      <c r="B7" s="53" t="s">
        <v>148</v>
      </c>
      <c r="C7" s="119" t="s">
        <v>141</v>
      </c>
      <c r="D7" s="119"/>
      <c r="E7" s="119" t="s">
        <v>142</v>
      </c>
      <c r="F7" s="119"/>
      <c r="G7" s="116" t="s">
        <v>143</v>
      </c>
      <c r="H7" s="116"/>
    </row>
    <row r="8" spans="1:8" ht="43.5" customHeight="1">
      <c r="A8" s="74"/>
      <c r="B8" s="54"/>
      <c r="C8" s="110"/>
      <c r="D8" s="110"/>
      <c r="E8" s="110"/>
      <c r="F8" s="110"/>
      <c r="G8" s="110"/>
      <c r="H8" s="110"/>
    </row>
    <row r="9" spans="1:8" ht="19.5" customHeight="1">
      <c r="A9" s="55" t="s">
        <v>108</v>
      </c>
      <c r="B9" s="55" t="s">
        <v>109</v>
      </c>
      <c r="C9" s="55" t="s">
        <v>111</v>
      </c>
      <c r="D9" s="56" t="s">
        <v>112</v>
      </c>
      <c r="E9" s="55" t="s">
        <v>113</v>
      </c>
      <c r="F9" s="55" t="s">
        <v>114</v>
      </c>
      <c r="G9" s="55" t="s">
        <v>115</v>
      </c>
      <c r="H9" s="55" t="s">
        <v>75</v>
      </c>
    </row>
    <row r="10" spans="1:8" ht="13.5" customHeight="1">
      <c r="A10" s="57">
        <f>IF(DAY(DATE(対象年度,$B$2,1))&lt;&gt;1,"",1)</f>
        <v>1</v>
      </c>
      <c r="B10" s="57" t="str">
        <f>IF(DAY(DATE(対象年度,$B$2,1))&lt;&gt;1,"",CHOOSE(WEEKDAY(DATE(対象年度,$B$2,1),2),"月","火","水","木","金","土","日"))</f>
        <v>木</v>
      </c>
      <c r="C10" s="57" t="str">
        <f ca="1">IFERROR(IF(INDEX(INDIRECT("'"&amp;$B$2&amp;"月"&amp;"'!A:AZ"),4,4+0)="","",INDEX(INDIRECT("'"&amp;$B$2&amp;"月"&amp;"'!A:AZ"),4,4+0)),"")</f>
        <v/>
      </c>
      <c r="D10" s="58" t="str">
        <f ca="1">IFERROR(IF(INDEX(INDIRECT("'"&amp;$B$2&amp;"月"&amp;"'!A:AZ"),4,4+1)="","",INDEX(INDIRECT("'"&amp;$B$2&amp;"月"&amp;"'!A:AZ"),4,4+1)),"")</f>
        <v/>
      </c>
      <c r="E10" s="57" t="str">
        <f ca="1">IFERROR(IF(INDEX(INDIRECT("'"&amp;$B$2&amp;"月"&amp;"'!A:AZ"),4,4+2)="","",INDEX(INDIRECT("'"&amp;$B$2&amp;"月"&amp;"'!A:AZ"),4,4+2)),"")</f>
        <v/>
      </c>
      <c r="F10" s="59" t="str">
        <f ca="1">IFERROR(IF(INDEX(INDIRECT("'"&amp;$B$2&amp;"月"&amp;"'!A:AZ"),4,4+3)="","",INDEX(INDIRECT("'"&amp;$B$2&amp;"月"&amp;"'!A:AZ"),4,4+3)),"")</f>
        <v/>
      </c>
      <c r="G10" s="57" t="str">
        <f ca="1">IFERROR(IF(INDEX(INDIRECT("'"&amp;$B$2&amp;"月"&amp;"'!A:AZ"),4,4+4)="","",INDEX(INDIRECT("'"&amp;$B$2&amp;"月"&amp;"'!A:AZ"),4,4+4)),"")</f>
        <v/>
      </c>
      <c r="H10" s="57"/>
    </row>
    <row r="11" spans="1:8" ht="13.5" customHeight="1">
      <c r="A11" s="57">
        <f>IF(DAY(DATE(対象年度,$B$2,2))&lt;&gt;2,"",2)</f>
        <v>2</v>
      </c>
      <c r="B11" s="57" t="str">
        <f>IF(DAY(DATE(対象年度,$B$2,2))&lt;&gt;2,"",CHOOSE(WEEKDAY(DATE(対象年度,$B$2,2),2),"月","火","水","木","金","土","日"))</f>
        <v>金</v>
      </c>
      <c r="C11" s="57" t="str">
        <f ca="1">IFERROR(IF(INDEX(INDIRECT("'"&amp;$B$2&amp;"月"&amp;"'!A:AZ"),5,4+0)="","",INDEX(INDIRECT("'"&amp;$B$2&amp;"月"&amp;"'!A:AZ"),5,4+0)),"")</f>
        <v/>
      </c>
      <c r="D11" s="58" t="str">
        <f ca="1">IFERROR(IF(INDEX(INDIRECT("'"&amp;$B$2&amp;"月"&amp;"'!A:AZ"),5,4+1)="","",INDEX(INDIRECT("'"&amp;$B$2&amp;"月"&amp;"'!A:AZ"),5,4+1)),"")</f>
        <v/>
      </c>
      <c r="E11" s="57" t="str">
        <f ca="1">IFERROR(IF(INDEX(INDIRECT("'"&amp;$B$2&amp;"月"&amp;"'!A:AZ"),5,4+2)="","",INDEX(INDIRECT("'"&amp;$B$2&amp;"月"&amp;"'!A:AZ"),5,4+2)),"")</f>
        <v/>
      </c>
      <c r="F11" s="59" t="str">
        <f ca="1">IFERROR(IF(INDEX(INDIRECT("'"&amp;$B$2&amp;"月"&amp;"'!A:AZ"),5,4+3)="","",INDEX(INDIRECT("'"&amp;$B$2&amp;"月"&amp;"'!A:AZ"),5,4+3)),"")</f>
        <v/>
      </c>
      <c r="G11" s="57" t="str">
        <f ca="1">IFERROR(IF(INDEX(INDIRECT("'"&amp;$B$2&amp;"月"&amp;"'!A:AZ"),5,4+4)="","",INDEX(INDIRECT("'"&amp;$B$2&amp;"月"&amp;"'!A:AZ"),5,4+4)),"")</f>
        <v/>
      </c>
      <c r="H11" s="57"/>
    </row>
    <row r="12" spans="1:8" ht="13.5" customHeight="1">
      <c r="A12" s="57">
        <f>IF(DAY(DATE(対象年度,$B$2,3))&lt;&gt;3,"",3)</f>
        <v>3</v>
      </c>
      <c r="B12" s="57" t="str">
        <f>IF(DAY(DATE(対象年度,$B$2,3))&lt;&gt;3,"",CHOOSE(WEEKDAY(DATE(対象年度,$B$2,3),2),"月","火","水","木","金","土","日"))</f>
        <v>土</v>
      </c>
      <c r="C12" s="57" t="str">
        <f ca="1">IFERROR(IF(INDEX(INDIRECT("'"&amp;$B$2&amp;"月"&amp;"'!A:AZ"),6,4+0)="","",INDEX(INDIRECT("'"&amp;$B$2&amp;"月"&amp;"'!A:AZ"),6,4+0)),"")</f>
        <v/>
      </c>
      <c r="D12" s="58" t="str">
        <f ca="1">IFERROR(IF(INDEX(INDIRECT("'"&amp;$B$2&amp;"月"&amp;"'!A:AZ"),6,4+1)="","",INDEX(INDIRECT("'"&amp;$B$2&amp;"月"&amp;"'!A:AZ"),6,4+1)),"")</f>
        <v/>
      </c>
      <c r="E12" s="57" t="str">
        <f ca="1">IFERROR(IF(INDEX(INDIRECT("'"&amp;$B$2&amp;"月"&amp;"'!A:AZ"),6,4+2)="","",INDEX(INDIRECT("'"&amp;$B$2&amp;"月"&amp;"'!A:AZ"),6,4+2)),"")</f>
        <v/>
      </c>
      <c r="F12" s="59" t="str">
        <f ca="1">IFERROR(IF(INDEX(INDIRECT("'"&amp;$B$2&amp;"月"&amp;"'!A:AZ"),6,4+3)="","",INDEX(INDIRECT("'"&amp;$B$2&amp;"月"&amp;"'!A:AZ"),6,4+3)),"")</f>
        <v/>
      </c>
      <c r="G12" s="57" t="str">
        <f ca="1">IFERROR(IF(INDEX(INDIRECT("'"&amp;$B$2&amp;"月"&amp;"'!A:AZ"),6,4+4)="","",INDEX(INDIRECT("'"&amp;$B$2&amp;"月"&amp;"'!A:AZ"),6,4+4)),"")</f>
        <v/>
      </c>
      <c r="H12" s="57"/>
    </row>
    <row r="13" spans="1:8" ht="13.5" customHeight="1">
      <c r="A13" s="57">
        <f>IF(DAY(DATE(対象年度,$B$2,4))&lt;&gt;4,"",4)</f>
        <v>4</v>
      </c>
      <c r="B13" s="57" t="str">
        <f>IF(DAY(DATE(対象年度,$B$2,4))&lt;&gt;4,"",CHOOSE(WEEKDAY(DATE(対象年度,$B$2,4),2),"月","火","水","木","金","土","日"))</f>
        <v>日</v>
      </c>
      <c r="C13" s="57" t="str">
        <f ca="1">IFERROR(IF(INDEX(INDIRECT("'"&amp;$B$2&amp;"月"&amp;"'!A:AZ"),7,4+0)="","",INDEX(INDIRECT("'"&amp;$B$2&amp;"月"&amp;"'!A:AZ"),7,4+0)),"")</f>
        <v/>
      </c>
      <c r="D13" s="58" t="str">
        <f ca="1">IFERROR(IF(INDEX(INDIRECT("'"&amp;$B$2&amp;"月"&amp;"'!A:AZ"),7,4+1)="","",INDEX(INDIRECT("'"&amp;$B$2&amp;"月"&amp;"'!A:AZ"),7,4+1)),"")</f>
        <v/>
      </c>
      <c r="E13" s="57" t="str">
        <f ca="1">IFERROR(IF(INDEX(INDIRECT("'"&amp;$B$2&amp;"月"&amp;"'!A:AZ"),7,4+2)="","",INDEX(INDIRECT("'"&amp;$B$2&amp;"月"&amp;"'!A:AZ"),7,4+2)),"")</f>
        <v/>
      </c>
      <c r="F13" s="59" t="str">
        <f ca="1">IFERROR(IF(INDEX(INDIRECT("'"&amp;$B$2&amp;"月"&amp;"'!A:AZ"),7,4+3)="","",INDEX(INDIRECT("'"&amp;$B$2&amp;"月"&amp;"'!A:AZ"),7,4+3)),"")</f>
        <v/>
      </c>
      <c r="G13" s="57" t="str">
        <f ca="1">IFERROR(IF(INDEX(INDIRECT("'"&amp;$B$2&amp;"月"&amp;"'!A:AZ"),7,4+4)="","",INDEX(INDIRECT("'"&amp;$B$2&amp;"月"&amp;"'!A:AZ"),7,4+4)),"")</f>
        <v/>
      </c>
      <c r="H13" s="57"/>
    </row>
    <row r="14" spans="1:8" ht="13.5" customHeight="1">
      <c r="A14" s="57">
        <f>IF(DAY(DATE(対象年度,$B$2,5))&lt;&gt;5,"",5)</f>
        <v>5</v>
      </c>
      <c r="B14" s="57" t="str">
        <f>IF(DAY(DATE(対象年度,$B$2,5))&lt;&gt;5,"",CHOOSE(WEEKDAY(DATE(対象年度,$B$2,5),2),"月","火","水","木","金","土","日"))</f>
        <v>月</v>
      </c>
      <c r="C14" s="57" t="str">
        <f ca="1">IFERROR(IF(INDEX(INDIRECT("'"&amp;$B$2&amp;"月"&amp;"'!A:AZ"),8,4+0)="","",INDEX(INDIRECT("'"&amp;$B$2&amp;"月"&amp;"'!A:AZ"),8,4+0)),"")</f>
        <v/>
      </c>
      <c r="D14" s="58" t="str">
        <f ca="1">IFERROR(IF(INDEX(INDIRECT("'"&amp;$B$2&amp;"月"&amp;"'!A:AZ"),8,4+1)="","",INDEX(INDIRECT("'"&amp;$B$2&amp;"月"&amp;"'!A:AZ"),8,4+1)),"")</f>
        <v/>
      </c>
      <c r="E14" s="57" t="str">
        <f ca="1">IFERROR(IF(INDEX(INDIRECT("'"&amp;$B$2&amp;"月"&amp;"'!A:AZ"),8,4+2)="","",INDEX(INDIRECT("'"&amp;$B$2&amp;"月"&amp;"'!A:AZ"),8,4+2)),"")</f>
        <v/>
      </c>
      <c r="F14" s="59" t="str">
        <f ca="1">IFERROR(IF(INDEX(INDIRECT("'"&amp;$B$2&amp;"月"&amp;"'!A:AZ"),8,4+3)="","",INDEX(INDIRECT("'"&amp;$B$2&amp;"月"&amp;"'!A:AZ"),8,4+3)),"")</f>
        <v/>
      </c>
      <c r="G14" s="57" t="str">
        <f ca="1">IFERROR(IF(INDEX(INDIRECT("'"&amp;$B$2&amp;"月"&amp;"'!A:AZ"),8,4+4)="","",INDEX(INDIRECT("'"&amp;$B$2&amp;"月"&amp;"'!A:AZ"),8,4+4)),"")</f>
        <v/>
      </c>
      <c r="H14" s="57"/>
    </row>
    <row r="15" spans="1:8" ht="13.5" customHeight="1">
      <c r="A15" s="57">
        <f>IF(DAY(DATE(対象年度,$B$2,6))&lt;&gt;6,"",6)</f>
        <v>6</v>
      </c>
      <c r="B15" s="57" t="str">
        <f>IF(DAY(DATE(対象年度,$B$2,6))&lt;&gt;6,"",CHOOSE(WEEKDAY(DATE(対象年度,$B$2,6),2),"月","火","水","木","金","土","日"))</f>
        <v>火</v>
      </c>
      <c r="C15" s="57" t="str">
        <f ca="1">IFERROR(IF(INDEX(INDIRECT("'"&amp;$B$2&amp;"月"&amp;"'!A:AZ"),9,4+0)="","",INDEX(INDIRECT("'"&amp;$B$2&amp;"月"&amp;"'!A:AZ"),9,4+0)),"")</f>
        <v/>
      </c>
      <c r="D15" s="58" t="str">
        <f ca="1">IFERROR(IF(INDEX(INDIRECT("'"&amp;$B$2&amp;"月"&amp;"'!A:AZ"),9,4+1)="","",INDEX(INDIRECT("'"&amp;$B$2&amp;"月"&amp;"'!A:AZ"),9,4+1)),"")</f>
        <v/>
      </c>
      <c r="E15" s="57" t="str">
        <f ca="1">IFERROR(IF(INDEX(INDIRECT("'"&amp;$B$2&amp;"月"&amp;"'!A:AZ"),9,4+2)="","",INDEX(INDIRECT("'"&amp;$B$2&amp;"月"&amp;"'!A:AZ"),9,4+2)),"")</f>
        <v/>
      </c>
      <c r="F15" s="59" t="str">
        <f ca="1">IFERROR(IF(INDEX(INDIRECT("'"&amp;$B$2&amp;"月"&amp;"'!A:AZ"),9,4+3)="","",INDEX(INDIRECT("'"&amp;$B$2&amp;"月"&amp;"'!A:AZ"),9,4+3)),"")</f>
        <v/>
      </c>
      <c r="G15" s="57" t="str">
        <f ca="1">IFERROR(IF(INDEX(INDIRECT("'"&amp;$B$2&amp;"月"&amp;"'!A:AZ"),9,4+4)="","",INDEX(INDIRECT("'"&amp;$B$2&amp;"月"&amp;"'!A:AZ"),9,4+4)),"")</f>
        <v/>
      </c>
      <c r="H15" s="57"/>
    </row>
    <row r="16" spans="1:8" ht="13.5" customHeight="1">
      <c r="A16" s="57">
        <f>IF(DAY(DATE(対象年度,$B$2,7))&lt;&gt;7,"",7)</f>
        <v>7</v>
      </c>
      <c r="B16" s="57" t="str">
        <f>IF(DAY(DATE(対象年度,$B$2,7))&lt;&gt;7,"",CHOOSE(WEEKDAY(DATE(対象年度,$B$2,7),2),"月","火","水","木","金","土","日"))</f>
        <v>水</v>
      </c>
      <c r="C16" s="57" t="str">
        <f ca="1">IFERROR(IF(INDEX(INDIRECT("'"&amp;$B$2&amp;"月"&amp;"'!A:AZ"),10,4+0)="","",INDEX(INDIRECT("'"&amp;$B$2&amp;"月"&amp;"'!A:AZ"),10,4+0)),"")</f>
        <v/>
      </c>
      <c r="D16" s="58" t="str">
        <f ca="1">IFERROR(IF(INDEX(INDIRECT("'"&amp;$B$2&amp;"月"&amp;"'!A:AZ"),10,4+1)="","",INDEX(INDIRECT("'"&amp;$B$2&amp;"月"&amp;"'!A:AZ"),10,4+1)),"")</f>
        <v/>
      </c>
      <c r="E16" s="57" t="str">
        <f ca="1">IFERROR(IF(INDEX(INDIRECT("'"&amp;$B$2&amp;"月"&amp;"'!A:AZ"),10,4+2)="","",INDEX(INDIRECT("'"&amp;$B$2&amp;"月"&amp;"'!A:AZ"),10,4+2)),"")</f>
        <v/>
      </c>
      <c r="F16" s="59" t="str">
        <f ca="1">IFERROR(IF(INDEX(INDIRECT("'"&amp;$B$2&amp;"月"&amp;"'!A:AZ"),10,4+3)="","",INDEX(INDIRECT("'"&amp;$B$2&amp;"月"&amp;"'!A:AZ"),10,4+3)),"")</f>
        <v/>
      </c>
      <c r="G16" s="57" t="str">
        <f ca="1">IFERROR(IF(INDEX(INDIRECT("'"&amp;$B$2&amp;"月"&amp;"'!A:AZ"),10,4+4)="","",INDEX(INDIRECT("'"&amp;$B$2&amp;"月"&amp;"'!A:AZ"),10,4+4)),"")</f>
        <v/>
      </c>
      <c r="H16" s="57"/>
    </row>
    <row r="17" spans="1:8" ht="13.5" customHeight="1">
      <c r="A17" s="57">
        <f>IF(DAY(DATE(対象年度,$B$2,8))&lt;&gt;8,"",8)</f>
        <v>8</v>
      </c>
      <c r="B17" s="57" t="str">
        <f>IF(DAY(DATE(対象年度,$B$2,8))&lt;&gt;8,"",CHOOSE(WEEKDAY(DATE(対象年度,$B$2,8),2),"月","火","水","木","金","土","日"))</f>
        <v>木</v>
      </c>
      <c r="C17" s="57" t="str">
        <f ca="1">IFERROR(IF(INDEX(INDIRECT("'"&amp;$B$2&amp;"月"&amp;"'!A:AZ"),11,4+0)="","",INDEX(INDIRECT("'"&amp;$B$2&amp;"月"&amp;"'!A:AZ"),11,4+0)),"")</f>
        <v/>
      </c>
      <c r="D17" s="58" t="str">
        <f ca="1">IFERROR(IF(INDEX(INDIRECT("'"&amp;$B$2&amp;"月"&amp;"'!A:AZ"),11,4+1)="","",INDEX(INDIRECT("'"&amp;$B$2&amp;"月"&amp;"'!A:AZ"),11,4+1)),"")</f>
        <v/>
      </c>
      <c r="E17" s="57" t="str">
        <f ca="1">IFERROR(IF(INDEX(INDIRECT("'"&amp;$B$2&amp;"月"&amp;"'!A:AZ"),11,4+2)="","",INDEX(INDIRECT("'"&amp;$B$2&amp;"月"&amp;"'!A:AZ"),11,4+2)),"")</f>
        <v/>
      </c>
      <c r="F17" s="59" t="str">
        <f ca="1">IFERROR(IF(INDEX(INDIRECT("'"&amp;$B$2&amp;"月"&amp;"'!A:AZ"),11,4+3)="","",INDEX(INDIRECT("'"&amp;$B$2&amp;"月"&amp;"'!A:AZ"),11,4+3)),"")</f>
        <v/>
      </c>
      <c r="G17" s="57" t="str">
        <f ca="1">IFERROR(IF(INDEX(INDIRECT("'"&amp;$B$2&amp;"月"&amp;"'!A:AZ"),11,4+4)="","",INDEX(INDIRECT("'"&amp;$B$2&amp;"月"&amp;"'!A:AZ"),11,4+4)),"")</f>
        <v/>
      </c>
      <c r="H17" s="57"/>
    </row>
    <row r="18" spans="1:8" ht="13.5" customHeight="1">
      <c r="A18" s="57">
        <f>IF(DAY(DATE(対象年度,$B$2,9))&lt;&gt;9,"",9)</f>
        <v>9</v>
      </c>
      <c r="B18" s="57" t="str">
        <f>IF(DAY(DATE(対象年度,$B$2,9))&lt;&gt;9,"",CHOOSE(WEEKDAY(DATE(対象年度,$B$2,9),2),"月","火","水","木","金","土","日"))</f>
        <v>金</v>
      </c>
      <c r="C18" s="57" t="str">
        <f ca="1">IFERROR(IF(INDEX(INDIRECT("'"&amp;$B$2&amp;"月"&amp;"'!A:AZ"),12,4+0)="","",INDEX(INDIRECT("'"&amp;$B$2&amp;"月"&amp;"'!A:AZ"),12,4+0)),"")</f>
        <v/>
      </c>
      <c r="D18" s="58" t="str">
        <f ca="1">IFERROR(IF(INDEX(INDIRECT("'"&amp;$B$2&amp;"月"&amp;"'!A:AZ"),12,4+1)="","",INDEX(INDIRECT("'"&amp;$B$2&amp;"月"&amp;"'!A:AZ"),12,4+1)),"")</f>
        <v/>
      </c>
      <c r="E18" s="57" t="str">
        <f ca="1">IFERROR(IF(INDEX(INDIRECT("'"&amp;$B$2&amp;"月"&amp;"'!A:AZ"),12,4+2)="","",INDEX(INDIRECT("'"&amp;$B$2&amp;"月"&amp;"'!A:AZ"),12,4+2)),"")</f>
        <v/>
      </c>
      <c r="F18" s="59" t="str">
        <f ca="1">IFERROR(IF(INDEX(INDIRECT("'"&amp;$B$2&amp;"月"&amp;"'!A:AZ"),12,4+3)="","",INDEX(INDIRECT("'"&amp;$B$2&amp;"月"&amp;"'!A:AZ"),12,4+3)),"")</f>
        <v/>
      </c>
      <c r="G18" s="57" t="str">
        <f ca="1">IFERROR(IF(INDEX(INDIRECT("'"&amp;$B$2&amp;"月"&amp;"'!A:AZ"),12,4+4)="","",INDEX(INDIRECT("'"&amp;$B$2&amp;"月"&amp;"'!A:AZ"),12,4+4)),"")</f>
        <v/>
      </c>
      <c r="H18" s="57"/>
    </row>
    <row r="19" spans="1:8" ht="13.5" customHeight="1">
      <c r="A19" s="57">
        <f>IF(DAY(DATE(対象年度,$B$2,10))&lt;&gt;10,"",10)</f>
        <v>10</v>
      </c>
      <c r="B19" s="57" t="str">
        <f>IF(DAY(DATE(対象年度,$B$2,10))&lt;&gt;10,"",CHOOSE(WEEKDAY(DATE(対象年度,$B$2,10),2),"月","火","水","木","金","土","日"))</f>
        <v>土</v>
      </c>
      <c r="C19" s="57" t="str">
        <f ca="1">IFERROR(IF(INDEX(INDIRECT("'"&amp;$B$2&amp;"月"&amp;"'!A:AZ"),13,4+0)="","",INDEX(INDIRECT("'"&amp;$B$2&amp;"月"&amp;"'!A:AZ"),13,4+0)),"")</f>
        <v/>
      </c>
      <c r="D19" s="58" t="str">
        <f ca="1">IFERROR(IF(INDEX(INDIRECT("'"&amp;$B$2&amp;"月"&amp;"'!A:AZ"),13,4+1)="","",INDEX(INDIRECT("'"&amp;$B$2&amp;"月"&amp;"'!A:AZ"),13,4+1)),"")</f>
        <v/>
      </c>
      <c r="E19" s="57" t="str">
        <f ca="1">IFERROR(IF(INDEX(INDIRECT("'"&amp;$B$2&amp;"月"&amp;"'!A:AZ"),13,4+2)="","",INDEX(INDIRECT("'"&amp;$B$2&amp;"月"&amp;"'!A:AZ"),13,4+2)),"")</f>
        <v/>
      </c>
      <c r="F19" s="59" t="str">
        <f ca="1">IFERROR(IF(INDEX(INDIRECT("'"&amp;$B$2&amp;"月"&amp;"'!A:AZ"),13,4+3)="","",INDEX(INDIRECT("'"&amp;$B$2&amp;"月"&amp;"'!A:AZ"),13,4+3)),"")</f>
        <v/>
      </c>
      <c r="G19" s="57" t="str">
        <f ca="1">IFERROR(IF(INDEX(INDIRECT("'"&amp;$B$2&amp;"月"&amp;"'!A:AZ"),13,4+4)="","",INDEX(INDIRECT("'"&amp;$B$2&amp;"月"&amp;"'!A:AZ"),13,4+4)),"")</f>
        <v/>
      </c>
      <c r="H19" s="57"/>
    </row>
    <row r="20" spans="1:8" ht="13.5" customHeight="1">
      <c r="A20" s="57">
        <f>IF(DAY(DATE(対象年度,$B$2,11))&lt;&gt;11,"",11)</f>
        <v>11</v>
      </c>
      <c r="B20" s="57" t="str">
        <f>IF(DAY(DATE(対象年度,$B$2,11))&lt;&gt;11,"",CHOOSE(WEEKDAY(DATE(対象年度,$B$2,11),2),"月","火","水","木","金","土","日"))</f>
        <v>日</v>
      </c>
      <c r="C20" s="57" t="str">
        <f ca="1">IFERROR(IF(INDEX(INDIRECT("'"&amp;$B$2&amp;"月"&amp;"'!A:AZ"),14,4+0)="","",INDEX(INDIRECT("'"&amp;$B$2&amp;"月"&amp;"'!A:AZ"),14,4+0)),"")</f>
        <v/>
      </c>
      <c r="D20" s="58" t="str">
        <f ca="1">IFERROR(IF(INDEX(INDIRECT("'"&amp;$B$2&amp;"月"&amp;"'!A:AZ"),14,4+1)="","",INDEX(INDIRECT("'"&amp;$B$2&amp;"月"&amp;"'!A:AZ"),14,4+1)),"")</f>
        <v/>
      </c>
      <c r="E20" s="57" t="str">
        <f ca="1">IFERROR(IF(INDEX(INDIRECT("'"&amp;$B$2&amp;"月"&amp;"'!A:AZ"),14,4+2)="","",INDEX(INDIRECT("'"&amp;$B$2&amp;"月"&amp;"'!A:AZ"),14,4+2)),"")</f>
        <v/>
      </c>
      <c r="F20" s="59" t="str">
        <f ca="1">IFERROR(IF(INDEX(INDIRECT("'"&amp;$B$2&amp;"月"&amp;"'!A:AZ"),14,4+3)="","",INDEX(INDIRECT("'"&amp;$B$2&amp;"月"&amp;"'!A:AZ"),14,4+3)),"")</f>
        <v/>
      </c>
      <c r="G20" s="57" t="str">
        <f ca="1">IFERROR(IF(INDEX(INDIRECT("'"&amp;$B$2&amp;"月"&amp;"'!A:AZ"),14,4+4)="","",INDEX(INDIRECT("'"&amp;$B$2&amp;"月"&amp;"'!A:AZ"),14,4+4)),"")</f>
        <v/>
      </c>
      <c r="H20" s="57"/>
    </row>
    <row r="21" spans="1:8" ht="13.5" customHeight="1">
      <c r="A21" s="57">
        <f>IF(DAY(DATE(対象年度,$B$2,12))&lt;&gt;12,"",12)</f>
        <v>12</v>
      </c>
      <c r="B21" s="57" t="str">
        <f>IF(DAY(DATE(対象年度,$B$2,12))&lt;&gt;12,"",CHOOSE(WEEKDAY(DATE(対象年度,$B$2,12),2),"月","火","水","木","金","土","日"))</f>
        <v>月</v>
      </c>
      <c r="C21" s="57" t="str">
        <f ca="1">IFERROR(IF(INDEX(INDIRECT("'"&amp;$B$2&amp;"月"&amp;"'!A:AZ"),15,4+0)="","",INDEX(INDIRECT("'"&amp;$B$2&amp;"月"&amp;"'!A:AZ"),15,4+0)),"")</f>
        <v/>
      </c>
      <c r="D21" s="58" t="str">
        <f ca="1">IFERROR(IF(INDEX(INDIRECT("'"&amp;$B$2&amp;"月"&amp;"'!A:AZ"),15,4+1)="","",INDEX(INDIRECT("'"&amp;$B$2&amp;"月"&amp;"'!A:AZ"),15,4+1)),"")</f>
        <v/>
      </c>
      <c r="E21" s="57" t="str">
        <f ca="1">IFERROR(IF(INDEX(INDIRECT("'"&amp;$B$2&amp;"月"&amp;"'!A:AZ"),15,4+2)="","",INDEX(INDIRECT("'"&amp;$B$2&amp;"月"&amp;"'!A:AZ"),15,4+2)),"")</f>
        <v/>
      </c>
      <c r="F21" s="59" t="str">
        <f ca="1">IFERROR(IF(INDEX(INDIRECT("'"&amp;$B$2&amp;"月"&amp;"'!A:AZ"),15,4+3)="","",INDEX(INDIRECT("'"&amp;$B$2&amp;"月"&amp;"'!A:AZ"),15,4+3)),"")</f>
        <v/>
      </c>
      <c r="G21" s="57" t="str">
        <f ca="1">IFERROR(IF(INDEX(INDIRECT("'"&amp;$B$2&amp;"月"&amp;"'!A:AZ"),15,4+4)="","",INDEX(INDIRECT("'"&amp;$B$2&amp;"月"&amp;"'!A:AZ"),15,4+4)),"")</f>
        <v/>
      </c>
      <c r="H21" s="57"/>
    </row>
    <row r="22" spans="1:8" ht="13.5" customHeight="1">
      <c r="A22" s="57">
        <f>IF(DAY(DATE(対象年度,$B$2,13))&lt;&gt;13,"",13)</f>
        <v>13</v>
      </c>
      <c r="B22" s="57" t="str">
        <f>IF(DAY(DATE(対象年度,$B$2,13))&lt;&gt;13,"",CHOOSE(WEEKDAY(DATE(対象年度,$B$2,13),2),"月","火","水","木","金","土","日"))</f>
        <v>火</v>
      </c>
      <c r="C22" s="57" t="str">
        <f ca="1">IFERROR(IF(INDEX(INDIRECT("'"&amp;$B$2&amp;"月"&amp;"'!A:AZ"),16,4+0)="","",INDEX(INDIRECT("'"&amp;$B$2&amp;"月"&amp;"'!A:AZ"),16,4+0)),"")</f>
        <v/>
      </c>
      <c r="D22" s="58" t="str">
        <f ca="1">IFERROR(IF(INDEX(INDIRECT("'"&amp;$B$2&amp;"月"&amp;"'!A:AZ"),16,4+1)="","",INDEX(INDIRECT("'"&amp;$B$2&amp;"月"&amp;"'!A:AZ"),16,4+1)),"")</f>
        <v/>
      </c>
      <c r="E22" s="57" t="str">
        <f ca="1">IFERROR(IF(INDEX(INDIRECT("'"&amp;$B$2&amp;"月"&amp;"'!A:AZ"),16,4+2)="","",INDEX(INDIRECT("'"&amp;$B$2&amp;"月"&amp;"'!A:AZ"),16,4+2)),"")</f>
        <v/>
      </c>
      <c r="F22" s="59" t="str">
        <f ca="1">IFERROR(IF(INDEX(INDIRECT("'"&amp;$B$2&amp;"月"&amp;"'!A:AZ"),16,4+3)="","",INDEX(INDIRECT("'"&amp;$B$2&amp;"月"&amp;"'!A:AZ"),16,4+3)),"")</f>
        <v/>
      </c>
      <c r="G22" s="57" t="str">
        <f ca="1">IFERROR(IF(INDEX(INDIRECT("'"&amp;$B$2&amp;"月"&amp;"'!A:AZ"),16,4+4)="","",INDEX(INDIRECT("'"&amp;$B$2&amp;"月"&amp;"'!A:AZ"),16,4+4)),"")</f>
        <v/>
      </c>
      <c r="H22" s="57"/>
    </row>
    <row r="23" spans="1:8" ht="13.5" customHeight="1">
      <c r="A23" s="57">
        <f>IF(DAY(DATE(対象年度,$B$2,14))&lt;&gt;14,"",14)</f>
        <v>14</v>
      </c>
      <c r="B23" s="57" t="str">
        <f>IF(DAY(DATE(対象年度,$B$2,14))&lt;&gt;14,"",CHOOSE(WEEKDAY(DATE(対象年度,$B$2,14),2),"月","火","水","木","金","土","日"))</f>
        <v>水</v>
      </c>
      <c r="C23" s="57" t="str">
        <f ca="1">IFERROR(IF(INDEX(INDIRECT("'"&amp;$B$2&amp;"月"&amp;"'!A:AZ"),17,4+0)="","",INDEX(INDIRECT("'"&amp;$B$2&amp;"月"&amp;"'!A:AZ"),17,4+0)),"")</f>
        <v/>
      </c>
      <c r="D23" s="58" t="str">
        <f ca="1">IFERROR(IF(INDEX(INDIRECT("'"&amp;$B$2&amp;"月"&amp;"'!A:AZ"),17,4+1)="","",INDEX(INDIRECT("'"&amp;$B$2&amp;"月"&amp;"'!A:AZ"),17,4+1)),"")</f>
        <v/>
      </c>
      <c r="E23" s="57" t="str">
        <f ca="1">IFERROR(IF(INDEX(INDIRECT("'"&amp;$B$2&amp;"月"&amp;"'!A:AZ"),17,4+2)="","",INDEX(INDIRECT("'"&amp;$B$2&amp;"月"&amp;"'!A:AZ"),17,4+2)),"")</f>
        <v/>
      </c>
      <c r="F23" s="59" t="str">
        <f ca="1">IFERROR(IF(INDEX(INDIRECT("'"&amp;$B$2&amp;"月"&amp;"'!A:AZ"),17,4+3)="","",INDEX(INDIRECT("'"&amp;$B$2&amp;"月"&amp;"'!A:AZ"),17,4+3)),"")</f>
        <v/>
      </c>
      <c r="G23" s="57" t="str">
        <f ca="1">IFERROR(IF(INDEX(INDIRECT("'"&amp;$B$2&amp;"月"&amp;"'!A:AZ"),17,4+4)="","",INDEX(INDIRECT("'"&amp;$B$2&amp;"月"&amp;"'!A:AZ"),17,4+4)),"")</f>
        <v/>
      </c>
      <c r="H23" s="57"/>
    </row>
    <row r="24" spans="1:8" ht="13.5" customHeight="1">
      <c r="A24" s="57">
        <f>IF(DAY(DATE(対象年度,$B$2,15))&lt;&gt;15,"",15)</f>
        <v>15</v>
      </c>
      <c r="B24" s="57" t="str">
        <f>IF(DAY(DATE(対象年度,$B$2,15))&lt;&gt;15,"",CHOOSE(WEEKDAY(DATE(対象年度,$B$2,15),2),"月","火","水","木","金","土","日"))</f>
        <v>木</v>
      </c>
      <c r="C24" s="57" t="str">
        <f ca="1">IFERROR(IF(INDEX(INDIRECT("'"&amp;$B$2&amp;"月"&amp;"'!A:AZ"),18,4+0)="","",INDEX(INDIRECT("'"&amp;$B$2&amp;"月"&amp;"'!A:AZ"),18,4+0)),"")</f>
        <v/>
      </c>
      <c r="D24" s="58" t="str">
        <f ca="1">IFERROR(IF(INDEX(INDIRECT("'"&amp;$B$2&amp;"月"&amp;"'!A:AZ"),18,4+1)="","",INDEX(INDIRECT("'"&amp;$B$2&amp;"月"&amp;"'!A:AZ"),18,4+1)),"")</f>
        <v/>
      </c>
      <c r="E24" s="57" t="str">
        <f ca="1">IFERROR(IF(INDEX(INDIRECT("'"&amp;$B$2&amp;"月"&amp;"'!A:AZ"),18,4+2)="","",INDEX(INDIRECT("'"&amp;$B$2&amp;"月"&amp;"'!A:AZ"),18,4+2)),"")</f>
        <v/>
      </c>
      <c r="F24" s="59" t="str">
        <f ca="1">IFERROR(IF(INDEX(INDIRECT("'"&amp;$B$2&amp;"月"&amp;"'!A:AZ"),18,4+3)="","",INDEX(INDIRECT("'"&amp;$B$2&amp;"月"&amp;"'!A:AZ"),18,4+3)),"")</f>
        <v/>
      </c>
      <c r="G24" s="57" t="str">
        <f ca="1">IFERROR(IF(INDEX(INDIRECT("'"&amp;$B$2&amp;"月"&amp;"'!A:AZ"),18,4+4)="","",INDEX(INDIRECT("'"&amp;$B$2&amp;"月"&amp;"'!A:AZ"),18,4+4)),"")</f>
        <v/>
      </c>
      <c r="H24" s="57"/>
    </row>
    <row r="25" spans="1:8" ht="13.5" customHeight="1">
      <c r="A25" s="57">
        <f>IF(DAY(DATE(対象年度,$B$2,16))&lt;&gt;16,"",16)</f>
        <v>16</v>
      </c>
      <c r="B25" s="57" t="str">
        <f>IF(DAY(DATE(対象年度,$B$2,16))&lt;&gt;16,"",CHOOSE(WEEKDAY(DATE(対象年度,$B$2,16),2),"月","火","水","木","金","土","日"))</f>
        <v>金</v>
      </c>
      <c r="C25" s="57" t="str">
        <f ca="1">IFERROR(IF(INDEX(INDIRECT("'"&amp;$B$2&amp;"月"&amp;"'!A:AZ"),19,4+0)="","",INDEX(INDIRECT("'"&amp;$B$2&amp;"月"&amp;"'!A:AZ"),19,4+0)),"")</f>
        <v/>
      </c>
      <c r="D25" s="58" t="str">
        <f ca="1">IFERROR(IF(INDEX(INDIRECT("'"&amp;$B$2&amp;"月"&amp;"'!A:AZ"),19,4+1)="","",INDEX(INDIRECT("'"&amp;$B$2&amp;"月"&amp;"'!A:AZ"),19,4+1)),"")</f>
        <v/>
      </c>
      <c r="E25" s="57" t="str">
        <f ca="1">IFERROR(IF(INDEX(INDIRECT("'"&amp;$B$2&amp;"月"&amp;"'!A:AZ"),19,4+2)="","",INDEX(INDIRECT("'"&amp;$B$2&amp;"月"&amp;"'!A:AZ"),19,4+2)),"")</f>
        <v/>
      </c>
      <c r="F25" s="59" t="str">
        <f ca="1">IFERROR(IF(INDEX(INDIRECT("'"&amp;$B$2&amp;"月"&amp;"'!A:AZ"),19,4+3)="","",INDEX(INDIRECT("'"&amp;$B$2&amp;"月"&amp;"'!A:AZ"),19,4+3)),"")</f>
        <v/>
      </c>
      <c r="G25" s="57" t="str">
        <f ca="1">IFERROR(IF(INDEX(INDIRECT("'"&amp;$B$2&amp;"月"&amp;"'!A:AZ"),19,4+4)="","",INDEX(INDIRECT("'"&amp;$B$2&amp;"月"&amp;"'!A:AZ"),19,4+4)),"")</f>
        <v/>
      </c>
      <c r="H25" s="57"/>
    </row>
    <row r="26" spans="1:8" ht="13.5" customHeight="1">
      <c r="A26" s="57">
        <f>IF(DAY(DATE(対象年度,$B$2,17))&lt;&gt;17,"",17)</f>
        <v>17</v>
      </c>
      <c r="B26" s="57" t="str">
        <f>IF(DAY(DATE(対象年度,$B$2,17))&lt;&gt;17,"",CHOOSE(WEEKDAY(DATE(対象年度,$B$2,17),2),"月","火","水","木","金","土","日"))</f>
        <v>土</v>
      </c>
      <c r="C26" s="57" t="str">
        <f ca="1">IFERROR(IF(INDEX(INDIRECT("'"&amp;$B$2&amp;"月"&amp;"'!A:AZ"),20,4+0)="","",INDEX(INDIRECT("'"&amp;$B$2&amp;"月"&amp;"'!A:AZ"),20,4+0)),"")</f>
        <v/>
      </c>
      <c r="D26" s="58" t="str">
        <f ca="1">IFERROR(IF(INDEX(INDIRECT("'"&amp;$B$2&amp;"月"&amp;"'!A:AZ"),20,4+1)="","",INDEX(INDIRECT("'"&amp;$B$2&amp;"月"&amp;"'!A:AZ"),20,4+1)),"")</f>
        <v/>
      </c>
      <c r="E26" s="57" t="str">
        <f ca="1">IFERROR(IF(INDEX(INDIRECT("'"&amp;$B$2&amp;"月"&amp;"'!A:AZ"),20,4+2)="","",INDEX(INDIRECT("'"&amp;$B$2&amp;"月"&amp;"'!A:AZ"),20,4+2)),"")</f>
        <v/>
      </c>
      <c r="F26" s="59" t="str">
        <f ca="1">IFERROR(IF(INDEX(INDIRECT("'"&amp;$B$2&amp;"月"&amp;"'!A:AZ"),20,4+3)="","",INDEX(INDIRECT("'"&amp;$B$2&amp;"月"&amp;"'!A:AZ"),20,4+3)),"")</f>
        <v/>
      </c>
      <c r="G26" s="57" t="str">
        <f ca="1">IFERROR(IF(INDEX(INDIRECT("'"&amp;$B$2&amp;"月"&amp;"'!A:AZ"),20,4+4)="","",INDEX(INDIRECT("'"&amp;$B$2&amp;"月"&amp;"'!A:AZ"),20,4+4)),"")</f>
        <v/>
      </c>
      <c r="H26" s="57"/>
    </row>
    <row r="27" spans="1:8" ht="13.5" customHeight="1">
      <c r="A27" s="57">
        <f>IF(DAY(DATE(対象年度,$B$2,18))&lt;&gt;18,"",18)</f>
        <v>18</v>
      </c>
      <c r="B27" s="57" t="str">
        <f>IF(DAY(DATE(対象年度,$B$2,18))&lt;&gt;18,"",CHOOSE(WEEKDAY(DATE(対象年度,$B$2,18),2),"月","火","水","木","金","土","日"))</f>
        <v>日</v>
      </c>
      <c r="C27" s="57" t="str">
        <f ca="1">IFERROR(IF(INDEX(INDIRECT("'"&amp;$B$2&amp;"月"&amp;"'!A:AZ"),21,4+0)="","",INDEX(INDIRECT("'"&amp;$B$2&amp;"月"&amp;"'!A:AZ"),21,4+0)),"")</f>
        <v/>
      </c>
      <c r="D27" s="58" t="str">
        <f ca="1">IFERROR(IF(INDEX(INDIRECT("'"&amp;$B$2&amp;"月"&amp;"'!A:AZ"),21,4+1)="","",INDEX(INDIRECT("'"&amp;$B$2&amp;"月"&amp;"'!A:AZ"),21,4+1)),"")</f>
        <v/>
      </c>
      <c r="E27" s="57" t="str">
        <f ca="1">IFERROR(IF(INDEX(INDIRECT("'"&amp;$B$2&amp;"月"&amp;"'!A:AZ"),21,4+2)="","",INDEX(INDIRECT("'"&amp;$B$2&amp;"月"&amp;"'!A:AZ"),21,4+2)),"")</f>
        <v/>
      </c>
      <c r="F27" s="59" t="str">
        <f ca="1">IFERROR(IF(INDEX(INDIRECT("'"&amp;$B$2&amp;"月"&amp;"'!A:AZ"),21,4+3)="","",INDEX(INDIRECT("'"&amp;$B$2&amp;"月"&amp;"'!A:AZ"),21,4+3)),"")</f>
        <v/>
      </c>
      <c r="G27" s="57" t="str">
        <f ca="1">IFERROR(IF(INDEX(INDIRECT("'"&amp;$B$2&amp;"月"&amp;"'!A:AZ"),21,4+4)="","",INDEX(INDIRECT("'"&amp;$B$2&amp;"月"&amp;"'!A:AZ"),21,4+4)),"")</f>
        <v/>
      </c>
      <c r="H27" s="57"/>
    </row>
    <row r="28" spans="1:8" ht="13.5" customHeight="1">
      <c r="A28" s="57">
        <f>IF(DAY(DATE(対象年度,$B$2,19))&lt;&gt;19,"",19)</f>
        <v>19</v>
      </c>
      <c r="B28" s="57" t="str">
        <f>IF(DAY(DATE(対象年度,$B$2,19))&lt;&gt;19,"",CHOOSE(WEEKDAY(DATE(対象年度,$B$2,19),2),"月","火","水","木","金","土","日"))</f>
        <v>月</v>
      </c>
      <c r="C28" s="57" t="str">
        <f ca="1">IFERROR(IF(INDEX(INDIRECT("'"&amp;$B$2&amp;"月"&amp;"'!A:AZ"),22,4+0)="","",INDEX(INDIRECT("'"&amp;$B$2&amp;"月"&amp;"'!A:AZ"),22,4+0)),"")</f>
        <v/>
      </c>
      <c r="D28" s="58" t="str">
        <f ca="1">IFERROR(IF(INDEX(INDIRECT("'"&amp;$B$2&amp;"月"&amp;"'!A:AZ"),22,4+1)="","",INDEX(INDIRECT("'"&amp;$B$2&amp;"月"&amp;"'!A:AZ"),22,4+1)),"")</f>
        <v/>
      </c>
      <c r="E28" s="57" t="str">
        <f ca="1">IFERROR(IF(INDEX(INDIRECT("'"&amp;$B$2&amp;"月"&amp;"'!A:AZ"),22,4+2)="","",INDEX(INDIRECT("'"&amp;$B$2&amp;"月"&amp;"'!A:AZ"),22,4+2)),"")</f>
        <v/>
      </c>
      <c r="F28" s="59" t="str">
        <f ca="1">IFERROR(IF(INDEX(INDIRECT("'"&amp;$B$2&amp;"月"&amp;"'!A:AZ"),22,4+3)="","",INDEX(INDIRECT("'"&amp;$B$2&amp;"月"&amp;"'!A:AZ"),22,4+3)),"")</f>
        <v/>
      </c>
      <c r="G28" s="57" t="str">
        <f ca="1">IFERROR(IF(INDEX(INDIRECT("'"&amp;$B$2&amp;"月"&amp;"'!A:AZ"),22,4+4)="","",INDEX(INDIRECT("'"&amp;$B$2&amp;"月"&amp;"'!A:AZ"),22,4+4)),"")</f>
        <v/>
      </c>
      <c r="H28" s="57"/>
    </row>
    <row r="29" spans="1:8" ht="13.5" customHeight="1">
      <c r="A29" s="57">
        <f>IF(DAY(DATE(対象年度,$B$2,20))&lt;&gt;20,"",20)</f>
        <v>20</v>
      </c>
      <c r="B29" s="57" t="str">
        <f>IF(DAY(DATE(対象年度,$B$2,20))&lt;&gt;20,"",CHOOSE(WEEKDAY(DATE(対象年度,$B$2,20),2),"月","火","水","木","金","土","日"))</f>
        <v>火</v>
      </c>
      <c r="C29" s="57" t="str">
        <f ca="1">IFERROR(IF(INDEX(INDIRECT("'"&amp;$B$2&amp;"月"&amp;"'!A:AZ"),23,4+0)="","",INDEX(INDIRECT("'"&amp;$B$2&amp;"月"&amp;"'!A:AZ"),23,4+0)),"")</f>
        <v/>
      </c>
      <c r="D29" s="58" t="str">
        <f ca="1">IFERROR(IF(INDEX(INDIRECT("'"&amp;$B$2&amp;"月"&amp;"'!A:AZ"),23,4+1)="","",INDEX(INDIRECT("'"&amp;$B$2&amp;"月"&amp;"'!A:AZ"),23,4+1)),"")</f>
        <v/>
      </c>
      <c r="E29" s="57" t="str">
        <f ca="1">IFERROR(IF(INDEX(INDIRECT("'"&amp;$B$2&amp;"月"&amp;"'!A:AZ"),23,4+2)="","",INDEX(INDIRECT("'"&amp;$B$2&amp;"月"&amp;"'!A:AZ"),23,4+2)),"")</f>
        <v/>
      </c>
      <c r="F29" s="59" t="str">
        <f ca="1">IFERROR(IF(INDEX(INDIRECT("'"&amp;$B$2&amp;"月"&amp;"'!A:AZ"),23,4+3)="","",INDEX(INDIRECT("'"&amp;$B$2&amp;"月"&amp;"'!A:AZ"),23,4+3)),"")</f>
        <v/>
      </c>
      <c r="G29" s="57" t="str">
        <f ca="1">IFERROR(IF(INDEX(INDIRECT("'"&amp;$B$2&amp;"月"&amp;"'!A:AZ"),23,4+4)="","",INDEX(INDIRECT("'"&amp;$B$2&amp;"月"&amp;"'!A:AZ"),23,4+4)),"")</f>
        <v/>
      </c>
      <c r="H29" s="57"/>
    </row>
    <row r="30" spans="1:8" ht="13.5" customHeight="1">
      <c r="A30" s="57">
        <f>IF(DAY(DATE(対象年度,$B$2,21))&lt;&gt;21,"",21)</f>
        <v>21</v>
      </c>
      <c r="B30" s="57" t="str">
        <f>IF(DAY(DATE(対象年度,$B$2,21))&lt;&gt;21,"",CHOOSE(WEEKDAY(DATE(対象年度,$B$2,21),2),"月","火","水","木","金","土","日"))</f>
        <v>水</v>
      </c>
      <c r="C30" s="57" t="str">
        <f ca="1">IFERROR(IF(INDEX(INDIRECT("'"&amp;$B$2&amp;"月"&amp;"'!A:AZ"),24,4+0)="","",INDEX(INDIRECT("'"&amp;$B$2&amp;"月"&amp;"'!A:AZ"),24,4+0)),"")</f>
        <v>事務所</v>
      </c>
      <c r="D30" s="58" t="str">
        <f ca="1">IFERROR(IF(INDEX(INDIRECT("'"&amp;$B$2&amp;"月"&amp;"'!A:AZ"),24,4+1)="","",INDEX(INDIRECT("'"&amp;$B$2&amp;"月"&amp;"'!A:AZ"),24,4+1)),"")</f>
        <v/>
      </c>
      <c r="E30" s="57" t="str">
        <f ca="1">IFERROR(IF(INDEX(INDIRECT("'"&amp;$B$2&amp;"月"&amp;"'!A:AZ"),24,4+2)="","",INDEX(INDIRECT("'"&amp;$B$2&amp;"月"&amp;"'!A:AZ"),24,4+2)),"")</f>
        <v>○</v>
      </c>
      <c r="F30" s="59" t="str">
        <f ca="1">IFERROR(IF(INDEX(INDIRECT("'"&amp;$B$2&amp;"月"&amp;"'!A:AZ"),24,4+3)="","",INDEX(INDIRECT("'"&amp;$B$2&amp;"月"&amp;"'!A:AZ"),24,4+3)),"")</f>
        <v/>
      </c>
      <c r="G30" s="57" t="str">
        <f ca="1">IFERROR(IF(INDEX(INDIRECT("'"&amp;$B$2&amp;"月"&amp;"'!A:AZ"),24,4+4)="","",INDEX(INDIRECT("'"&amp;$B$2&amp;"月"&amp;"'!A:AZ"),24,4+4)),"")</f>
        <v/>
      </c>
      <c r="H30" s="57"/>
    </row>
    <row r="31" spans="1:8" ht="13.5" customHeight="1">
      <c r="A31" s="57">
        <f>IF(DAY(DATE(対象年度,$B$2,22))&lt;&gt;22,"",22)</f>
        <v>22</v>
      </c>
      <c r="B31" s="57" t="str">
        <f>IF(DAY(DATE(対象年度,$B$2,22))&lt;&gt;22,"",CHOOSE(WEEKDAY(DATE(対象年度,$B$2,22),2),"月","火","水","木","金","土","日"))</f>
        <v>木</v>
      </c>
      <c r="C31" s="57" t="str">
        <f ca="1">IFERROR(IF(INDEX(INDIRECT("'"&amp;$B$2&amp;"月"&amp;"'!A:AZ"),25,4+0)="","",INDEX(INDIRECT("'"&amp;$B$2&amp;"月"&amp;"'!A:AZ"),25,4+0)),"")</f>
        <v>事務所</v>
      </c>
      <c r="D31" s="58" t="str">
        <f ca="1">IFERROR(IF(INDEX(INDIRECT("'"&amp;$B$2&amp;"月"&amp;"'!A:AZ"),25,4+1)="","",INDEX(INDIRECT("'"&amp;$B$2&amp;"月"&amp;"'!A:AZ"),25,4+1)),"")</f>
        <v/>
      </c>
      <c r="E31" s="57" t="str">
        <f ca="1">IFERROR(IF(INDEX(INDIRECT("'"&amp;$B$2&amp;"月"&amp;"'!A:AZ"),25,4+2)="","",INDEX(INDIRECT("'"&amp;$B$2&amp;"月"&amp;"'!A:AZ"),25,4+2)),"")</f>
        <v>○</v>
      </c>
      <c r="F31" s="59" t="str">
        <f ca="1">IFERROR(IF(INDEX(INDIRECT("'"&amp;$B$2&amp;"月"&amp;"'!A:AZ"),25,4+3)="","",INDEX(INDIRECT("'"&amp;$B$2&amp;"月"&amp;"'!A:AZ"),25,4+3)),"")</f>
        <v/>
      </c>
      <c r="G31" s="57" t="str">
        <f ca="1">IFERROR(IF(INDEX(INDIRECT("'"&amp;$B$2&amp;"月"&amp;"'!A:AZ"),25,4+4)="","",INDEX(INDIRECT("'"&amp;$B$2&amp;"月"&amp;"'!A:AZ"),25,4+4)),"")</f>
        <v/>
      </c>
      <c r="H31" s="57"/>
    </row>
    <row r="32" spans="1:8" ht="13.5" customHeight="1">
      <c r="A32" s="57">
        <f>IF(DAY(DATE(対象年度,$B$2,23))&lt;&gt;23,"",23)</f>
        <v>23</v>
      </c>
      <c r="B32" s="57" t="str">
        <f>IF(DAY(DATE(対象年度,$B$2,23))&lt;&gt;23,"",CHOOSE(WEEKDAY(DATE(対象年度,$B$2,23),2),"月","火","水","木","金","土","日"))</f>
        <v>金</v>
      </c>
      <c r="C32" s="57" t="str">
        <f ca="1">IFERROR(IF(INDEX(INDIRECT("'"&amp;$B$2&amp;"月"&amp;"'!A:AZ"),26,4+0)="","",INDEX(INDIRECT("'"&amp;$B$2&amp;"月"&amp;"'!A:AZ"),26,4+0)),"")</f>
        <v>事務所</v>
      </c>
      <c r="D32" s="58" t="str">
        <f ca="1">IFERROR(IF(INDEX(INDIRECT("'"&amp;$B$2&amp;"月"&amp;"'!A:AZ"),26,4+1)="","",INDEX(INDIRECT("'"&amp;$B$2&amp;"月"&amp;"'!A:AZ"),26,4+1)),"")</f>
        <v/>
      </c>
      <c r="E32" s="57" t="str">
        <f ca="1">IFERROR(IF(INDEX(INDIRECT("'"&amp;$B$2&amp;"月"&amp;"'!A:AZ"),26,4+2)="","",INDEX(INDIRECT("'"&amp;$B$2&amp;"月"&amp;"'!A:AZ"),26,4+2)),"")</f>
        <v>○</v>
      </c>
      <c r="F32" s="59" t="str">
        <f ca="1">IFERROR(IF(INDEX(INDIRECT("'"&amp;$B$2&amp;"月"&amp;"'!A:AZ"),26,4+3)="","",INDEX(INDIRECT("'"&amp;$B$2&amp;"月"&amp;"'!A:AZ"),26,4+3)),"")</f>
        <v/>
      </c>
      <c r="G32" s="57" t="str">
        <f ca="1">IFERROR(IF(INDEX(INDIRECT("'"&amp;$B$2&amp;"月"&amp;"'!A:AZ"),26,4+4)="","",INDEX(INDIRECT("'"&amp;$B$2&amp;"月"&amp;"'!A:AZ"),26,4+4)),"")</f>
        <v/>
      </c>
      <c r="H32" s="57"/>
    </row>
    <row r="33" spans="1:8" ht="13.5" customHeight="1">
      <c r="A33" s="57">
        <f>IF(DAY(DATE(対象年度,$B$2,24))&lt;&gt;24,"",24)</f>
        <v>24</v>
      </c>
      <c r="B33" s="57" t="str">
        <f>IF(DAY(DATE(対象年度,$B$2,24))&lt;&gt;24,"",CHOOSE(WEEKDAY(DATE(対象年度,$B$2,24),2),"月","火","水","木","金","土","日"))</f>
        <v>土</v>
      </c>
      <c r="C33" s="57" t="str">
        <f ca="1">IFERROR(IF(INDEX(INDIRECT("'"&amp;$B$2&amp;"月"&amp;"'!A:AZ"),27,4+0)="","",INDEX(INDIRECT("'"&amp;$B$2&amp;"月"&amp;"'!A:AZ"),27,4+0)),"")</f>
        <v/>
      </c>
      <c r="D33" s="58" t="str">
        <f ca="1">IFERROR(IF(INDEX(INDIRECT("'"&amp;$B$2&amp;"月"&amp;"'!A:AZ"),27,4+1)="","",INDEX(INDIRECT("'"&amp;$B$2&amp;"月"&amp;"'!A:AZ"),27,4+1)),"")</f>
        <v/>
      </c>
      <c r="E33" s="57" t="str">
        <f ca="1">IFERROR(IF(INDEX(INDIRECT("'"&amp;$B$2&amp;"月"&amp;"'!A:AZ"),27,4+2)="","",INDEX(INDIRECT("'"&amp;$B$2&amp;"月"&amp;"'!A:AZ"),27,4+2)),"")</f>
        <v/>
      </c>
      <c r="F33" s="59" t="str">
        <f ca="1">IFERROR(IF(INDEX(INDIRECT("'"&amp;$B$2&amp;"月"&amp;"'!A:AZ"),27,4+3)="","",INDEX(INDIRECT("'"&amp;$B$2&amp;"月"&amp;"'!A:AZ"),27,4+3)),"")</f>
        <v/>
      </c>
      <c r="G33" s="57" t="str">
        <f ca="1">IFERROR(IF(INDEX(INDIRECT("'"&amp;$B$2&amp;"月"&amp;"'!A:AZ"),27,4+4)="","",INDEX(INDIRECT("'"&amp;$B$2&amp;"月"&amp;"'!A:AZ"),27,4+4)),"")</f>
        <v/>
      </c>
      <c r="H33" s="57"/>
    </row>
    <row r="34" spans="1:8" ht="13.5" customHeight="1">
      <c r="A34" s="57">
        <f>IF(DAY(DATE(対象年度,$B$2,25))&lt;&gt;25,"",25)</f>
        <v>25</v>
      </c>
      <c r="B34" s="57" t="str">
        <f>IF(DAY(DATE(対象年度,$B$2,25))&lt;&gt;25,"",CHOOSE(WEEKDAY(DATE(対象年度,$B$2,25),2),"月","火","水","木","金","土","日"))</f>
        <v>日</v>
      </c>
      <c r="C34" s="57" t="str">
        <f ca="1">IFERROR(IF(INDEX(INDIRECT("'"&amp;$B$2&amp;"月"&amp;"'!A:AZ"),28,4+0)="","",INDEX(INDIRECT("'"&amp;$B$2&amp;"月"&amp;"'!A:AZ"),28,4+0)),"")</f>
        <v/>
      </c>
      <c r="D34" s="58" t="str">
        <f ca="1">IFERROR(IF(INDEX(INDIRECT("'"&amp;$B$2&amp;"月"&amp;"'!A:AZ"),28,4+1)="","",INDEX(INDIRECT("'"&amp;$B$2&amp;"月"&amp;"'!A:AZ"),28,4+1)),"")</f>
        <v/>
      </c>
      <c r="E34" s="57" t="str">
        <f ca="1">IFERROR(IF(INDEX(INDIRECT("'"&amp;$B$2&amp;"月"&amp;"'!A:AZ"),28,4+2)="","",INDEX(INDIRECT("'"&amp;$B$2&amp;"月"&amp;"'!A:AZ"),28,4+2)),"")</f>
        <v/>
      </c>
      <c r="F34" s="59" t="str">
        <f ca="1">IFERROR(IF(INDEX(INDIRECT("'"&amp;$B$2&amp;"月"&amp;"'!A:AZ"),28,4+3)="","",INDEX(INDIRECT("'"&amp;$B$2&amp;"月"&amp;"'!A:AZ"),28,4+3)),"")</f>
        <v/>
      </c>
      <c r="G34" s="57" t="str">
        <f ca="1">IFERROR(IF(INDEX(INDIRECT("'"&amp;$B$2&amp;"月"&amp;"'!A:AZ"),28,4+4)="","",INDEX(INDIRECT("'"&amp;$B$2&amp;"月"&amp;"'!A:AZ"),28,4+4)),"")</f>
        <v/>
      </c>
      <c r="H34" s="57"/>
    </row>
    <row r="35" spans="1:8" ht="13.5" customHeight="1">
      <c r="A35" s="57">
        <f>IF(DAY(DATE(対象年度,$B$2,26))&lt;&gt;26,"",26)</f>
        <v>26</v>
      </c>
      <c r="B35" s="57" t="str">
        <f>IF(DAY(DATE(対象年度,$B$2,26))&lt;&gt;26,"",CHOOSE(WEEKDAY(DATE(対象年度,$B$2,26),2),"月","火","水","木","金","土","日"))</f>
        <v>月</v>
      </c>
      <c r="C35" s="57" t="str">
        <f ca="1">IFERROR(IF(INDEX(INDIRECT("'"&amp;$B$2&amp;"月"&amp;"'!A:AZ"),29,4+0)="","",INDEX(INDIRECT("'"&amp;$B$2&amp;"月"&amp;"'!A:AZ"),29,4+0)),"")</f>
        <v>事務所</v>
      </c>
      <c r="D35" s="58" t="str">
        <f ca="1">IFERROR(IF(INDEX(INDIRECT("'"&amp;$B$2&amp;"月"&amp;"'!A:AZ"),29,4+1)="","",INDEX(INDIRECT("'"&amp;$B$2&amp;"月"&amp;"'!A:AZ"),29,4+1)),"")</f>
        <v/>
      </c>
      <c r="E35" s="57" t="str">
        <f ca="1">IFERROR(IF(INDEX(INDIRECT("'"&amp;$B$2&amp;"月"&amp;"'!A:AZ"),29,4+2)="","",INDEX(INDIRECT("'"&amp;$B$2&amp;"月"&amp;"'!A:AZ"),29,4+2)),"")</f>
        <v>○</v>
      </c>
      <c r="F35" s="59" t="str">
        <f ca="1">IFERROR(IF(INDEX(INDIRECT("'"&amp;$B$2&amp;"月"&amp;"'!A:AZ"),29,4+3)="","",INDEX(INDIRECT("'"&amp;$B$2&amp;"月"&amp;"'!A:AZ"),29,4+3)),"")</f>
        <v/>
      </c>
      <c r="G35" s="57" t="str">
        <f ca="1">IFERROR(IF(INDEX(INDIRECT("'"&amp;$B$2&amp;"月"&amp;"'!A:AZ"),29,4+4)="","",INDEX(INDIRECT("'"&amp;$B$2&amp;"月"&amp;"'!A:AZ"),29,4+4)),"")</f>
        <v/>
      </c>
      <c r="H35" s="57"/>
    </row>
    <row r="36" spans="1:8" ht="13.5" customHeight="1">
      <c r="A36" s="57">
        <f>IF(DAY(DATE(対象年度,$B$2,27))&lt;&gt;27,"",27)</f>
        <v>27</v>
      </c>
      <c r="B36" s="57" t="str">
        <f>IF(DAY(DATE(対象年度,$B$2,27))&lt;&gt;27,"",CHOOSE(WEEKDAY(DATE(対象年度,$B$2,27),2),"月","火","水","木","金","土","日"))</f>
        <v>火</v>
      </c>
      <c r="C36" s="57" t="str">
        <f ca="1">IFERROR(IF(INDEX(INDIRECT("'"&amp;$B$2&amp;"月"&amp;"'!A:AZ"),30,4+0)="","",INDEX(INDIRECT("'"&amp;$B$2&amp;"月"&amp;"'!A:AZ"),30,4+0)),"")</f>
        <v>事務所</v>
      </c>
      <c r="D36" s="58" t="str">
        <f ca="1">IFERROR(IF(INDEX(INDIRECT("'"&amp;$B$2&amp;"月"&amp;"'!A:AZ"),30,4+1)="","",INDEX(INDIRECT("'"&amp;$B$2&amp;"月"&amp;"'!A:AZ"),30,4+1)),"")</f>
        <v/>
      </c>
      <c r="E36" s="57" t="str">
        <f ca="1">IFERROR(IF(INDEX(INDIRECT("'"&amp;$B$2&amp;"月"&amp;"'!A:AZ"),30,4+2)="","",INDEX(INDIRECT("'"&amp;$B$2&amp;"月"&amp;"'!A:AZ"),30,4+2)),"")</f>
        <v>○</v>
      </c>
      <c r="F36" s="59" t="str">
        <f ca="1">IFERROR(IF(INDEX(INDIRECT("'"&amp;$B$2&amp;"月"&amp;"'!A:AZ"),30,4+3)="","",INDEX(INDIRECT("'"&amp;$B$2&amp;"月"&amp;"'!A:AZ"),30,4+3)),"")</f>
        <v/>
      </c>
      <c r="G36" s="57" t="str">
        <f ca="1">IFERROR(IF(INDEX(INDIRECT("'"&amp;$B$2&amp;"月"&amp;"'!A:AZ"),30,4+4)="","",INDEX(INDIRECT("'"&amp;$B$2&amp;"月"&amp;"'!A:AZ"),30,4+4)),"")</f>
        <v/>
      </c>
      <c r="H36" s="57"/>
    </row>
    <row r="37" spans="1:8" ht="13.5" customHeight="1">
      <c r="A37" s="57">
        <f>IF(DAY(DATE(対象年度,$B$2,28))&lt;&gt;28,"",28)</f>
        <v>28</v>
      </c>
      <c r="B37" s="57" t="str">
        <f>IF(DAY(DATE(対象年度,$B$2,28))&lt;&gt;28,"",CHOOSE(WEEKDAY(DATE(対象年度,$B$2,28),2),"月","火","水","木","金","土","日"))</f>
        <v>水</v>
      </c>
      <c r="C37" s="57" t="str">
        <f ca="1">IFERROR(IF(INDEX(INDIRECT("'"&amp;$B$2&amp;"月"&amp;"'!A:AZ"),31,4+0)="","",INDEX(INDIRECT("'"&amp;$B$2&amp;"月"&amp;"'!A:AZ"),31,4+0)),"")</f>
        <v>事務所</v>
      </c>
      <c r="D37" s="58" t="str">
        <f ca="1">IFERROR(IF(INDEX(INDIRECT("'"&amp;$B$2&amp;"月"&amp;"'!A:AZ"),31,4+1)="","",INDEX(INDIRECT("'"&amp;$B$2&amp;"月"&amp;"'!A:AZ"),31,4+1)),"")</f>
        <v/>
      </c>
      <c r="E37" s="57" t="str">
        <f ca="1">IFERROR(IF(INDEX(INDIRECT("'"&amp;$B$2&amp;"月"&amp;"'!A:AZ"),31,4+2)="","",INDEX(INDIRECT("'"&amp;$B$2&amp;"月"&amp;"'!A:AZ"),31,4+2)),"")</f>
        <v>○</v>
      </c>
      <c r="F37" s="59" t="str">
        <f ca="1">IFERROR(IF(INDEX(INDIRECT("'"&amp;$B$2&amp;"月"&amp;"'!A:AZ"),31,4+3)="","",INDEX(INDIRECT("'"&amp;$B$2&amp;"月"&amp;"'!A:AZ"),31,4+3)),"")</f>
        <v/>
      </c>
      <c r="G37" s="57" t="str">
        <f ca="1">IFERROR(IF(INDEX(INDIRECT("'"&amp;$B$2&amp;"月"&amp;"'!A:AZ"),31,4+4)="","",INDEX(INDIRECT("'"&amp;$B$2&amp;"月"&amp;"'!A:AZ"),31,4+4)),"")</f>
        <v/>
      </c>
      <c r="H37" s="57"/>
    </row>
    <row r="38" spans="1:8" ht="13.5" customHeight="1">
      <c r="A38" s="57">
        <f>IF(DAY(DATE(対象年度,$B$2,29))&lt;&gt;29,"",29)</f>
        <v>29</v>
      </c>
      <c r="B38" s="57" t="str">
        <f>IF(DAY(DATE(対象年度,$B$2,29))&lt;&gt;29,"",CHOOSE(WEEKDAY(DATE(対象年度,$B$2,29),2),"月","火","水","木","金","土","日"))</f>
        <v>木</v>
      </c>
      <c r="C38" s="57" t="str">
        <f ca="1">IFERROR(IF(INDEX(INDIRECT("'"&amp;$B$2&amp;"月"&amp;"'!A:AZ"),32,4+0)="","",INDEX(INDIRECT("'"&amp;$B$2&amp;"月"&amp;"'!A:AZ"),32,4+0)),"")</f>
        <v>事務所</v>
      </c>
      <c r="D38" s="58" t="str">
        <f ca="1">IFERROR(IF(INDEX(INDIRECT("'"&amp;$B$2&amp;"月"&amp;"'!A:AZ"),32,4+1)="","",INDEX(INDIRECT("'"&amp;$B$2&amp;"月"&amp;"'!A:AZ"),32,4+1)),"")</f>
        <v/>
      </c>
      <c r="E38" s="57" t="str">
        <f ca="1">IFERROR(IF(INDEX(INDIRECT("'"&amp;$B$2&amp;"月"&amp;"'!A:AZ"),32,4+2)="","",INDEX(INDIRECT("'"&amp;$B$2&amp;"月"&amp;"'!A:AZ"),32,4+2)),"")</f>
        <v>○</v>
      </c>
      <c r="F38" s="59" t="str">
        <f ca="1">IFERROR(IF(INDEX(INDIRECT("'"&amp;$B$2&amp;"月"&amp;"'!A:AZ"),32,4+3)="","",INDEX(INDIRECT("'"&amp;$B$2&amp;"月"&amp;"'!A:AZ"),32,4+3)),"")</f>
        <v/>
      </c>
      <c r="G38" s="57" t="str">
        <f ca="1">IFERROR(IF(INDEX(INDIRECT("'"&amp;$B$2&amp;"月"&amp;"'!A:AZ"),32,4+4)="","",INDEX(INDIRECT("'"&amp;$B$2&amp;"月"&amp;"'!A:AZ"),32,4+4)),"")</f>
        <v/>
      </c>
      <c r="H38" s="57"/>
    </row>
    <row r="39" spans="1:8" ht="13.5" customHeight="1">
      <c r="A39" s="57">
        <f>IF(DAY(DATE(対象年度,$B$2,30))&lt;&gt;30,"",30)</f>
        <v>30</v>
      </c>
      <c r="B39" s="57" t="str">
        <f>IF(DAY(DATE(対象年度,$B$2,30))&lt;&gt;30,"",CHOOSE(WEEKDAY(DATE(対象年度,$B$2,30),2),"月","火","水","木","金","土","日"))</f>
        <v>金</v>
      </c>
      <c r="C39" s="57" t="str">
        <f ca="1">IFERROR(IF(INDEX(INDIRECT("'"&amp;$B$2&amp;"月"&amp;"'!A:AZ"),33,4+0)="","",INDEX(INDIRECT("'"&amp;$B$2&amp;"月"&amp;"'!A:AZ"),33,4+0)),"")</f>
        <v>事務所</v>
      </c>
      <c r="D39" s="58" t="str">
        <f ca="1">IFERROR(IF(INDEX(INDIRECT("'"&amp;$B$2&amp;"月"&amp;"'!A:AZ"),33,4+1)="","",INDEX(INDIRECT("'"&amp;$B$2&amp;"月"&amp;"'!A:AZ"),33,4+1)),"")</f>
        <v/>
      </c>
      <c r="E39" s="57" t="str">
        <f ca="1">IFERROR(IF(INDEX(INDIRECT("'"&amp;$B$2&amp;"月"&amp;"'!A:AZ"),33,4+2)="","",INDEX(INDIRECT("'"&amp;$B$2&amp;"月"&amp;"'!A:AZ"),33,4+2)),"")</f>
        <v>○</v>
      </c>
      <c r="F39" s="59" t="str">
        <f ca="1">IFERROR(IF(INDEX(INDIRECT("'"&amp;$B$2&amp;"月"&amp;"'!A:AZ"),33,4+3)="","",INDEX(INDIRECT("'"&amp;$B$2&amp;"月"&amp;"'!A:AZ"),33,4+3)),"")</f>
        <v/>
      </c>
      <c r="G39" s="57" t="str">
        <f ca="1">IFERROR(IF(INDEX(INDIRECT("'"&amp;$B$2&amp;"月"&amp;"'!A:AZ"),33,4+4)="","",INDEX(INDIRECT("'"&amp;$B$2&amp;"月"&amp;"'!A:AZ"),33,4+4)),"")</f>
        <v/>
      </c>
      <c r="H39" s="57"/>
    </row>
    <row r="40" spans="1:8" ht="13.5" customHeight="1">
      <c r="A40" s="57">
        <f>IF(DAY(DATE(対象年度,$B$2,31))&lt;&gt;31,"",31)</f>
        <v>31</v>
      </c>
      <c r="B40" s="57" t="str">
        <f>IF(DAY(DATE(対象年度,$B$2,31))&lt;&gt;31,"",CHOOSE(WEEKDAY(DATE(対象年度,$B$2,31),2),"月","火","水","木","金","土","日"))</f>
        <v>土</v>
      </c>
      <c r="C40" s="57" t="str">
        <f ca="1">IFERROR(IF(INDEX(INDIRECT("'"&amp;$B$2&amp;"月"&amp;"'!A:AZ"),34,4+0)="","",INDEX(INDIRECT("'"&amp;$B$2&amp;"月"&amp;"'!A:AZ"),34,4+0)),"")</f>
        <v/>
      </c>
      <c r="D40" s="58" t="str">
        <f ca="1">IFERROR(IF(INDEX(INDIRECT("'"&amp;$B$2&amp;"月"&amp;"'!A:AZ"),34,4+1)="","",INDEX(INDIRECT("'"&amp;$B$2&amp;"月"&amp;"'!A:AZ"),34,4+1)),"")</f>
        <v/>
      </c>
      <c r="E40" s="57" t="str">
        <f ca="1">IFERROR(IF(INDEX(INDIRECT("'"&amp;$B$2&amp;"月"&amp;"'!A:AZ"),34,4+2)="","",INDEX(INDIRECT("'"&amp;$B$2&amp;"月"&amp;"'!A:AZ"),34,4+2)),"")</f>
        <v/>
      </c>
      <c r="F40" s="59" t="str">
        <f ca="1">IFERROR(IF(INDEX(INDIRECT("'"&amp;$B$2&amp;"月"&amp;"'!A:AZ"),34,4+3)="","",INDEX(INDIRECT("'"&amp;$B$2&amp;"月"&amp;"'!A:AZ"),34,4+3)),"")</f>
        <v/>
      </c>
      <c r="G40" s="57" t="str">
        <f ca="1">IFERROR(IF(INDEX(INDIRECT("'"&amp;$B$2&amp;"月"&amp;"'!A:AZ"),34,4+4)="","",INDEX(INDIRECT("'"&amp;$B$2&amp;"月"&amp;"'!A:AZ"),34,4+4)),"")</f>
        <v/>
      </c>
      <c r="H40" s="57"/>
    </row>
    <row r="41" spans="1:8" ht="21.75" customHeight="1">
      <c r="A41" s="111" t="s">
        <v>144</v>
      </c>
      <c r="B41" s="111"/>
      <c r="C41" s="61" t="s">
        <v>113</v>
      </c>
      <c r="D41" s="62">
        <f ca="1">IFERROR(INDEX(INDIRECT("'"&amp;$B$2&amp;"月"&amp;"'!A:AZ"),35,4),0)</f>
        <v>8</v>
      </c>
      <c r="E41" s="63" t="s">
        <v>114</v>
      </c>
      <c r="F41" s="64">
        <f ca="1">IFERROR(INDEX(INDIRECT("'"&amp;$B$2&amp;"月"&amp;"'!A:AZ"),36,4),0)</f>
        <v>0</v>
      </c>
      <c r="G41" s="61" t="s">
        <v>115</v>
      </c>
      <c r="H41" s="62">
        <f ca="1">IFERROR(INDEX(INDIRECT("'"&amp;$B$2&amp;"月"&amp;"'!A:AZ"),38,4),0)</f>
        <v>0</v>
      </c>
    </row>
    <row r="42" spans="1:8" ht="24" customHeight="1">
      <c r="A42" s="112"/>
      <c r="B42" s="112"/>
      <c r="C42" s="65" t="s">
        <v>122</v>
      </c>
      <c r="D42" s="66">
        <f ca="1">IFERROR(INDEX(INDIRECT("'"&amp;$B$2&amp;"月"&amp;"'!A:AZ"),37,4),0)</f>
        <v>8</v>
      </c>
      <c r="E42" s="67" t="s">
        <v>105</v>
      </c>
      <c r="F42" s="68">
        <f ca="1">IFERROR(INDEX(INDIRECT("'"&amp;$B$2&amp;"月"&amp;"'!A:AZ"),39,4),0)</f>
        <v>0</v>
      </c>
      <c r="G42" s="69" t="s">
        <v>106</v>
      </c>
      <c r="H42" s="70">
        <f ca="1">IFERROR(INDEX(INDIRECT("'"&amp;$B$2&amp;"月"&amp;"'!A:AZ"),40,4),0)</f>
        <v>0</v>
      </c>
    </row>
    <row r="44" spans="1:8" ht="27.75" customHeight="1">
      <c r="A44" s="90" t="s">
        <v>133</v>
      </c>
      <c r="B44" s="90"/>
      <c r="C44" s="90"/>
      <c r="D44" s="90"/>
      <c r="E44" s="90"/>
      <c r="F44" s="90"/>
      <c r="G44" s="90"/>
      <c r="H44" s="90"/>
    </row>
    <row r="45" spans="1:8" ht="18" customHeight="1">
      <c r="A45" s="113" t="s">
        <v>134</v>
      </c>
      <c r="B45" s="113"/>
      <c r="C45" s="113"/>
      <c r="D45" s="113"/>
      <c r="E45" s="113"/>
      <c r="F45" s="113"/>
      <c r="G45" s="113"/>
      <c r="H45" s="113"/>
    </row>
    <row r="46" spans="1:8" ht="27.75" customHeight="1">
      <c r="A46" s="49" t="s">
        <v>135</v>
      </c>
      <c r="B46" s="114" t="str">
        <f>対象年度&amp;"年 "&amp;$B$2&amp;"月"</f>
        <v>2026年 1月</v>
      </c>
      <c r="C46" s="114"/>
      <c r="D46" s="49" t="s">
        <v>136</v>
      </c>
      <c r="E46" s="115" t="str">
        <f>IFERROR(従業員マスタ!$C$5,"")</f>
        <v>専務 次郎</v>
      </c>
      <c r="F46" s="115"/>
      <c r="G46" s="115"/>
      <c r="H46" s="115"/>
    </row>
    <row r="47" spans="1:8" ht="19.5" customHeight="1">
      <c r="A47" s="73" t="s">
        <v>147</v>
      </c>
      <c r="B47" s="53" t="s">
        <v>148</v>
      </c>
      <c r="C47" s="119" t="s">
        <v>141</v>
      </c>
      <c r="D47" s="119"/>
      <c r="E47" s="119" t="s">
        <v>142</v>
      </c>
      <c r="F47" s="119"/>
      <c r="G47" s="116" t="s">
        <v>143</v>
      </c>
      <c r="H47" s="116"/>
    </row>
    <row r="48" spans="1:8" ht="43.5" customHeight="1">
      <c r="A48" s="74"/>
      <c r="B48" s="54"/>
      <c r="C48" s="110"/>
      <c r="D48" s="110"/>
      <c r="E48" s="110"/>
      <c r="F48" s="110"/>
      <c r="G48" s="110"/>
      <c r="H48" s="110"/>
    </row>
    <row r="49" spans="1:8" ht="19.5" customHeight="1">
      <c r="A49" s="55" t="s">
        <v>108</v>
      </c>
      <c r="B49" s="55" t="s">
        <v>109</v>
      </c>
      <c r="C49" s="55" t="s">
        <v>111</v>
      </c>
      <c r="D49" s="56" t="s">
        <v>112</v>
      </c>
      <c r="E49" s="55" t="s">
        <v>113</v>
      </c>
      <c r="F49" s="55" t="s">
        <v>114</v>
      </c>
      <c r="G49" s="55" t="s">
        <v>115</v>
      </c>
      <c r="H49" s="55" t="s">
        <v>75</v>
      </c>
    </row>
    <row r="50" spans="1:8" ht="13.5" customHeight="1">
      <c r="A50" s="57">
        <f>IF(DAY(DATE(対象年度,$B$2,1))&lt;&gt;1,"",1)</f>
        <v>1</v>
      </c>
      <c r="B50" s="57" t="str">
        <f>IF(DAY(DATE(対象年度,$B$2,1))&lt;&gt;1,"",CHOOSE(WEEKDAY(DATE(対象年度,$B$2,1),2),"月","火","水","木","金","土","日"))</f>
        <v>木</v>
      </c>
      <c r="C50" s="57" t="str">
        <f ca="1">IFERROR(IF(INDEX(INDIRECT("'"&amp;$B$2&amp;"月"&amp;"'!A:AZ"),4,9+0)="","",INDEX(INDIRECT("'"&amp;$B$2&amp;"月"&amp;"'!A:AZ"),4,9+0)),"")</f>
        <v/>
      </c>
      <c r="D50" s="58" t="str">
        <f ca="1">IFERROR(IF(INDEX(INDIRECT("'"&amp;$B$2&amp;"月"&amp;"'!A:AZ"),4,9+1)="","",INDEX(INDIRECT("'"&amp;$B$2&amp;"月"&amp;"'!A:AZ"),4,9+1)),"")</f>
        <v/>
      </c>
      <c r="E50" s="57" t="str">
        <f ca="1">IFERROR(IF(INDEX(INDIRECT("'"&amp;$B$2&amp;"月"&amp;"'!A:AZ"),4,9+2)="","",INDEX(INDIRECT("'"&amp;$B$2&amp;"月"&amp;"'!A:AZ"),4,9+2)),"")</f>
        <v/>
      </c>
      <c r="F50" s="59" t="str">
        <f ca="1">IFERROR(IF(INDEX(INDIRECT("'"&amp;$B$2&amp;"月"&amp;"'!A:AZ"),4,9+3)="","",INDEX(INDIRECT("'"&amp;$B$2&amp;"月"&amp;"'!A:AZ"),4,9+3)),"")</f>
        <v/>
      </c>
      <c r="G50" s="57" t="str">
        <f ca="1">IFERROR(IF(INDEX(INDIRECT("'"&amp;$B$2&amp;"月"&amp;"'!A:AZ"),4,9+4)="","",INDEX(INDIRECT("'"&amp;$B$2&amp;"月"&amp;"'!A:AZ"),4,9+4)),"")</f>
        <v/>
      </c>
      <c r="H50" s="57"/>
    </row>
    <row r="51" spans="1:8" ht="13.5" customHeight="1">
      <c r="A51" s="57">
        <f>IF(DAY(DATE(対象年度,$B$2,2))&lt;&gt;2,"",2)</f>
        <v>2</v>
      </c>
      <c r="B51" s="57" t="str">
        <f>IF(DAY(DATE(対象年度,$B$2,2))&lt;&gt;2,"",CHOOSE(WEEKDAY(DATE(対象年度,$B$2,2),2),"月","火","水","木","金","土","日"))</f>
        <v>金</v>
      </c>
      <c r="C51" s="57" t="str">
        <f ca="1">IFERROR(IF(INDEX(INDIRECT("'"&amp;$B$2&amp;"月"&amp;"'!A:AZ"),5,9+0)="","",INDEX(INDIRECT("'"&amp;$B$2&amp;"月"&amp;"'!A:AZ"),5,9+0)),"")</f>
        <v/>
      </c>
      <c r="D51" s="58" t="str">
        <f ca="1">IFERROR(IF(INDEX(INDIRECT("'"&amp;$B$2&amp;"月"&amp;"'!A:AZ"),5,9+1)="","",INDEX(INDIRECT("'"&amp;$B$2&amp;"月"&amp;"'!A:AZ"),5,9+1)),"")</f>
        <v/>
      </c>
      <c r="E51" s="57" t="str">
        <f ca="1">IFERROR(IF(INDEX(INDIRECT("'"&amp;$B$2&amp;"月"&amp;"'!A:AZ"),5,9+2)="","",INDEX(INDIRECT("'"&amp;$B$2&amp;"月"&amp;"'!A:AZ"),5,9+2)),"")</f>
        <v/>
      </c>
      <c r="F51" s="59" t="str">
        <f ca="1">IFERROR(IF(INDEX(INDIRECT("'"&amp;$B$2&amp;"月"&amp;"'!A:AZ"),5,9+3)="","",INDEX(INDIRECT("'"&amp;$B$2&amp;"月"&amp;"'!A:AZ"),5,9+3)),"")</f>
        <v/>
      </c>
      <c r="G51" s="57" t="str">
        <f ca="1">IFERROR(IF(INDEX(INDIRECT("'"&amp;$B$2&amp;"月"&amp;"'!A:AZ"),5,9+4)="","",INDEX(INDIRECT("'"&amp;$B$2&amp;"月"&amp;"'!A:AZ"),5,9+4)),"")</f>
        <v/>
      </c>
      <c r="H51" s="57"/>
    </row>
    <row r="52" spans="1:8" ht="13.5" customHeight="1">
      <c r="A52" s="57">
        <f>IF(DAY(DATE(対象年度,$B$2,3))&lt;&gt;3,"",3)</f>
        <v>3</v>
      </c>
      <c r="B52" s="57" t="str">
        <f>IF(DAY(DATE(対象年度,$B$2,3))&lt;&gt;3,"",CHOOSE(WEEKDAY(DATE(対象年度,$B$2,3),2),"月","火","水","木","金","土","日"))</f>
        <v>土</v>
      </c>
      <c r="C52" s="57" t="str">
        <f ca="1">IFERROR(IF(INDEX(INDIRECT("'"&amp;$B$2&amp;"月"&amp;"'!A:AZ"),6,9+0)="","",INDEX(INDIRECT("'"&amp;$B$2&amp;"月"&amp;"'!A:AZ"),6,9+0)),"")</f>
        <v/>
      </c>
      <c r="D52" s="58" t="str">
        <f ca="1">IFERROR(IF(INDEX(INDIRECT("'"&amp;$B$2&amp;"月"&amp;"'!A:AZ"),6,9+1)="","",INDEX(INDIRECT("'"&amp;$B$2&amp;"月"&amp;"'!A:AZ"),6,9+1)),"")</f>
        <v/>
      </c>
      <c r="E52" s="57" t="str">
        <f ca="1">IFERROR(IF(INDEX(INDIRECT("'"&amp;$B$2&amp;"月"&amp;"'!A:AZ"),6,9+2)="","",INDEX(INDIRECT("'"&amp;$B$2&amp;"月"&amp;"'!A:AZ"),6,9+2)),"")</f>
        <v/>
      </c>
      <c r="F52" s="59" t="str">
        <f ca="1">IFERROR(IF(INDEX(INDIRECT("'"&amp;$B$2&amp;"月"&amp;"'!A:AZ"),6,9+3)="","",INDEX(INDIRECT("'"&amp;$B$2&amp;"月"&amp;"'!A:AZ"),6,9+3)),"")</f>
        <v/>
      </c>
      <c r="G52" s="57" t="str">
        <f ca="1">IFERROR(IF(INDEX(INDIRECT("'"&amp;$B$2&amp;"月"&amp;"'!A:AZ"),6,9+4)="","",INDEX(INDIRECT("'"&amp;$B$2&amp;"月"&amp;"'!A:AZ"),6,9+4)),"")</f>
        <v/>
      </c>
      <c r="H52" s="57"/>
    </row>
    <row r="53" spans="1:8" ht="13.5" customHeight="1">
      <c r="A53" s="57">
        <f>IF(DAY(DATE(対象年度,$B$2,4))&lt;&gt;4,"",4)</f>
        <v>4</v>
      </c>
      <c r="B53" s="57" t="str">
        <f>IF(DAY(DATE(対象年度,$B$2,4))&lt;&gt;4,"",CHOOSE(WEEKDAY(DATE(対象年度,$B$2,4),2),"月","火","水","木","金","土","日"))</f>
        <v>日</v>
      </c>
      <c r="C53" s="57" t="str">
        <f ca="1">IFERROR(IF(INDEX(INDIRECT("'"&amp;$B$2&amp;"月"&amp;"'!A:AZ"),7,9+0)="","",INDEX(INDIRECT("'"&amp;$B$2&amp;"月"&amp;"'!A:AZ"),7,9+0)),"")</f>
        <v/>
      </c>
      <c r="D53" s="58" t="str">
        <f ca="1">IFERROR(IF(INDEX(INDIRECT("'"&amp;$B$2&amp;"月"&amp;"'!A:AZ"),7,9+1)="","",INDEX(INDIRECT("'"&amp;$B$2&amp;"月"&amp;"'!A:AZ"),7,9+1)),"")</f>
        <v/>
      </c>
      <c r="E53" s="57" t="str">
        <f ca="1">IFERROR(IF(INDEX(INDIRECT("'"&amp;$B$2&amp;"月"&amp;"'!A:AZ"),7,9+2)="","",INDEX(INDIRECT("'"&amp;$B$2&amp;"月"&amp;"'!A:AZ"),7,9+2)),"")</f>
        <v/>
      </c>
      <c r="F53" s="59" t="str">
        <f ca="1">IFERROR(IF(INDEX(INDIRECT("'"&amp;$B$2&amp;"月"&amp;"'!A:AZ"),7,9+3)="","",INDEX(INDIRECT("'"&amp;$B$2&amp;"月"&amp;"'!A:AZ"),7,9+3)),"")</f>
        <v/>
      </c>
      <c r="G53" s="57" t="str">
        <f ca="1">IFERROR(IF(INDEX(INDIRECT("'"&amp;$B$2&amp;"月"&amp;"'!A:AZ"),7,9+4)="","",INDEX(INDIRECT("'"&amp;$B$2&amp;"月"&amp;"'!A:AZ"),7,9+4)),"")</f>
        <v/>
      </c>
      <c r="H53" s="57"/>
    </row>
    <row r="54" spans="1:8" ht="13.5" customHeight="1">
      <c r="A54" s="57">
        <f>IF(DAY(DATE(対象年度,$B$2,5))&lt;&gt;5,"",5)</f>
        <v>5</v>
      </c>
      <c r="B54" s="57" t="str">
        <f>IF(DAY(DATE(対象年度,$B$2,5))&lt;&gt;5,"",CHOOSE(WEEKDAY(DATE(対象年度,$B$2,5),2),"月","火","水","木","金","土","日"))</f>
        <v>月</v>
      </c>
      <c r="C54" s="57" t="str">
        <f ca="1">IFERROR(IF(INDEX(INDIRECT("'"&amp;$B$2&amp;"月"&amp;"'!A:AZ"),8,9+0)="","",INDEX(INDIRECT("'"&amp;$B$2&amp;"月"&amp;"'!A:AZ"),8,9+0)),"")</f>
        <v/>
      </c>
      <c r="D54" s="58" t="str">
        <f ca="1">IFERROR(IF(INDEX(INDIRECT("'"&amp;$B$2&amp;"月"&amp;"'!A:AZ"),8,9+1)="","",INDEX(INDIRECT("'"&amp;$B$2&amp;"月"&amp;"'!A:AZ"),8,9+1)),"")</f>
        <v/>
      </c>
      <c r="E54" s="57" t="str">
        <f ca="1">IFERROR(IF(INDEX(INDIRECT("'"&amp;$B$2&amp;"月"&amp;"'!A:AZ"),8,9+2)="","",INDEX(INDIRECT("'"&amp;$B$2&amp;"月"&amp;"'!A:AZ"),8,9+2)),"")</f>
        <v/>
      </c>
      <c r="F54" s="59" t="str">
        <f ca="1">IFERROR(IF(INDEX(INDIRECT("'"&amp;$B$2&amp;"月"&amp;"'!A:AZ"),8,9+3)="","",INDEX(INDIRECT("'"&amp;$B$2&amp;"月"&amp;"'!A:AZ"),8,9+3)),"")</f>
        <v/>
      </c>
      <c r="G54" s="57" t="str">
        <f ca="1">IFERROR(IF(INDEX(INDIRECT("'"&amp;$B$2&amp;"月"&amp;"'!A:AZ"),8,9+4)="","",INDEX(INDIRECT("'"&amp;$B$2&amp;"月"&amp;"'!A:AZ"),8,9+4)),"")</f>
        <v/>
      </c>
      <c r="H54" s="57"/>
    </row>
    <row r="55" spans="1:8" ht="13.5" customHeight="1">
      <c r="A55" s="57">
        <f>IF(DAY(DATE(対象年度,$B$2,6))&lt;&gt;6,"",6)</f>
        <v>6</v>
      </c>
      <c r="B55" s="57" t="str">
        <f>IF(DAY(DATE(対象年度,$B$2,6))&lt;&gt;6,"",CHOOSE(WEEKDAY(DATE(対象年度,$B$2,6),2),"月","火","水","木","金","土","日"))</f>
        <v>火</v>
      </c>
      <c r="C55" s="57" t="str">
        <f ca="1">IFERROR(IF(INDEX(INDIRECT("'"&amp;$B$2&amp;"月"&amp;"'!A:AZ"),9,9+0)="","",INDEX(INDIRECT("'"&amp;$B$2&amp;"月"&amp;"'!A:AZ"),9,9+0)),"")</f>
        <v/>
      </c>
      <c r="D55" s="58" t="str">
        <f ca="1">IFERROR(IF(INDEX(INDIRECT("'"&amp;$B$2&amp;"月"&amp;"'!A:AZ"),9,9+1)="","",INDEX(INDIRECT("'"&amp;$B$2&amp;"月"&amp;"'!A:AZ"),9,9+1)),"")</f>
        <v/>
      </c>
      <c r="E55" s="57" t="str">
        <f ca="1">IFERROR(IF(INDEX(INDIRECT("'"&amp;$B$2&amp;"月"&amp;"'!A:AZ"),9,9+2)="","",INDEX(INDIRECT("'"&amp;$B$2&amp;"月"&amp;"'!A:AZ"),9,9+2)),"")</f>
        <v/>
      </c>
      <c r="F55" s="59" t="str">
        <f ca="1">IFERROR(IF(INDEX(INDIRECT("'"&amp;$B$2&amp;"月"&amp;"'!A:AZ"),9,9+3)="","",INDEX(INDIRECT("'"&amp;$B$2&amp;"月"&amp;"'!A:AZ"),9,9+3)),"")</f>
        <v/>
      </c>
      <c r="G55" s="57" t="str">
        <f ca="1">IFERROR(IF(INDEX(INDIRECT("'"&amp;$B$2&amp;"月"&amp;"'!A:AZ"),9,9+4)="","",INDEX(INDIRECT("'"&amp;$B$2&amp;"月"&amp;"'!A:AZ"),9,9+4)),"")</f>
        <v/>
      </c>
      <c r="H55" s="57"/>
    </row>
    <row r="56" spans="1:8" ht="13.5" customHeight="1">
      <c r="A56" s="57">
        <f>IF(DAY(DATE(対象年度,$B$2,7))&lt;&gt;7,"",7)</f>
        <v>7</v>
      </c>
      <c r="B56" s="57" t="str">
        <f>IF(DAY(DATE(対象年度,$B$2,7))&lt;&gt;7,"",CHOOSE(WEEKDAY(DATE(対象年度,$B$2,7),2),"月","火","水","木","金","土","日"))</f>
        <v>水</v>
      </c>
      <c r="C56" s="57" t="str">
        <f ca="1">IFERROR(IF(INDEX(INDIRECT("'"&amp;$B$2&amp;"月"&amp;"'!A:AZ"),10,9+0)="","",INDEX(INDIRECT("'"&amp;$B$2&amp;"月"&amp;"'!A:AZ"),10,9+0)),"")</f>
        <v/>
      </c>
      <c r="D56" s="58" t="str">
        <f ca="1">IFERROR(IF(INDEX(INDIRECT("'"&amp;$B$2&amp;"月"&amp;"'!A:AZ"),10,9+1)="","",INDEX(INDIRECT("'"&amp;$B$2&amp;"月"&amp;"'!A:AZ"),10,9+1)),"")</f>
        <v/>
      </c>
      <c r="E56" s="57" t="str">
        <f ca="1">IFERROR(IF(INDEX(INDIRECT("'"&amp;$B$2&amp;"月"&amp;"'!A:AZ"),10,9+2)="","",INDEX(INDIRECT("'"&amp;$B$2&amp;"月"&amp;"'!A:AZ"),10,9+2)),"")</f>
        <v/>
      </c>
      <c r="F56" s="59" t="str">
        <f ca="1">IFERROR(IF(INDEX(INDIRECT("'"&amp;$B$2&amp;"月"&amp;"'!A:AZ"),10,9+3)="","",INDEX(INDIRECT("'"&amp;$B$2&amp;"月"&amp;"'!A:AZ"),10,9+3)),"")</f>
        <v/>
      </c>
      <c r="G56" s="57" t="str">
        <f ca="1">IFERROR(IF(INDEX(INDIRECT("'"&amp;$B$2&amp;"月"&amp;"'!A:AZ"),10,9+4)="","",INDEX(INDIRECT("'"&amp;$B$2&amp;"月"&amp;"'!A:AZ"),10,9+4)),"")</f>
        <v/>
      </c>
      <c r="H56" s="57"/>
    </row>
    <row r="57" spans="1:8" ht="13.5" customHeight="1">
      <c r="A57" s="57">
        <f>IF(DAY(DATE(対象年度,$B$2,8))&lt;&gt;8,"",8)</f>
        <v>8</v>
      </c>
      <c r="B57" s="57" t="str">
        <f>IF(DAY(DATE(対象年度,$B$2,8))&lt;&gt;8,"",CHOOSE(WEEKDAY(DATE(対象年度,$B$2,8),2),"月","火","水","木","金","土","日"))</f>
        <v>木</v>
      </c>
      <c r="C57" s="57" t="str">
        <f ca="1">IFERROR(IF(INDEX(INDIRECT("'"&amp;$B$2&amp;"月"&amp;"'!A:AZ"),11,9+0)="","",INDEX(INDIRECT("'"&amp;$B$2&amp;"月"&amp;"'!A:AZ"),11,9+0)),"")</f>
        <v/>
      </c>
      <c r="D57" s="58" t="str">
        <f ca="1">IFERROR(IF(INDEX(INDIRECT("'"&amp;$B$2&amp;"月"&amp;"'!A:AZ"),11,9+1)="","",INDEX(INDIRECT("'"&amp;$B$2&amp;"月"&amp;"'!A:AZ"),11,9+1)),"")</f>
        <v/>
      </c>
      <c r="E57" s="57" t="str">
        <f ca="1">IFERROR(IF(INDEX(INDIRECT("'"&amp;$B$2&amp;"月"&amp;"'!A:AZ"),11,9+2)="","",INDEX(INDIRECT("'"&amp;$B$2&amp;"月"&amp;"'!A:AZ"),11,9+2)),"")</f>
        <v/>
      </c>
      <c r="F57" s="59" t="str">
        <f ca="1">IFERROR(IF(INDEX(INDIRECT("'"&amp;$B$2&amp;"月"&amp;"'!A:AZ"),11,9+3)="","",INDEX(INDIRECT("'"&amp;$B$2&amp;"月"&amp;"'!A:AZ"),11,9+3)),"")</f>
        <v/>
      </c>
      <c r="G57" s="57" t="str">
        <f ca="1">IFERROR(IF(INDEX(INDIRECT("'"&amp;$B$2&amp;"月"&amp;"'!A:AZ"),11,9+4)="","",INDEX(INDIRECT("'"&amp;$B$2&amp;"月"&amp;"'!A:AZ"),11,9+4)),"")</f>
        <v/>
      </c>
      <c r="H57" s="57"/>
    </row>
    <row r="58" spans="1:8" ht="13.5" customHeight="1">
      <c r="A58" s="57">
        <f>IF(DAY(DATE(対象年度,$B$2,9))&lt;&gt;9,"",9)</f>
        <v>9</v>
      </c>
      <c r="B58" s="57" t="str">
        <f>IF(DAY(DATE(対象年度,$B$2,9))&lt;&gt;9,"",CHOOSE(WEEKDAY(DATE(対象年度,$B$2,9),2),"月","火","水","木","金","土","日"))</f>
        <v>金</v>
      </c>
      <c r="C58" s="57" t="str">
        <f ca="1">IFERROR(IF(INDEX(INDIRECT("'"&amp;$B$2&amp;"月"&amp;"'!A:AZ"),12,9+0)="","",INDEX(INDIRECT("'"&amp;$B$2&amp;"月"&amp;"'!A:AZ"),12,9+0)),"")</f>
        <v/>
      </c>
      <c r="D58" s="58" t="str">
        <f ca="1">IFERROR(IF(INDEX(INDIRECT("'"&amp;$B$2&amp;"月"&amp;"'!A:AZ"),12,9+1)="","",INDEX(INDIRECT("'"&amp;$B$2&amp;"月"&amp;"'!A:AZ"),12,9+1)),"")</f>
        <v/>
      </c>
      <c r="E58" s="57" t="str">
        <f ca="1">IFERROR(IF(INDEX(INDIRECT("'"&amp;$B$2&amp;"月"&amp;"'!A:AZ"),12,9+2)="","",INDEX(INDIRECT("'"&amp;$B$2&amp;"月"&amp;"'!A:AZ"),12,9+2)),"")</f>
        <v/>
      </c>
      <c r="F58" s="59" t="str">
        <f ca="1">IFERROR(IF(INDEX(INDIRECT("'"&amp;$B$2&amp;"月"&amp;"'!A:AZ"),12,9+3)="","",INDEX(INDIRECT("'"&amp;$B$2&amp;"月"&amp;"'!A:AZ"),12,9+3)),"")</f>
        <v/>
      </c>
      <c r="G58" s="57" t="str">
        <f ca="1">IFERROR(IF(INDEX(INDIRECT("'"&amp;$B$2&amp;"月"&amp;"'!A:AZ"),12,9+4)="","",INDEX(INDIRECT("'"&amp;$B$2&amp;"月"&amp;"'!A:AZ"),12,9+4)),"")</f>
        <v/>
      </c>
      <c r="H58" s="57"/>
    </row>
    <row r="59" spans="1:8" ht="13.5" customHeight="1">
      <c r="A59" s="57">
        <f>IF(DAY(DATE(対象年度,$B$2,10))&lt;&gt;10,"",10)</f>
        <v>10</v>
      </c>
      <c r="B59" s="57" t="str">
        <f>IF(DAY(DATE(対象年度,$B$2,10))&lt;&gt;10,"",CHOOSE(WEEKDAY(DATE(対象年度,$B$2,10),2),"月","火","水","木","金","土","日"))</f>
        <v>土</v>
      </c>
      <c r="C59" s="57" t="str">
        <f ca="1">IFERROR(IF(INDEX(INDIRECT("'"&amp;$B$2&amp;"月"&amp;"'!A:AZ"),13,9+0)="","",INDEX(INDIRECT("'"&amp;$B$2&amp;"月"&amp;"'!A:AZ"),13,9+0)),"")</f>
        <v/>
      </c>
      <c r="D59" s="58" t="str">
        <f ca="1">IFERROR(IF(INDEX(INDIRECT("'"&amp;$B$2&amp;"月"&amp;"'!A:AZ"),13,9+1)="","",INDEX(INDIRECT("'"&amp;$B$2&amp;"月"&amp;"'!A:AZ"),13,9+1)),"")</f>
        <v/>
      </c>
      <c r="E59" s="57" t="str">
        <f ca="1">IFERROR(IF(INDEX(INDIRECT("'"&amp;$B$2&amp;"月"&amp;"'!A:AZ"),13,9+2)="","",INDEX(INDIRECT("'"&amp;$B$2&amp;"月"&amp;"'!A:AZ"),13,9+2)),"")</f>
        <v/>
      </c>
      <c r="F59" s="59" t="str">
        <f ca="1">IFERROR(IF(INDEX(INDIRECT("'"&amp;$B$2&amp;"月"&amp;"'!A:AZ"),13,9+3)="","",INDEX(INDIRECT("'"&amp;$B$2&amp;"月"&amp;"'!A:AZ"),13,9+3)),"")</f>
        <v/>
      </c>
      <c r="G59" s="57" t="str">
        <f ca="1">IFERROR(IF(INDEX(INDIRECT("'"&amp;$B$2&amp;"月"&amp;"'!A:AZ"),13,9+4)="","",INDEX(INDIRECT("'"&amp;$B$2&amp;"月"&amp;"'!A:AZ"),13,9+4)),"")</f>
        <v/>
      </c>
      <c r="H59" s="57"/>
    </row>
    <row r="60" spans="1:8" ht="13.5" customHeight="1">
      <c r="A60" s="57">
        <f>IF(DAY(DATE(対象年度,$B$2,11))&lt;&gt;11,"",11)</f>
        <v>11</v>
      </c>
      <c r="B60" s="57" t="str">
        <f>IF(DAY(DATE(対象年度,$B$2,11))&lt;&gt;11,"",CHOOSE(WEEKDAY(DATE(対象年度,$B$2,11),2),"月","火","水","木","金","土","日"))</f>
        <v>日</v>
      </c>
      <c r="C60" s="57" t="str">
        <f ca="1">IFERROR(IF(INDEX(INDIRECT("'"&amp;$B$2&amp;"月"&amp;"'!A:AZ"),14,9+0)="","",INDEX(INDIRECT("'"&amp;$B$2&amp;"月"&amp;"'!A:AZ"),14,9+0)),"")</f>
        <v/>
      </c>
      <c r="D60" s="58" t="str">
        <f ca="1">IFERROR(IF(INDEX(INDIRECT("'"&amp;$B$2&amp;"月"&amp;"'!A:AZ"),14,9+1)="","",INDEX(INDIRECT("'"&amp;$B$2&amp;"月"&amp;"'!A:AZ"),14,9+1)),"")</f>
        <v/>
      </c>
      <c r="E60" s="57" t="str">
        <f ca="1">IFERROR(IF(INDEX(INDIRECT("'"&amp;$B$2&amp;"月"&amp;"'!A:AZ"),14,9+2)="","",INDEX(INDIRECT("'"&amp;$B$2&amp;"月"&amp;"'!A:AZ"),14,9+2)),"")</f>
        <v/>
      </c>
      <c r="F60" s="59" t="str">
        <f ca="1">IFERROR(IF(INDEX(INDIRECT("'"&amp;$B$2&amp;"月"&amp;"'!A:AZ"),14,9+3)="","",INDEX(INDIRECT("'"&amp;$B$2&amp;"月"&amp;"'!A:AZ"),14,9+3)),"")</f>
        <v/>
      </c>
      <c r="G60" s="57" t="str">
        <f ca="1">IFERROR(IF(INDEX(INDIRECT("'"&amp;$B$2&amp;"月"&amp;"'!A:AZ"),14,9+4)="","",INDEX(INDIRECT("'"&amp;$B$2&amp;"月"&amp;"'!A:AZ"),14,9+4)),"")</f>
        <v/>
      </c>
      <c r="H60" s="57"/>
    </row>
    <row r="61" spans="1:8" ht="13.5" customHeight="1">
      <c r="A61" s="57">
        <f>IF(DAY(DATE(対象年度,$B$2,12))&lt;&gt;12,"",12)</f>
        <v>12</v>
      </c>
      <c r="B61" s="57" t="str">
        <f>IF(DAY(DATE(対象年度,$B$2,12))&lt;&gt;12,"",CHOOSE(WEEKDAY(DATE(対象年度,$B$2,12),2),"月","火","水","木","金","土","日"))</f>
        <v>月</v>
      </c>
      <c r="C61" s="57" t="str">
        <f ca="1">IFERROR(IF(INDEX(INDIRECT("'"&amp;$B$2&amp;"月"&amp;"'!A:AZ"),15,9+0)="","",INDEX(INDIRECT("'"&amp;$B$2&amp;"月"&amp;"'!A:AZ"),15,9+0)),"")</f>
        <v/>
      </c>
      <c r="D61" s="58" t="str">
        <f ca="1">IFERROR(IF(INDEX(INDIRECT("'"&amp;$B$2&amp;"月"&amp;"'!A:AZ"),15,9+1)="","",INDEX(INDIRECT("'"&amp;$B$2&amp;"月"&amp;"'!A:AZ"),15,9+1)),"")</f>
        <v/>
      </c>
      <c r="E61" s="57" t="str">
        <f ca="1">IFERROR(IF(INDEX(INDIRECT("'"&amp;$B$2&amp;"月"&amp;"'!A:AZ"),15,9+2)="","",INDEX(INDIRECT("'"&amp;$B$2&amp;"月"&amp;"'!A:AZ"),15,9+2)),"")</f>
        <v/>
      </c>
      <c r="F61" s="59" t="str">
        <f ca="1">IFERROR(IF(INDEX(INDIRECT("'"&amp;$B$2&amp;"月"&amp;"'!A:AZ"),15,9+3)="","",INDEX(INDIRECT("'"&amp;$B$2&amp;"月"&amp;"'!A:AZ"),15,9+3)),"")</f>
        <v/>
      </c>
      <c r="G61" s="57" t="str">
        <f ca="1">IFERROR(IF(INDEX(INDIRECT("'"&amp;$B$2&amp;"月"&amp;"'!A:AZ"),15,9+4)="","",INDEX(INDIRECT("'"&amp;$B$2&amp;"月"&amp;"'!A:AZ"),15,9+4)),"")</f>
        <v/>
      </c>
      <c r="H61" s="57"/>
    </row>
    <row r="62" spans="1:8" ht="13.5" customHeight="1">
      <c r="A62" s="57">
        <f>IF(DAY(DATE(対象年度,$B$2,13))&lt;&gt;13,"",13)</f>
        <v>13</v>
      </c>
      <c r="B62" s="57" t="str">
        <f>IF(DAY(DATE(対象年度,$B$2,13))&lt;&gt;13,"",CHOOSE(WEEKDAY(DATE(対象年度,$B$2,13),2),"月","火","水","木","金","土","日"))</f>
        <v>火</v>
      </c>
      <c r="C62" s="57" t="str">
        <f ca="1">IFERROR(IF(INDEX(INDIRECT("'"&amp;$B$2&amp;"月"&amp;"'!A:AZ"),16,9+0)="","",INDEX(INDIRECT("'"&amp;$B$2&amp;"月"&amp;"'!A:AZ"),16,9+0)),"")</f>
        <v/>
      </c>
      <c r="D62" s="58" t="str">
        <f ca="1">IFERROR(IF(INDEX(INDIRECT("'"&amp;$B$2&amp;"月"&amp;"'!A:AZ"),16,9+1)="","",INDEX(INDIRECT("'"&amp;$B$2&amp;"月"&amp;"'!A:AZ"),16,9+1)),"")</f>
        <v/>
      </c>
      <c r="E62" s="57" t="str">
        <f ca="1">IFERROR(IF(INDEX(INDIRECT("'"&amp;$B$2&amp;"月"&amp;"'!A:AZ"),16,9+2)="","",INDEX(INDIRECT("'"&amp;$B$2&amp;"月"&amp;"'!A:AZ"),16,9+2)),"")</f>
        <v/>
      </c>
      <c r="F62" s="59" t="str">
        <f ca="1">IFERROR(IF(INDEX(INDIRECT("'"&amp;$B$2&amp;"月"&amp;"'!A:AZ"),16,9+3)="","",INDEX(INDIRECT("'"&amp;$B$2&amp;"月"&amp;"'!A:AZ"),16,9+3)),"")</f>
        <v/>
      </c>
      <c r="G62" s="57" t="str">
        <f ca="1">IFERROR(IF(INDEX(INDIRECT("'"&amp;$B$2&amp;"月"&amp;"'!A:AZ"),16,9+4)="","",INDEX(INDIRECT("'"&amp;$B$2&amp;"月"&amp;"'!A:AZ"),16,9+4)),"")</f>
        <v/>
      </c>
      <c r="H62" s="57"/>
    </row>
    <row r="63" spans="1:8" ht="13.5" customHeight="1">
      <c r="A63" s="57">
        <f>IF(DAY(DATE(対象年度,$B$2,14))&lt;&gt;14,"",14)</f>
        <v>14</v>
      </c>
      <c r="B63" s="57" t="str">
        <f>IF(DAY(DATE(対象年度,$B$2,14))&lt;&gt;14,"",CHOOSE(WEEKDAY(DATE(対象年度,$B$2,14),2),"月","火","水","木","金","土","日"))</f>
        <v>水</v>
      </c>
      <c r="C63" s="57" t="str">
        <f ca="1">IFERROR(IF(INDEX(INDIRECT("'"&amp;$B$2&amp;"月"&amp;"'!A:AZ"),17,9+0)="","",INDEX(INDIRECT("'"&amp;$B$2&amp;"月"&amp;"'!A:AZ"),17,9+0)),"")</f>
        <v/>
      </c>
      <c r="D63" s="58" t="str">
        <f ca="1">IFERROR(IF(INDEX(INDIRECT("'"&amp;$B$2&amp;"月"&amp;"'!A:AZ"),17,9+1)="","",INDEX(INDIRECT("'"&amp;$B$2&amp;"月"&amp;"'!A:AZ"),17,9+1)),"")</f>
        <v/>
      </c>
      <c r="E63" s="57" t="str">
        <f ca="1">IFERROR(IF(INDEX(INDIRECT("'"&amp;$B$2&amp;"月"&amp;"'!A:AZ"),17,9+2)="","",INDEX(INDIRECT("'"&amp;$B$2&amp;"月"&amp;"'!A:AZ"),17,9+2)),"")</f>
        <v/>
      </c>
      <c r="F63" s="59" t="str">
        <f ca="1">IFERROR(IF(INDEX(INDIRECT("'"&amp;$B$2&amp;"月"&amp;"'!A:AZ"),17,9+3)="","",INDEX(INDIRECT("'"&amp;$B$2&amp;"月"&amp;"'!A:AZ"),17,9+3)),"")</f>
        <v/>
      </c>
      <c r="G63" s="57" t="str">
        <f ca="1">IFERROR(IF(INDEX(INDIRECT("'"&amp;$B$2&amp;"月"&amp;"'!A:AZ"),17,9+4)="","",INDEX(INDIRECT("'"&amp;$B$2&amp;"月"&amp;"'!A:AZ"),17,9+4)),"")</f>
        <v/>
      </c>
      <c r="H63" s="57"/>
    </row>
    <row r="64" spans="1:8" ht="13.5" customHeight="1">
      <c r="A64" s="57">
        <f>IF(DAY(DATE(対象年度,$B$2,15))&lt;&gt;15,"",15)</f>
        <v>15</v>
      </c>
      <c r="B64" s="57" t="str">
        <f>IF(DAY(DATE(対象年度,$B$2,15))&lt;&gt;15,"",CHOOSE(WEEKDAY(DATE(対象年度,$B$2,15),2),"月","火","水","木","金","土","日"))</f>
        <v>木</v>
      </c>
      <c r="C64" s="57" t="str">
        <f ca="1">IFERROR(IF(INDEX(INDIRECT("'"&amp;$B$2&amp;"月"&amp;"'!A:AZ"),18,9+0)="","",INDEX(INDIRECT("'"&amp;$B$2&amp;"月"&amp;"'!A:AZ"),18,9+0)),"")</f>
        <v/>
      </c>
      <c r="D64" s="58" t="str">
        <f ca="1">IFERROR(IF(INDEX(INDIRECT("'"&amp;$B$2&amp;"月"&amp;"'!A:AZ"),18,9+1)="","",INDEX(INDIRECT("'"&amp;$B$2&amp;"月"&amp;"'!A:AZ"),18,9+1)),"")</f>
        <v/>
      </c>
      <c r="E64" s="57" t="str">
        <f ca="1">IFERROR(IF(INDEX(INDIRECT("'"&amp;$B$2&amp;"月"&amp;"'!A:AZ"),18,9+2)="","",INDEX(INDIRECT("'"&amp;$B$2&amp;"月"&amp;"'!A:AZ"),18,9+2)),"")</f>
        <v/>
      </c>
      <c r="F64" s="59" t="str">
        <f ca="1">IFERROR(IF(INDEX(INDIRECT("'"&amp;$B$2&amp;"月"&amp;"'!A:AZ"),18,9+3)="","",INDEX(INDIRECT("'"&amp;$B$2&amp;"月"&amp;"'!A:AZ"),18,9+3)),"")</f>
        <v/>
      </c>
      <c r="G64" s="57" t="str">
        <f ca="1">IFERROR(IF(INDEX(INDIRECT("'"&amp;$B$2&amp;"月"&amp;"'!A:AZ"),18,9+4)="","",INDEX(INDIRECT("'"&amp;$B$2&amp;"月"&amp;"'!A:AZ"),18,9+4)),"")</f>
        <v/>
      </c>
      <c r="H64" s="57"/>
    </row>
    <row r="65" spans="1:8" ht="13.5" customHeight="1">
      <c r="A65" s="57">
        <f>IF(DAY(DATE(対象年度,$B$2,16))&lt;&gt;16,"",16)</f>
        <v>16</v>
      </c>
      <c r="B65" s="57" t="str">
        <f>IF(DAY(DATE(対象年度,$B$2,16))&lt;&gt;16,"",CHOOSE(WEEKDAY(DATE(対象年度,$B$2,16),2),"月","火","水","木","金","土","日"))</f>
        <v>金</v>
      </c>
      <c r="C65" s="57" t="str">
        <f ca="1">IFERROR(IF(INDEX(INDIRECT("'"&amp;$B$2&amp;"月"&amp;"'!A:AZ"),19,9+0)="","",INDEX(INDIRECT("'"&amp;$B$2&amp;"月"&amp;"'!A:AZ"),19,9+0)),"")</f>
        <v/>
      </c>
      <c r="D65" s="58" t="str">
        <f ca="1">IFERROR(IF(INDEX(INDIRECT("'"&amp;$B$2&amp;"月"&amp;"'!A:AZ"),19,9+1)="","",INDEX(INDIRECT("'"&amp;$B$2&amp;"月"&amp;"'!A:AZ"),19,9+1)),"")</f>
        <v/>
      </c>
      <c r="E65" s="57" t="str">
        <f ca="1">IFERROR(IF(INDEX(INDIRECT("'"&amp;$B$2&amp;"月"&amp;"'!A:AZ"),19,9+2)="","",INDEX(INDIRECT("'"&amp;$B$2&amp;"月"&amp;"'!A:AZ"),19,9+2)),"")</f>
        <v/>
      </c>
      <c r="F65" s="59" t="str">
        <f ca="1">IFERROR(IF(INDEX(INDIRECT("'"&amp;$B$2&amp;"月"&amp;"'!A:AZ"),19,9+3)="","",INDEX(INDIRECT("'"&amp;$B$2&amp;"月"&amp;"'!A:AZ"),19,9+3)),"")</f>
        <v/>
      </c>
      <c r="G65" s="57" t="str">
        <f ca="1">IFERROR(IF(INDEX(INDIRECT("'"&amp;$B$2&amp;"月"&amp;"'!A:AZ"),19,9+4)="","",INDEX(INDIRECT("'"&amp;$B$2&amp;"月"&amp;"'!A:AZ"),19,9+4)),"")</f>
        <v/>
      </c>
      <c r="H65" s="57"/>
    </row>
    <row r="66" spans="1:8" ht="13.5" customHeight="1">
      <c r="A66" s="57">
        <f>IF(DAY(DATE(対象年度,$B$2,17))&lt;&gt;17,"",17)</f>
        <v>17</v>
      </c>
      <c r="B66" s="57" t="str">
        <f>IF(DAY(DATE(対象年度,$B$2,17))&lt;&gt;17,"",CHOOSE(WEEKDAY(DATE(対象年度,$B$2,17),2),"月","火","水","木","金","土","日"))</f>
        <v>土</v>
      </c>
      <c r="C66" s="57" t="str">
        <f ca="1">IFERROR(IF(INDEX(INDIRECT("'"&amp;$B$2&amp;"月"&amp;"'!A:AZ"),20,9+0)="","",INDEX(INDIRECT("'"&amp;$B$2&amp;"月"&amp;"'!A:AZ"),20,9+0)),"")</f>
        <v/>
      </c>
      <c r="D66" s="58" t="str">
        <f ca="1">IFERROR(IF(INDEX(INDIRECT("'"&amp;$B$2&amp;"月"&amp;"'!A:AZ"),20,9+1)="","",INDEX(INDIRECT("'"&amp;$B$2&amp;"月"&amp;"'!A:AZ"),20,9+1)),"")</f>
        <v/>
      </c>
      <c r="E66" s="57" t="str">
        <f ca="1">IFERROR(IF(INDEX(INDIRECT("'"&amp;$B$2&amp;"月"&amp;"'!A:AZ"),20,9+2)="","",INDEX(INDIRECT("'"&amp;$B$2&amp;"月"&amp;"'!A:AZ"),20,9+2)),"")</f>
        <v/>
      </c>
      <c r="F66" s="59" t="str">
        <f ca="1">IFERROR(IF(INDEX(INDIRECT("'"&amp;$B$2&amp;"月"&amp;"'!A:AZ"),20,9+3)="","",INDEX(INDIRECT("'"&amp;$B$2&amp;"月"&amp;"'!A:AZ"),20,9+3)),"")</f>
        <v/>
      </c>
      <c r="G66" s="57" t="str">
        <f ca="1">IFERROR(IF(INDEX(INDIRECT("'"&amp;$B$2&amp;"月"&amp;"'!A:AZ"),20,9+4)="","",INDEX(INDIRECT("'"&amp;$B$2&amp;"月"&amp;"'!A:AZ"),20,9+4)),"")</f>
        <v/>
      </c>
      <c r="H66" s="57"/>
    </row>
    <row r="67" spans="1:8" ht="13.5" customHeight="1">
      <c r="A67" s="57">
        <f>IF(DAY(DATE(対象年度,$B$2,18))&lt;&gt;18,"",18)</f>
        <v>18</v>
      </c>
      <c r="B67" s="57" t="str">
        <f>IF(DAY(DATE(対象年度,$B$2,18))&lt;&gt;18,"",CHOOSE(WEEKDAY(DATE(対象年度,$B$2,18),2),"月","火","水","木","金","土","日"))</f>
        <v>日</v>
      </c>
      <c r="C67" s="57" t="str">
        <f ca="1">IFERROR(IF(INDEX(INDIRECT("'"&amp;$B$2&amp;"月"&amp;"'!A:AZ"),21,9+0)="","",INDEX(INDIRECT("'"&amp;$B$2&amp;"月"&amp;"'!A:AZ"),21,9+0)),"")</f>
        <v/>
      </c>
      <c r="D67" s="58" t="str">
        <f ca="1">IFERROR(IF(INDEX(INDIRECT("'"&amp;$B$2&amp;"月"&amp;"'!A:AZ"),21,9+1)="","",INDEX(INDIRECT("'"&amp;$B$2&amp;"月"&amp;"'!A:AZ"),21,9+1)),"")</f>
        <v/>
      </c>
      <c r="E67" s="57" t="str">
        <f ca="1">IFERROR(IF(INDEX(INDIRECT("'"&amp;$B$2&amp;"月"&amp;"'!A:AZ"),21,9+2)="","",INDEX(INDIRECT("'"&amp;$B$2&amp;"月"&amp;"'!A:AZ"),21,9+2)),"")</f>
        <v/>
      </c>
      <c r="F67" s="59" t="str">
        <f ca="1">IFERROR(IF(INDEX(INDIRECT("'"&amp;$B$2&amp;"月"&amp;"'!A:AZ"),21,9+3)="","",INDEX(INDIRECT("'"&amp;$B$2&amp;"月"&amp;"'!A:AZ"),21,9+3)),"")</f>
        <v/>
      </c>
      <c r="G67" s="57" t="str">
        <f ca="1">IFERROR(IF(INDEX(INDIRECT("'"&amp;$B$2&amp;"月"&amp;"'!A:AZ"),21,9+4)="","",INDEX(INDIRECT("'"&amp;$B$2&amp;"月"&amp;"'!A:AZ"),21,9+4)),"")</f>
        <v/>
      </c>
      <c r="H67" s="57"/>
    </row>
    <row r="68" spans="1:8" ht="13.5" customHeight="1">
      <c r="A68" s="57">
        <f>IF(DAY(DATE(対象年度,$B$2,19))&lt;&gt;19,"",19)</f>
        <v>19</v>
      </c>
      <c r="B68" s="57" t="str">
        <f>IF(DAY(DATE(対象年度,$B$2,19))&lt;&gt;19,"",CHOOSE(WEEKDAY(DATE(対象年度,$B$2,19),2),"月","火","水","木","金","土","日"))</f>
        <v>月</v>
      </c>
      <c r="C68" s="57" t="str">
        <f ca="1">IFERROR(IF(INDEX(INDIRECT("'"&amp;$B$2&amp;"月"&amp;"'!A:AZ"),22,9+0)="","",INDEX(INDIRECT("'"&amp;$B$2&amp;"月"&amp;"'!A:AZ"),22,9+0)),"")</f>
        <v/>
      </c>
      <c r="D68" s="58" t="str">
        <f ca="1">IFERROR(IF(INDEX(INDIRECT("'"&amp;$B$2&amp;"月"&amp;"'!A:AZ"),22,9+1)="","",INDEX(INDIRECT("'"&amp;$B$2&amp;"月"&amp;"'!A:AZ"),22,9+1)),"")</f>
        <v/>
      </c>
      <c r="E68" s="57" t="str">
        <f ca="1">IFERROR(IF(INDEX(INDIRECT("'"&amp;$B$2&amp;"月"&amp;"'!A:AZ"),22,9+2)="","",INDEX(INDIRECT("'"&amp;$B$2&amp;"月"&amp;"'!A:AZ"),22,9+2)),"")</f>
        <v/>
      </c>
      <c r="F68" s="59" t="str">
        <f ca="1">IFERROR(IF(INDEX(INDIRECT("'"&amp;$B$2&amp;"月"&amp;"'!A:AZ"),22,9+3)="","",INDEX(INDIRECT("'"&amp;$B$2&amp;"月"&amp;"'!A:AZ"),22,9+3)),"")</f>
        <v/>
      </c>
      <c r="G68" s="57" t="str">
        <f ca="1">IFERROR(IF(INDEX(INDIRECT("'"&amp;$B$2&amp;"月"&amp;"'!A:AZ"),22,9+4)="","",INDEX(INDIRECT("'"&amp;$B$2&amp;"月"&amp;"'!A:AZ"),22,9+4)),"")</f>
        <v/>
      </c>
      <c r="H68" s="57"/>
    </row>
    <row r="69" spans="1:8" ht="13.5" customHeight="1">
      <c r="A69" s="57">
        <f>IF(DAY(DATE(対象年度,$B$2,20))&lt;&gt;20,"",20)</f>
        <v>20</v>
      </c>
      <c r="B69" s="57" t="str">
        <f>IF(DAY(DATE(対象年度,$B$2,20))&lt;&gt;20,"",CHOOSE(WEEKDAY(DATE(対象年度,$B$2,20),2),"月","火","水","木","金","土","日"))</f>
        <v>火</v>
      </c>
      <c r="C69" s="57" t="str">
        <f ca="1">IFERROR(IF(INDEX(INDIRECT("'"&amp;$B$2&amp;"月"&amp;"'!A:AZ"),23,9+0)="","",INDEX(INDIRECT("'"&amp;$B$2&amp;"月"&amp;"'!A:AZ"),23,9+0)),"")</f>
        <v/>
      </c>
      <c r="D69" s="58" t="str">
        <f ca="1">IFERROR(IF(INDEX(INDIRECT("'"&amp;$B$2&amp;"月"&amp;"'!A:AZ"),23,9+1)="","",INDEX(INDIRECT("'"&amp;$B$2&amp;"月"&amp;"'!A:AZ"),23,9+1)),"")</f>
        <v/>
      </c>
      <c r="E69" s="57" t="str">
        <f ca="1">IFERROR(IF(INDEX(INDIRECT("'"&amp;$B$2&amp;"月"&amp;"'!A:AZ"),23,9+2)="","",INDEX(INDIRECT("'"&amp;$B$2&amp;"月"&amp;"'!A:AZ"),23,9+2)),"")</f>
        <v/>
      </c>
      <c r="F69" s="59" t="str">
        <f ca="1">IFERROR(IF(INDEX(INDIRECT("'"&amp;$B$2&amp;"月"&amp;"'!A:AZ"),23,9+3)="","",INDEX(INDIRECT("'"&amp;$B$2&amp;"月"&amp;"'!A:AZ"),23,9+3)),"")</f>
        <v/>
      </c>
      <c r="G69" s="57" t="str">
        <f ca="1">IFERROR(IF(INDEX(INDIRECT("'"&amp;$B$2&amp;"月"&amp;"'!A:AZ"),23,9+4)="","",INDEX(INDIRECT("'"&amp;$B$2&amp;"月"&amp;"'!A:AZ"),23,9+4)),"")</f>
        <v/>
      </c>
      <c r="H69" s="57"/>
    </row>
    <row r="70" spans="1:8" ht="13.5" customHeight="1">
      <c r="A70" s="57">
        <f>IF(DAY(DATE(対象年度,$B$2,21))&lt;&gt;21,"",21)</f>
        <v>21</v>
      </c>
      <c r="B70" s="57" t="str">
        <f>IF(DAY(DATE(対象年度,$B$2,21))&lt;&gt;21,"",CHOOSE(WEEKDAY(DATE(対象年度,$B$2,21),2),"月","火","水","木","金","土","日"))</f>
        <v>水</v>
      </c>
      <c r="C70" s="57" t="str">
        <f ca="1">IFERROR(IF(INDEX(INDIRECT("'"&amp;$B$2&amp;"月"&amp;"'!A:AZ"),24,9+0)="","",INDEX(INDIRECT("'"&amp;$B$2&amp;"月"&amp;"'!A:AZ"),24,9+0)),"")</f>
        <v>新宿</v>
      </c>
      <c r="D70" s="58" t="str">
        <f ca="1">IFERROR(IF(INDEX(INDIRECT("'"&amp;$B$2&amp;"月"&amp;"'!A:AZ"),24,9+1)="","",INDEX(INDIRECT("'"&amp;$B$2&amp;"月"&amp;"'!A:AZ"),24,9+1)),"")</f>
        <v/>
      </c>
      <c r="E70" s="57" t="str">
        <f ca="1">IFERROR(IF(INDEX(INDIRECT("'"&amp;$B$2&amp;"月"&amp;"'!A:AZ"),24,9+2)="","",INDEX(INDIRECT("'"&amp;$B$2&amp;"月"&amp;"'!A:AZ"),24,9+2)),"")</f>
        <v>○</v>
      </c>
      <c r="F70" s="59" t="str">
        <f ca="1">IFERROR(IF(INDEX(INDIRECT("'"&amp;$B$2&amp;"月"&amp;"'!A:AZ"),24,9+3)="","",INDEX(INDIRECT("'"&amp;$B$2&amp;"月"&amp;"'!A:AZ"),24,9+3)),"")</f>
        <v/>
      </c>
      <c r="G70" s="57" t="str">
        <f ca="1">IFERROR(IF(INDEX(INDIRECT("'"&amp;$B$2&amp;"月"&amp;"'!A:AZ"),24,9+4)="","",INDEX(INDIRECT("'"&amp;$B$2&amp;"月"&amp;"'!A:AZ"),24,9+4)),"")</f>
        <v/>
      </c>
      <c r="H70" s="57"/>
    </row>
    <row r="71" spans="1:8" ht="13.5" customHeight="1">
      <c r="A71" s="57">
        <f>IF(DAY(DATE(対象年度,$B$2,22))&lt;&gt;22,"",22)</f>
        <v>22</v>
      </c>
      <c r="B71" s="57" t="str">
        <f>IF(DAY(DATE(対象年度,$B$2,22))&lt;&gt;22,"",CHOOSE(WEEKDAY(DATE(対象年度,$B$2,22),2),"月","火","水","木","金","土","日"))</f>
        <v>木</v>
      </c>
      <c r="C71" s="57" t="str">
        <f ca="1">IFERROR(IF(INDEX(INDIRECT("'"&amp;$B$2&amp;"月"&amp;"'!A:AZ"),25,9+0)="","",INDEX(INDIRECT("'"&amp;$B$2&amp;"月"&amp;"'!A:AZ"),25,9+0)),"")</f>
        <v>新宿</v>
      </c>
      <c r="D71" s="58" t="str">
        <f ca="1">IFERROR(IF(INDEX(INDIRECT("'"&amp;$B$2&amp;"月"&amp;"'!A:AZ"),25,9+1)="","",INDEX(INDIRECT("'"&amp;$B$2&amp;"月"&amp;"'!A:AZ"),25,9+1)),"")</f>
        <v/>
      </c>
      <c r="E71" s="57" t="str">
        <f ca="1">IFERROR(IF(INDEX(INDIRECT("'"&amp;$B$2&amp;"月"&amp;"'!A:AZ"),25,9+2)="","",INDEX(INDIRECT("'"&amp;$B$2&amp;"月"&amp;"'!A:AZ"),25,9+2)),"")</f>
        <v>○</v>
      </c>
      <c r="F71" s="59" t="str">
        <f ca="1">IFERROR(IF(INDEX(INDIRECT("'"&amp;$B$2&amp;"月"&amp;"'!A:AZ"),25,9+3)="","",INDEX(INDIRECT("'"&amp;$B$2&amp;"月"&amp;"'!A:AZ"),25,9+3)),"")</f>
        <v/>
      </c>
      <c r="G71" s="57" t="str">
        <f ca="1">IFERROR(IF(INDEX(INDIRECT("'"&amp;$B$2&amp;"月"&amp;"'!A:AZ"),25,9+4)="","",INDEX(INDIRECT("'"&amp;$B$2&amp;"月"&amp;"'!A:AZ"),25,9+4)),"")</f>
        <v/>
      </c>
      <c r="H71" s="57"/>
    </row>
    <row r="72" spans="1:8" ht="13.5" customHeight="1">
      <c r="A72" s="57">
        <f>IF(DAY(DATE(対象年度,$B$2,23))&lt;&gt;23,"",23)</f>
        <v>23</v>
      </c>
      <c r="B72" s="57" t="str">
        <f>IF(DAY(DATE(対象年度,$B$2,23))&lt;&gt;23,"",CHOOSE(WEEKDAY(DATE(対象年度,$B$2,23),2),"月","火","水","木","金","土","日"))</f>
        <v>金</v>
      </c>
      <c r="C72" s="57" t="str">
        <f ca="1">IFERROR(IF(INDEX(INDIRECT("'"&amp;$B$2&amp;"月"&amp;"'!A:AZ"),26,9+0)="","",INDEX(INDIRECT("'"&amp;$B$2&amp;"月"&amp;"'!A:AZ"),26,9+0)),"")</f>
        <v>新宿</v>
      </c>
      <c r="D72" s="58" t="str">
        <f ca="1">IFERROR(IF(INDEX(INDIRECT("'"&amp;$B$2&amp;"月"&amp;"'!A:AZ"),26,9+1)="","",INDEX(INDIRECT("'"&amp;$B$2&amp;"月"&amp;"'!A:AZ"),26,9+1)),"")</f>
        <v/>
      </c>
      <c r="E72" s="57" t="str">
        <f ca="1">IFERROR(IF(INDEX(INDIRECT("'"&amp;$B$2&amp;"月"&amp;"'!A:AZ"),26,9+2)="","",INDEX(INDIRECT("'"&amp;$B$2&amp;"月"&amp;"'!A:AZ"),26,9+2)),"")</f>
        <v>○</v>
      </c>
      <c r="F72" s="59" t="str">
        <f ca="1">IFERROR(IF(INDEX(INDIRECT("'"&amp;$B$2&amp;"月"&amp;"'!A:AZ"),26,9+3)="","",INDEX(INDIRECT("'"&amp;$B$2&amp;"月"&amp;"'!A:AZ"),26,9+3)),"")</f>
        <v/>
      </c>
      <c r="G72" s="57" t="str">
        <f ca="1">IFERROR(IF(INDEX(INDIRECT("'"&amp;$B$2&amp;"月"&amp;"'!A:AZ"),26,9+4)="","",INDEX(INDIRECT("'"&amp;$B$2&amp;"月"&amp;"'!A:AZ"),26,9+4)),"")</f>
        <v/>
      </c>
      <c r="H72" s="57"/>
    </row>
    <row r="73" spans="1:8" ht="13.5" customHeight="1">
      <c r="A73" s="57">
        <f>IF(DAY(DATE(対象年度,$B$2,24))&lt;&gt;24,"",24)</f>
        <v>24</v>
      </c>
      <c r="B73" s="57" t="str">
        <f>IF(DAY(DATE(対象年度,$B$2,24))&lt;&gt;24,"",CHOOSE(WEEKDAY(DATE(対象年度,$B$2,24),2),"月","火","水","木","金","土","日"))</f>
        <v>土</v>
      </c>
      <c r="C73" s="57" t="str">
        <f ca="1">IFERROR(IF(INDEX(INDIRECT("'"&amp;$B$2&amp;"月"&amp;"'!A:AZ"),27,9+0)="","",INDEX(INDIRECT("'"&amp;$B$2&amp;"月"&amp;"'!A:AZ"),27,9+0)),"")</f>
        <v>新宿</v>
      </c>
      <c r="D73" s="58" t="str">
        <f ca="1">IFERROR(IF(INDEX(INDIRECT("'"&amp;$B$2&amp;"月"&amp;"'!A:AZ"),27,9+1)="","",INDEX(INDIRECT("'"&amp;$B$2&amp;"月"&amp;"'!A:AZ"),27,9+1)),"")</f>
        <v/>
      </c>
      <c r="E73" s="57" t="str">
        <f ca="1">IFERROR(IF(INDEX(INDIRECT("'"&amp;$B$2&amp;"月"&amp;"'!A:AZ"),27,9+2)="","",INDEX(INDIRECT("'"&amp;$B$2&amp;"月"&amp;"'!A:AZ"),27,9+2)),"")</f>
        <v>○</v>
      </c>
      <c r="F73" s="59" t="str">
        <f ca="1">IFERROR(IF(INDEX(INDIRECT("'"&amp;$B$2&amp;"月"&amp;"'!A:AZ"),27,9+3)="","",INDEX(INDIRECT("'"&amp;$B$2&amp;"月"&amp;"'!A:AZ"),27,9+3)),"")</f>
        <v/>
      </c>
      <c r="G73" s="57" t="str">
        <f ca="1">IFERROR(IF(INDEX(INDIRECT("'"&amp;$B$2&amp;"月"&amp;"'!A:AZ"),27,9+4)="","",INDEX(INDIRECT("'"&amp;$B$2&amp;"月"&amp;"'!A:AZ"),27,9+4)),"")</f>
        <v/>
      </c>
      <c r="H73" s="57"/>
    </row>
    <row r="74" spans="1:8" ht="13.5" customHeight="1">
      <c r="A74" s="57">
        <f>IF(DAY(DATE(対象年度,$B$2,25))&lt;&gt;25,"",25)</f>
        <v>25</v>
      </c>
      <c r="B74" s="57" t="str">
        <f>IF(DAY(DATE(対象年度,$B$2,25))&lt;&gt;25,"",CHOOSE(WEEKDAY(DATE(対象年度,$B$2,25),2),"月","火","水","木","金","土","日"))</f>
        <v>日</v>
      </c>
      <c r="C74" s="57" t="str">
        <f ca="1">IFERROR(IF(INDEX(INDIRECT("'"&amp;$B$2&amp;"月"&amp;"'!A:AZ"),28,9+0)="","",INDEX(INDIRECT("'"&amp;$B$2&amp;"月"&amp;"'!A:AZ"),28,9+0)),"")</f>
        <v/>
      </c>
      <c r="D74" s="58" t="str">
        <f ca="1">IFERROR(IF(INDEX(INDIRECT("'"&amp;$B$2&amp;"月"&amp;"'!A:AZ"),28,9+1)="","",INDEX(INDIRECT("'"&amp;$B$2&amp;"月"&amp;"'!A:AZ"),28,9+1)),"")</f>
        <v/>
      </c>
      <c r="E74" s="57" t="str">
        <f ca="1">IFERROR(IF(INDEX(INDIRECT("'"&amp;$B$2&amp;"月"&amp;"'!A:AZ"),28,9+2)="","",INDEX(INDIRECT("'"&amp;$B$2&amp;"月"&amp;"'!A:AZ"),28,9+2)),"")</f>
        <v/>
      </c>
      <c r="F74" s="59" t="str">
        <f ca="1">IFERROR(IF(INDEX(INDIRECT("'"&amp;$B$2&amp;"月"&amp;"'!A:AZ"),28,9+3)="","",INDEX(INDIRECT("'"&amp;$B$2&amp;"月"&amp;"'!A:AZ"),28,9+3)),"")</f>
        <v/>
      </c>
      <c r="G74" s="57" t="str">
        <f ca="1">IFERROR(IF(INDEX(INDIRECT("'"&amp;$B$2&amp;"月"&amp;"'!A:AZ"),28,9+4)="","",INDEX(INDIRECT("'"&amp;$B$2&amp;"月"&amp;"'!A:AZ"),28,9+4)),"")</f>
        <v/>
      </c>
      <c r="H74" s="57"/>
    </row>
    <row r="75" spans="1:8" ht="13.5" customHeight="1">
      <c r="A75" s="57">
        <f>IF(DAY(DATE(対象年度,$B$2,26))&lt;&gt;26,"",26)</f>
        <v>26</v>
      </c>
      <c r="B75" s="57" t="str">
        <f>IF(DAY(DATE(対象年度,$B$2,26))&lt;&gt;26,"",CHOOSE(WEEKDAY(DATE(対象年度,$B$2,26),2),"月","火","水","木","金","土","日"))</f>
        <v>月</v>
      </c>
      <c r="C75" s="57" t="str">
        <f ca="1">IFERROR(IF(INDEX(INDIRECT("'"&amp;$B$2&amp;"月"&amp;"'!A:AZ"),29,9+0)="","",INDEX(INDIRECT("'"&amp;$B$2&amp;"月"&amp;"'!A:AZ"),29,9+0)),"")</f>
        <v>有給</v>
      </c>
      <c r="D75" s="58" t="str">
        <f ca="1">IFERROR(IF(INDEX(INDIRECT("'"&amp;$B$2&amp;"月"&amp;"'!A:AZ"),29,9+1)="","",INDEX(INDIRECT("'"&amp;$B$2&amp;"月"&amp;"'!A:AZ"),29,9+1)),"")</f>
        <v/>
      </c>
      <c r="E75" s="57" t="str">
        <f ca="1">IFERROR(IF(INDEX(INDIRECT("'"&amp;$B$2&amp;"月"&amp;"'!A:AZ"),29,9+2)="","",INDEX(INDIRECT("'"&amp;$B$2&amp;"月"&amp;"'!A:AZ"),29,9+2)),"")</f>
        <v>○</v>
      </c>
      <c r="F75" s="59" t="str">
        <f ca="1">IFERROR(IF(INDEX(INDIRECT("'"&amp;$B$2&amp;"月"&amp;"'!A:AZ"),29,9+3)="","",INDEX(INDIRECT("'"&amp;$B$2&amp;"月"&amp;"'!A:AZ"),29,9+3)),"")</f>
        <v/>
      </c>
      <c r="G75" s="57" t="str">
        <f ca="1">IFERROR(IF(INDEX(INDIRECT("'"&amp;$B$2&amp;"月"&amp;"'!A:AZ"),29,9+4)="","",INDEX(INDIRECT("'"&amp;$B$2&amp;"月"&amp;"'!A:AZ"),29,9+4)),"")</f>
        <v/>
      </c>
      <c r="H75" s="57"/>
    </row>
    <row r="76" spans="1:8" ht="13.5" customHeight="1">
      <c r="A76" s="57">
        <f>IF(DAY(DATE(対象年度,$B$2,27))&lt;&gt;27,"",27)</f>
        <v>27</v>
      </c>
      <c r="B76" s="57" t="str">
        <f>IF(DAY(DATE(対象年度,$B$2,27))&lt;&gt;27,"",CHOOSE(WEEKDAY(DATE(対象年度,$B$2,27),2),"月","火","水","木","金","土","日"))</f>
        <v>火</v>
      </c>
      <c r="C76" s="57" t="str">
        <f ca="1">IFERROR(IF(INDEX(INDIRECT("'"&amp;$B$2&amp;"月"&amp;"'!A:AZ"),30,9+0)="","",INDEX(INDIRECT("'"&amp;$B$2&amp;"月"&amp;"'!A:AZ"),30,9+0)),"")</f>
        <v>新宿</v>
      </c>
      <c r="D76" s="58" t="str">
        <f ca="1">IFERROR(IF(INDEX(INDIRECT("'"&amp;$B$2&amp;"月"&amp;"'!A:AZ"),30,9+1)="","",INDEX(INDIRECT("'"&amp;$B$2&amp;"月"&amp;"'!A:AZ"),30,9+1)),"")</f>
        <v/>
      </c>
      <c r="E76" s="57" t="str">
        <f ca="1">IFERROR(IF(INDEX(INDIRECT("'"&amp;$B$2&amp;"月"&amp;"'!A:AZ"),30,9+2)="","",INDEX(INDIRECT("'"&amp;$B$2&amp;"月"&amp;"'!A:AZ"),30,9+2)),"")</f>
        <v>○</v>
      </c>
      <c r="F76" s="59" t="str">
        <f ca="1">IFERROR(IF(INDEX(INDIRECT("'"&amp;$B$2&amp;"月"&amp;"'!A:AZ"),30,9+3)="","",INDEX(INDIRECT("'"&amp;$B$2&amp;"月"&amp;"'!A:AZ"),30,9+3)),"")</f>
        <v/>
      </c>
      <c r="G76" s="57" t="str">
        <f ca="1">IFERROR(IF(INDEX(INDIRECT("'"&amp;$B$2&amp;"月"&amp;"'!A:AZ"),30,9+4)="","",INDEX(INDIRECT("'"&amp;$B$2&amp;"月"&amp;"'!A:AZ"),30,9+4)),"")</f>
        <v/>
      </c>
      <c r="H76" s="57"/>
    </row>
    <row r="77" spans="1:8" ht="13.5" customHeight="1">
      <c r="A77" s="57">
        <f>IF(DAY(DATE(対象年度,$B$2,28))&lt;&gt;28,"",28)</f>
        <v>28</v>
      </c>
      <c r="B77" s="57" t="str">
        <f>IF(DAY(DATE(対象年度,$B$2,28))&lt;&gt;28,"",CHOOSE(WEEKDAY(DATE(対象年度,$B$2,28),2),"月","火","水","木","金","土","日"))</f>
        <v>水</v>
      </c>
      <c r="C77" s="57" t="str">
        <f ca="1">IFERROR(IF(INDEX(INDIRECT("'"&amp;$B$2&amp;"月"&amp;"'!A:AZ"),31,9+0)="","",INDEX(INDIRECT("'"&amp;$B$2&amp;"月"&amp;"'!A:AZ"),31,9+0)),"")</f>
        <v>新宿</v>
      </c>
      <c r="D77" s="58" t="str">
        <f ca="1">IFERROR(IF(INDEX(INDIRECT("'"&amp;$B$2&amp;"月"&amp;"'!A:AZ"),31,9+1)="","",INDEX(INDIRECT("'"&amp;$B$2&amp;"月"&amp;"'!A:AZ"),31,9+1)),"")</f>
        <v/>
      </c>
      <c r="E77" s="57" t="str">
        <f ca="1">IFERROR(IF(INDEX(INDIRECT("'"&amp;$B$2&amp;"月"&amp;"'!A:AZ"),31,9+2)="","",INDEX(INDIRECT("'"&amp;$B$2&amp;"月"&amp;"'!A:AZ"),31,9+2)),"")</f>
        <v>○</v>
      </c>
      <c r="F77" s="59" t="str">
        <f ca="1">IFERROR(IF(INDEX(INDIRECT("'"&amp;$B$2&amp;"月"&amp;"'!A:AZ"),31,9+3)="","",INDEX(INDIRECT("'"&amp;$B$2&amp;"月"&amp;"'!A:AZ"),31,9+3)),"")</f>
        <v/>
      </c>
      <c r="G77" s="57" t="str">
        <f ca="1">IFERROR(IF(INDEX(INDIRECT("'"&amp;$B$2&amp;"月"&amp;"'!A:AZ"),31,9+4)="","",INDEX(INDIRECT("'"&amp;$B$2&amp;"月"&amp;"'!A:AZ"),31,9+4)),"")</f>
        <v/>
      </c>
      <c r="H77" s="57"/>
    </row>
    <row r="78" spans="1:8" ht="13.5" customHeight="1">
      <c r="A78" s="57">
        <f>IF(DAY(DATE(対象年度,$B$2,29))&lt;&gt;29,"",29)</f>
        <v>29</v>
      </c>
      <c r="B78" s="57" t="str">
        <f>IF(DAY(DATE(対象年度,$B$2,29))&lt;&gt;29,"",CHOOSE(WEEKDAY(DATE(対象年度,$B$2,29),2),"月","火","水","木","金","土","日"))</f>
        <v>木</v>
      </c>
      <c r="C78" s="57" t="str">
        <f ca="1">IFERROR(IF(INDEX(INDIRECT("'"&amp;$B$2&amp;"月"&amp;"'!A:AZ"),32,9+0)="","",INDEX(INDIRECT("'"&amp;$B$2&amp;"月"&amp;"'!A:AZ"),32,9+0)),"")</f>
        <v>新宿</v>
      </c>
      <c r="D78" s="58" t="str">
        <f ca="1">IFERROR(IF(INDEX(INDIRECT("'"&amp;$B$2&amp;"月"&amp;"'!A:AZ"),32,9+1)="","",INDEX(INDIRECT("'"&amp;$B$2&amp;"月"&amp;"'!A:AZ"),32,9+1)),"")</f>
        <v/>
      </c>
      <c r="E78" s="57" t="str">
        <f ca="1">IFERROR(IF(INDEX(INDIRECT("'"&amp;$B$2&amp;"月"&amp;"'!A:AZ"),32,9+2)="","",INDEX(INDIRECT("'"&amp;$B$2&amp;"月"&amp;"'!A:AZ"),32,9+2)),"")</f>
        <v>○</v>
      </c>
      <c r="F78" s="59" t="str">
        <f ca="1">IFERROR(IF(INDEX(INDIRECT("'"&amp;$B$2&amp;"月"&amp;"'!A:AZ"),32,9+3)="","",INDEX(INDIRECT("'"&amp;$B$2&amp;"月"&amp;"'!A:AZ"),32,9+3)),"")</f>
        <v/>
      </c>
      <c r="G78" s="57" t="str">
        <f ca="1">IFERROR(IF(INDEX(INDIRECT("'"&amp;$B$2&amp;"月"&amp;"'!A:AZ"),32,9+4)="","",INDEX(INDIRECT("'"&amp;$B$2&amp;"月"&amp;"'!A:AZ"),32,9+4)),"")</f>
        <v/>
      </c>
      <c r="H78" s="57"/>
    </row>
    <row r="79" spans="1:8" ht="13.5" customHeight="1">
      <c r="A79" s="57">
        <f>IF(DAY(DATE(対象年度,$B$2,30))&lt;&gt;30,"",30)</f>
        <v>30</v>
      </c>
      <c r="B79" s="57" t="str">
        <f>IF(DAY(DATE(対象年度,$B$2,30))&lt;&gt;30,"",CHOOSE(WEEKDAY(DATE(対象年度,$B$2,30),2),"月","火","水","木","金","土","日"))</f>
        <v>金</v>
      </c>
      <c r="C79" s="57" t="str">
        <f ca="1">IFERROR(IF(INDEX(INDIRECT("'"&amp;$B$2&amp;"月"&amp;"'!A:AZ"),33,9+0)="","",INDEX(INDIRECT("'"&amp;$B$2&amp;"月"&amp;"'!A:AZ"),33,9+0)),"")</f>
        <v>新宿</v>
      </c>
      <c r="D79" s="58" t="str">
        <f ca="1">IFERROR(IF(INDEX(INDIRECT("'"&amp;$B$2&amp;"月"&amp;"'!A:AZ"),33,9+1)="","",INDEX(INDIRECT("'"&amp;$B$2&amp;"月"&amp;"'!A:AZ"),33,9+1)),"")</f>
        <v/>
      </c>
      <c r="E79" s="57" t="str">
        <f ca="1">IFERROR(IF(INDEX(INDIRECT("'"&amp;$B$2&amp;"月"&amp;"'!A:AZ"),33,9+2)="","",INDEX(INDIRECT("'"&amp;$B$2&amp;"月"&amp;"'!A:AZ"),33,9+2)),"")</f>
        <v>○</v>
      </c>
      <c r="F79" s="59" t="str">
        <f ca="1">IFERROR(IF(INDEX(INDIRECT("'"&amp;$B$2&amp;"月"&amp;"'!A:AZ"),33,9+3)="","",INDEX(INDIRECT("'"&amp;$B$2&amp;"月"&amp;"'!A:AZ"),33,9+3)),"")</f>
        <v/>
      </c>
      <c r="G79" s="57" t="str">
        <f ca="1">IFERROR(IF(INDEX(INDIRECT("'"&amp;$B$2&amp;"月"&amp;"'!A:AZ"),33,9+4)="","",INDEX(INDIRECT("'"&amp;$B$2&amp;"月"&amp;"'!A:AZ"),33,9+4)),"")</f>
        <v/>
      </c>
      <c r="H79" s="57"/>
    </row>
    <row r="80" spans="1:8" ht="13.5" customHeight="1">
      <c r="A80" s="57">
        <f>IF(DAY(DATE(対象年度,$B$2,31))&lt;&gt;31,"",31)</f>
        <v>31</v>
      </c>
      <c r="B80" s="57" t="str">
        <f>IF(DAY(DATE(対象年度,$B$2,31))&lt;&gt;31,"",CHOOSE(WEEKDAY(DATE(対象年度,$B$2,31),2),"月","火","水","木","金","土","日"))</f>
        <v>土</v>
      </c>
      <c r="C80" s="57" t="str">
        <f ca="1">IFERROR(IF(INDEX(INDIRECT("'"&amp;$B$2&amp;"月"&amp;"'!A:AZ"),34,9+0)="","",INDEX(INDIRECT("'"&amp;$B$2&amp;"月"&amp;"'!A:AZ"),34,9+0)),"")</f>
        <v>渋谷</v>
      </c>
      <c r="D80" s="58" t="str">
        <f ca="1">IFERROR(IF(INDEX(INDIRECT("'"&amp;$B$2&amp;"月"&amp;"'!A:AZ"),34,9+1)="","",INDEX(INDIRECT("'"&amp;$B$2&amp;"月"&amp;"'!A:AZ"),34,9+1)),"")</f>
        <v/>
      </c>
      <c r="E80" s="57" t="str">
        <f ca="1">IFERROR(IF(INDEX(INDIRECT("'"&amp;$B$2&amp;"月"&amp;"'!A:AZ"),34,9+2)="","",INDEX(INDIRECT("'"&amp;$B$2&amp;"月"&amp;"'!A:AZ"),34,9+2)),"")</f>
        <v>○</v>
      </c>
      <c r="F80" s="59" t="str">
        <f ca="1">IFERROR(IF(INDEX(INDIRECT("'"&amp;$B$2&amp;"月"&amp;"'!A:AZ"),34,9+3)="","",INDEX(INDIRECT("'"&amp;$B$2&amp;"月"&amp;"'!A:AZ"),34,9+3)),"")</f>
        <v/>
      </c>
      <c r="G80" s="57" t="str">
        <f ca="1">IFERROR(IF(INDEX(INDIRECT("'"&amp;$B$2&amp;"月"&amp;"'!A:AZ"),34,9+4)="","",INDEX(INDIRECT("'"&amp;$B$2&amp;"月"&amp;"'!A:AZ"),34,9+4)),"")</f>
        <v/>
      </c>
      <c r="H80" s="57"/>
    </row>
    <row r="81" spans="1:8" ht="21.75" customHeight="1">
      <c r="A81" s="111" t="s">
        <v>144</v>
      </c>
      <c r="B81" s="111"/>
      <c r="C81" s="61" t="s">
        <v>113</v>
      </c>
      <c r="D81" s="62">
        <f ca="1">IFERROR(INDEX(INDIRECT("'"&amp;$B$2&amp;"月"&amp;"'!A:AZ"),35,9),0)</f>
        <v>10</v>
      </c>
      <c r="E81" s="63" t="s">
        <v>114</v>
      </c>
      <c r="F81" s="64">
        <f ca="1">IFERROR(INDEX(INDIRECT("'"&amp;$B$2&amp;"月"&amp;"'!A:AZ"),36,9),0)</f>
        <v>0</v>
      </c>
      <c r="G81" s="61" t="s">
        <v>115</v>
      </c>
      <c r="H81" s="62">
        <f ca="1">IFERROR(INDEX(INDIRECT("'"&amp;$B$2&amp;"月"&amp;"'!A:AZ"),38,9),0)</f>
        <v>0</v>
      </c>
    </row>
    <row r="82" spans="1:8" ht="24" customHeight="1">
      <c r="A82" s="112"/>
      <c r="B82" s="112"/>
      <c r="C82" s="65" t="s">
        <v>122</v>
      </c>
      <c r="D82" s="66">
        <f ca="1">IFERROR(INDEX(INDIRECT("'"&amp;$B$2&amp;"月"&amp;"'!A:AZ"),37,9),0)</f>
        <v>10</v>
      </c>
      <c r="E82" s="67" t="s">
        <v>105</v>
      </c>
      <c r="F82" s="68">
        <f ca="1">IFERROR(INDEX(INDIRECT("'"&amp;$B$2&amp;"月"&amp;"'!A:AZ"),39,9),0)</f>
        <v>1</v>
      </c>
      <c r="G82" s="69" t="s">
        <v>106</v>
      </c>
      <c r="H82" s="70">
        <f ca="1">IFERROR(INDEX(INDIRECT("'"&amp;$B$2&amp;"月"&amp;"'!A:AZ"),40,9),0)</f>
        <v>0</v>
      </c>
    </row>
    <row r="84" spans="1:8" ht="27.75" customHeight="1">
      <c r="A84" s="90" t="s">
        <v>133</v>
      </c>
      <c r="B84" s="90"/>
      <c r="C84" s="90"/>
      <c r="D84" s="90"/>
      <c r="E84" s="90"/>
      <c r="F84" s="90"/>
      <c r="G84" s="90"/>
      <c r="H84" s="90"/>
    </row>
    <row r="85" spans="1:8" ht="18" customHeight="1">
      <c r="A85" s="113" t="s">
        <v>134</v>
      </c>
      <c r="B85" s="113"/>
      <c r="C85" s="113"/>
      <c r="D85" s="113"/>
      <c r="E85" s="113"/>
      <c r="F85" s="113"/>
      <c r="G85" s="113"/>
      <c r="H85" s="113"/>
    </row>
    <row r="86" spans="1:8" ht="27.75" customHeight="1">
      <c r="A86" s="49" t="s">
        <v>135</v>
      </c>
      <c r="B86" s="114" t="str">
        <f>対象年度&amp;"年 "&amp;$B$2&amp;"月"</f>
        <v>2026年 1月</v>
      </c>
      <c r="C86" s="114"/>
      <c r="D86" s="49" t="s">
        <v>136</v>
      </c>
      <c r="E86" s="115" t="str">
        <f>IFERROR(従業員マスタ!$C$6,"")</f>
        <v>山田 一郎</v>
      </c>
      <c r="F86" s="115"/>
      <c r="G86" s="115"/>
      <c r="H86" s="115"/>
    </row>
    <row r="87" spans="1:8" ht="19.5" customHeight="1">
      <c r="A87" s="73" t="s">
        <v>147</v>
      </c>
      <c r="B87" s="53" t="s">
        <v>148</v>
      </c>
      <c r="C87" s="119" t="s">
        <v>141</v>
      </c>
      <c r="D87" s="119"/>
      <c r="E87" s="119" t="s">
        <v>142</v>
      </c>
      <c r="F87" s="119"/>
      <c r="G87" s="116" t="s">
        <v>143</v>
      </c>
      <c r="H87" s="116"/>
    </row>
    <row r="88" spans="1:8" ht="43.5" customHeight="1">
      <c r="A88" s="74"/>
      <c r="B88" s="54"/>
      <c r="C88" s="110"/>
      <c r="D88" s="110"/>
      <c r="E88" s="110"/>
      <c r="F88" s="110"/>
      <c r="G88" s="110"/>
      <c r="H88" s="110"/>
    </row>
    <row r="89" spans="1:8" ht="19.5" customHeight="1">
      <c r="A89" s="55" t="s">
        <v>108</v>
      </c>
      <c r="B89" s="55" t="s">
        <v>109</v>
      </c>
      <c r="C89" s="55" t="s">
        <v>111</v>
      </c>
      <c r="D89" s="56" t="s">
        <v>112</v>
      </c>
      <c r="E89" s="55" t="s">
        <v>113</v>
      </c>
      <c r="F89" s="55" t="s">
        <v>114</v>
      </c>
      <c r="G89" s="55" t="s">
        <v>115</v>
      </c>
      <c r="H89" s="55" t="s">
        <v>75</v>
      </c>
    </row>
    <row r="90" spans="1:8" ht="13.5" customHeight="1">
      <c r="A90" s="57">
        <f>IF(DAY(DATE(対象年度,$B$2,1))&lt;&gt;1,"",1)</f>
        <v>1</v>
      </c>
      <c r="B90" s="57" t="str">
        <f>IF(DAY(DATE(対象年度,$B$2,1))&lt;&gt;1,"",CHOOSE(WEEKDAY(DATE(対象年度,$B$2,1),2),"月","火","水","木","金","土","日"))</f>
        <v>木</v>
      </c>
      <c r="C90" s="57" t="str">
        <f ca="1">IFERROR(IF(INDEX(INDIRECT("'"&amp;$B$2&amp;"月"&amp;"'!A:AZ"),4,14+0)="","",INDEX(INDIRECT("'"&amp;$B$2&amp;"月"&amp;"'!A:AZ"),4,14+0)),"")</f>
        <v/>
      </c>
      <c r="D90" s="58" t="str">
        <f ca="1">IFERROR(IF(INDEX(INDIRECT("'"&amp;$B$2&amp;"月"&amp;"'!A:AZ"),4,14+1)="","",INDEX(INDIRECT("'"&amp;$B$2&amp;"月"&amp;"'!A:AZ"),4,14+1)),"")</f>
        <v/>
      </c>
      <c r="E90" s="57" t="str">
        <f ca="1">IFERROR(IF(INDEX(INDIRECT("'"&amp;$B$2&amp;"月"&amp;"'!A:AZ"),4,14+2)="","",INDEX(INDIRECT("'"&amp;$B$2&amp;"月"&amp;"'!A:AZ"),4,14+2)),"")</f>
        <v/>
      </c>
      <c r="F90" s="59" t="str">
        <f ca="1">IFERROR(IF(INDEX(INDIRECT("'"&amp;$B$2&amp;"月"&amp;"'!A:AZ"),4,14+3)="","",INDEX(INDIRECT("'"&amp;$B$2&amp;"月"&amp;"'!A:AZ"),4,14+3)),"")</f>
        <v/>
      </c>
      <c r="G90" s="57" t="str">
        <f ca="1">IFERROR(IF(INDEX(INDIRECT("'"&amp;$B$2&amp;"月"&amp;"'!A:AZ"),4,14+4)="","",INDEX(INDIRECT("'"&amp;$B$2&amp;"月"&amp;"'!A:AZ"),4,14+4)),"")</f>
        <v/>
      </c>
      <c r="H90" s="57"/>
    </row>
    <row r="91" spans="1:8" ht="13.5" customHeight="1">
      <c r="A91" s="57">
        <f>IF(DAY(DATE(対象年度,$B$2,2))&lt;&gt;2,"",2)</f>
        <v>2</v>
      </c>
      <c r="B91" s="57" t="str">
        <f>IF(DAY(DATE(対象年度,$B$2,2))&lt;&gt;2,"",CHOOSE(WEEKDAY(DATE(対象年度,$B$2,2),2),"月","火","水","木","金","土","日"))</f>
        <v>金</v>
      </c>
      <c r="C91" s="57" t="str">
        <f ca="1">IFERROR(IF(INDEX(INDIRECT("'"&amp;$B$2&amp;"月"&amp;"'!A:AZ"),5,14+0)="","",INDEX(INDIRECT("'"&amp;$B$2&amp;"月"&amp;"'!A:AZ"),5,14+0)),"")</f>
        <v/>
      </c>
      <c r="D91" s="58" t="str">
        <f ca="1">IFERROR(IF(INDEX(INDIRECT("'"&amp;$B$2&amp;"月"&amp;"'!A:AZ"),5,14+1)="","",INDEX(INDIRECT("'"&amp;$B$2&amp;"月"&amp;"'!A:AZ"),5,14+1)),"")</f>
        <v/>
      </c>
      <c r="E91" s="57" t="str">
        <f ca="1">IFERROR(IF(INDEX(INDIRECT("'"&amp;$B$2&amp;"月"&amp;"'!A:AZ"),5,14+2)="","",INDEX(INDIRECT("'"&amp;$B$2&amp;"月"&amp;"'!A:AZ"),5,14+2)),"")</f>
        <v/>
      </c>
      <c r="F91" s="59" t="str">
        <f ca="1">IFERROR(IF(INDEX(INDIRECT("'"&amp;$B$2&amp;"月"&amp;"'!A:AZ"),5,14+3)="","",INDEX(INDIRECT("'"&amp;$B$2&amp;"月"&amp;"'!A:AZ"),5,14+3)),"")</f>
        <v/>
      </c>
      <c r="G91" s="57" t="str">
        <f ca="1">IFERROR(IF(INDEX(INDIRECT("'"&amp;$B$2&amp;"月"&amp;"'!A:AZ"),5,14+4)="","",INDEX(INDIRECT("'"&amp;$B$2&amp;"月"&amp;"'!A:AZ"),5,14+4)),"")</f>
        <v/>
      </c>
      <c r="H91" s="57"/>
    </row>
    <row r="92" spans="1:8" ht="13.5" customHeight="1">
      <c r="A92" s="57">
        <f>IF(DAY(DATE(対象年度,$B$2,3))&lt;&gt;3,"",3)</f>
        <v>3</v>
      </c>
      <c r="B92" s="57" t="str">
        <f>IF(DAY(DATE(対象年度,$B$2,3))&lt;&gt;3,"",CHOOSE(WEEKDAY(DATE(対象年度,$B$2,3),2),"月","火","水","木","金","土","日"))</f>
        <v>土</v>
      </c>
      <c r="C92" s="57" t="str">
        <f ca="1">IFERROR(IF(INDEX(INDIRECT("'"&amp;$B$2&amp;"月"&amp;"'!A:AZ"),6,14+0)="","",INDEX(INDIRECT("'"&amp;$B$2&amp;"月"&amp;"'!A:AZ"),6,14+0)),"")</f>
        <v/>
      </c>
      <c r="D92" s="58" t="str">
        <f ca="1">IFERROR(IF(INDEX(INDIRECT("'"&amp;$B$2&amp;"月"&amp;"'!A:AZ"),6,14+1)="","",INDEX(INDIRECT("'"&amp;$B$2&amp;"月"&amp;"'!A:AZ"),6,14+1)),"")</f>
        <v/>
      </c>
      <c r="E92" s="57" t="str">
        <f ca="1">IFERROR(IF(INDEX(INDIRECT("'"&amp;$B$2&amp;"月"&amp;"'!A:AZ"),6,14+2)="","",INDEX(INDIRECT("'"&amp;$B$2&amp;"月"&amp;"'!A:AZ"),6,14+2)),"")</f>
        <v/>
      </c>
      <c r="F92" s="59" t="str">
        <f ca="1">IFERROR(IF(INDEX(INDIRECT("'"&amp;$B$2&amp;"月"&amp;"'!A:AZ"),6,14+3)="","",INDEX(INDIRECT("'"&amp;$B$2&amp;"月"&amp;"'!A:AZ"),6,14+3)),"")</f>
        <v/>
      </c>
      <c r="G92" s="57" t="str">
        <f ca="1">IFERROR(IF(INDEX(INDIRECT("'"&amp;$B$2&amp;"月"&amp;"'!A:AZ"),6,14+4)="","",INDEX(INDIRECT("'"&amp;$B$2&amp;"月"&amp;"'!A:AZ"),6,14+4)),"")</f>
        <v/>
      </c>
      <c r="H92" s="57"/>
    </row>
    <row r="93" spans="1:8" ht="13.5" customHeight="1">
      <c r="A93" s="57">
        <f>IF(DAY(DATE(対象年度,$B$2,4))&lt;&gt;4,"",4)</f>
        <v>4</v>
      </c>
      <c r="B93" s="57" t="str">
        <f>IF(DAY(DATE(対象年度,$B$2,4))&lt;&gt;4,"",CHOOSE(WEEKDAY(DATE(対象年度,$B$2,4),2),"月","火","水","木","金","土","日"))</f>
        <v>日</v>
      </c>
      <c r="C93" s="57" t="str">
        <f ca="1">IFERROR(IF(INDEX(INDIRECT("'"&amp;$B$2&amp;"月"&amp;"'!A:AZ"),7,14+0)="","",INDEX(INDIRECT("'"&amp;$B$2&amp;"月"&amp;"'!A:AZ"),7,14+0)),"")</f>
        <v/>
      </c>
      <c r="D93" s="58" t="str">
        <f ca="1">IFERROR(IF(INDEX(INDIRECT("'"&amp;$B$2&amp;"月"&amp;"'!A:AZ"),7,14+1)="","",INDEX(INDIRECT("'"&amp;$B$2&amp;"月"&amp;"'!A:AZ"),7,14+1)),"")</f>
        <v/>
      </c>
      <c r="E93" s="57" t="str">
        <f ca="1">IFERROR(IF(INDEX(INDIRECT("'"&amp;$B$2&amp;"月"&amp;"'!A:AZ"),7,14+2)="","",INDEX(INDIRECT("'"&amp;$B$2&amp;"月"&amp;"'!A:AZ"),7,14+2)),"")</f>
        <v/>
      </c>
      <c r="F93" s="59" t="str">
        <f ca="1">IFERROR(IF(INDEX(INDIRECT("'"&amp;$B$2&amp;"月"&amp;"'!A:AZ"),7,14+3)="","",INDEX(INDIRECT("'"&amp;$B$2&amp;"月"&amp;"'!A:AZ"),7,14+3)),"")</f>
        <v/>
      </c>
      <c r="G93" s="57" t="str">
        <f ca="1">IFERROR(IF(INDEX(INDIRECT("'"&amp;$B$2&amp;"月"&amp;"'!A:AZ"),7,14+4)="","",INDEX(INDIRECT("'"&amp;$B$2&amp;"月"&amp;"'!A:AZ"),7,14+4)),"")</f>
        <v/>
      </c>
      <c r="H93" s="57"/>
    </row>
    <row r="94" spans="1:8" ht="13.5" customHeight="1">
      <c r="A94" s="57">
        <f>IF(DAY(DATE(対象年度,$B$2,5))&lt;&gt;5,"",5)</f>
        <v>5</v>
      </c>
      <c r="B94" s="57" t="str">
        <f>IF(DAY(DATE(対象年度,$B$2,5))&lt;&gt;5,"",CHOOSE(WEEKDAY(DATE(対象年度,$B$2,5),2),"月","火","水","木","金","土","日"))</f>
        <v>月</v>
      </c>
      <c r="C94" s="57" t="str">
        <f ca="1">IFERROR(IF(INDEX(INDIRECT("'"&amp;$B$2&amp;"月"&amp;"'!A:AZ"),8,14+0)="","",INDEX(INDIRECT("'"&amp;$B$2&amp;"月"&amp;"'!A:AZ"),8,14+0)),"")</f>
        <v/>
      </c>
      <c r="D94" s="58" t="str">
        <f ca="1">IFERROR(IF(INDEX(INDIRECT("'"&amp;$B$2&amp;"月"&amp;"'!A:AZ"),8,14+1)="","",INDEX(INDIRECT("'"&amp;$B$2&amp;"月"&amp;"'!A:AZ"),8,14+1)),"")</f>
        <v/>
      </c>
      <c r="E94" s="57" t="str">
        <f ca="1">IFERROR(IF(INDEX(INDIRECT("'"&amp;$B$2&amp;"月"&amp;"'!A:AZ"),8,14+2)="","",INDEX(INDIRECT("'"&amp;$B$2&amp;"月"&amp;"'!A:AZ"),8,14+2)),"")</f>
        <v/>
      </c>
      <c r="F94" s="59" t="str">
        <f ca="1">IFERROR(IF(INDEX(INDIRECT("'"&amp;$B$2&amp;"月"&amp;"'!A:AZ"),8,14+3)="","",INDEX(INDIRECT("'"&amp;$B$2&amp;"月"&amp;"'!A:AZ"),8,14+3)),"")</f>
        <v/>
      </c>
      <c r="G94" s="57" t="str">
        <f ca="1">IFERROR(IF(INDEX(INDIRECT("'"&amp;$B$2&amp;"月"&amp;"'!A:AZ"),8,14+4)="","",INDEX(INDIRECT("'"&amp;$B$2&amp;"月"&amp;"'!A:AZ"),8,14+4)),"")</f>
        <v/>
      </c>
      <c r="H94" s="57"/>
    </row>
    <row r="95" spans="1:8" ht="13.5" customHeight="1">
      <c r="A95" s="57">
        <f>IF(DAY(DATE(対象年度,$B$2,6))&lt;&gt;6,"",6)</f>
        <v>6</v>
      </c>
      <c r="B95" s="57" t="str">
        <f>IF(DAY(DATE(対象年度,$B$2,6))&lt;&gt;6,"",CHOOSE(WEEKDAY(DATE(対象年度,$B$2,6),2),"月","火","水","木","金","土","日"))</f>
        <v>火</v>
      </c>
      <c r="C95" s="57" t="str">
        <f ca="1">IFERROR(IF(INDEX(INDIRECT("'"&amp;$B$2&amp;"月"&amp;"'!A:AZ"),9,14+0)="","",INDEX(INDIRECT("'"&amp;$B$2&amp;"月"&amp;"'!A:AZ"),9,14+0)),"")</f>
        <v/>
      </c>
      <c r="D95" s="58" t="str">
        <f ca="1">IFERROR(IF(INDEX(INDIRECT("'"&amp;$B$2&amp;"月"&amp;"'!A:AZ"),9,14+1)="","",INDEX(INDIRECT("'"&amp;$B$2&amp;"月"&amp;"'!A:AZ"),9,14+1)),"")</f>
        <v/>
      </c>
      <c r="E95" s="57" t="str">
        <f ca="1">IFERROR(IF(INDEX(INDIRECT("'"&amp;$B$2&amp;"月"&amp;"'!A:AZ"),9,14+2)="","",INDEX(INDIRECT("'"&amp;$B$2&amp;"月"&amp;"'!A:AZ"),9,14+2)),"")</f>
        <v/>
      </c>
      <c r="F95" s="59" t="str">
        <f ca="1">IFERROR(IF(INDEX(INDIRECT("'"&amp;$B$2&amp;"月"&amp;"'!A:AZ"),9,14+3)="","",INDEX(INDIRECT("'"&amp;$B$2&amp;"月"&amp;"'!A:AZ"),9,14+3)),"")</f>
        <v/>
      </c>
      <c r="G95" s="57" t="str">
        <f ca="1">IFERROR(IF(INDEX(INDIRECT("'"&amp;$B$2&amp;"月"&amp;"'!A:AZ"),9,14+4)="","",INDEX(INDIRECT("'"&amp;$B$2&amp;"月"&amp;"'!A:AZ"),9,14+4)),"")</f>
        <v/>
      </c>
      <c r="H95" s="57"/>
    </row>
    <row r="96" spans="1:8" ht="13.5" customHeight="1">
      <c r="A96" s="57">
        <f>IF(DAY(DATE(対象年度,$B$2,7))&lt;&gt;7,"",7)</f>
        <v>7</v>
      </c>
      <c r="B96" s="57" t="str">
        <f>IF(DAY(DATE(対象年度,$B$2,7))&lt;&gt;7,"",CHOOSE(WEEKDAY(DATE(対象年度,$B$2,7),2),"月","火","水","木","金","土","日"))</f>
        <v>水</v>
      </c>
      <c r="C96" s="57" t="str">
        <f ca="1">IFERROR(IF(INDEX(INDIRECT("'"&amp;$B$2&amp;"月"&amp;"'!A:AZ"),10,14+0)="","",INDEX(INDIRECT("'"&amp;$B$2&amp;"月"&amp;"'!A:AZ"),10,14+0)),"")</f>
        <v/>
      </c>
      <c r="D96" s="58" t="str">
        <f ca="1">IFERROR(IF(INDEX(INDIRECT("'"&amp;$B$2&amp;"月"&amp;"'!A:AZ"),10,14+1)="","",INDEX(INDIRECT("'"&amp;$B$2&amp;"月"&amp;"'!A:AZ"),10,14+1)),"")</f>
        <v/>
      </c>
      <c r="E96" s="57" t="str">
        <f ca="1">IFERROR(IF(INDEX(INDIRECT("'"&amp;$B$2&amp;"月"&amp;"'!A:AZ"),10,14+2)="","",INDEX(INDIRECT("'"&amp;$B$2&amp;"月"&amp;"'!A:AZ"),10,14+2)),"")</f>
        <v/>
      </c>
      <c r="F96" s="59" t="str">
        <f ca="1">IFERROR(IF(INDEX(INDIRECT("'"&amp;$B$2&amp;"月"&amp;"'!A:AZ"),10,14+3)="","",INDEX(INDIRECT("'"&amp;$B$2&amp;"月"&amp;"'!A:AZ"),10,14+3)),"")</f>
        <v/>
      </c>
      <c r="G96" s="57" t="str">
        <f ca="1">IFERROR(IF(INDEX(INDIRECT("'"&amp;$B$2&amp;"月"&amp;"'!A:AZ"),10,14+4)="","",INDEX(INDIRECT("'"&amp;$B$2&amp;"月"&amp;"'!A:AZ"),10,14+4)),"")</f>
        <v/>
      </c>
      <c r="H96" s="57"/>
    </row>
    <row r="97" spans="1:8" ht="13.5" customHeight="1">
      <c r="A97" s="57">
        <f>IF(DAY(DATE(対象年度,$B$2,8))&lt;&gt;8,"",8)</f>
        <v>8</v>
      </c>
      <c r="B97" s="57" t="str">
        <f>IF(DAY(DATE(対象年度,$B$2,8))&lt;&gt;8,"",CHOOSE(WEEKDAY(DATE(対象年度,$B$2,8),2),"月","火","水","木","金","土","日"))</f>
        <v>木</v>
      </c>
      <c r="C97" s="57" t="str">
        <f ca="1">IFERROR(IF(INDEX(INDIRECT("'"&amp;$B$2&amp;"月"&amp;"'!A:AZ"),11,14+0)="","",INDEX(INDIRECT("'"&amp;$B$2&amp;"月"&amp;"'!A:AZ"),11,14+0)),"")</f>
        <v/>
      </c>
      <c r="D97" s="58" t="str">
        <f ca="1">IFERROR(IF(INDEX(INDIRECT("'"&amp;$B$2&amp;"月"&amp;"'!A:AZ"),11,14+1)="","",INDEX(INDIRECT("'"&amp;$B$2&amp;"月"&amp;"'!A:AZ"),11,14+1)),"")</f>
        <v/>
      </c>
      <c r="E97" s="57" t="str">
        <f ca="1">IFERROR(IF(INDEX(INDIRECT("'"&amp;$B$2&amp;"月"&amp;"'!A:AZ"),11,14+2)="","",INDEX(INDIRECT("'"&amp;$B$2&amp;"月"&amp;"'!A:AZ"),11,14+2)),"")</f>
        <v/>
      </c>
      <c r="F97" s="59" t="str">
        <f ca="1">IFERROR(IF(INDEX(INDIRECT("'"&amp;$B$2&amp;"月"&amp;"'!A:AZ"),11,14+3)="","",INDEX(INDIRECT("'"&amp;$B$2&amp;"月"&amp;"'!A:AZ"),11,14+3)),"")</f>
        <v/>
      </c>
      <c r="G97" s="57" t="str">
        <f ca="1">IFERROR(IF(INDEX(INDIRECT("'"&amp;$B$2&amp;"月"&amp;"'!A:AZ"),11,14+4)="","",INDEX(INDIRECT("'"&amp;$B$2&amp;"月"&amp;"'!A:AZ"),11,14+4)),"")</f>
        <v/>
      </c>
      <c r="H97" s="57"/>
    </row>
    <row r="98" spans="1:8" ht="13.5" customHeight="1">
      <c r="A98" s="57">
        <f>IF(DAY(DATE(対象年度,$B$2,9))&lt;&gt;9,"",9)</f>
        <v>9</v>
      </c>
      <c r="B98" s="57" t="str">
        <f>IF(DAY(DATE(対象年度,$B$2,9))&lt;&gt;9,"",CHOOSE(WEEKDAY(DATE(対象年度,$B$2,9),2),"月","火","水","木","金","土","日"))</f>
        <v>金</v>
      </c>
      <c r="C98" s="57" t="str">
        <f ca="1">IFERROR(IF(INDEX(INDIRECT("'"&amp;$B$2&amp;"月"&amp;"'!A:AZ"),12,14+0)="","",INDEX(INDIRECT("'"&amp;$B$2&amp;"月"&amp;"'!A:AZ"),12,14+0)),"")</f>
        <v/>
      </c>
      <c r="D98" s="58" t="str">
        <f ca="1">IFERROR(IF(INDEX(INDIRECT("'"&amp;$B$2&amp;"月"&amp;"'!A:AZ"),12,14+1)="","",INDEX(INDIRECT("'"&amp;$B$2&amp;"月"&amp;"'!A:AZ"),12,14+1)),"")</f>
        <v/>
      </c>
      <c r="E98" s="57" t="str">
        <f ca="1">IFERROR(IF(INDEX(INDIRECT("'"&amp;$B$2&amp;"月"&amp;"'!A:AZ"),12,14+2)="","",INDEX(INDIRECT("'"&amp;$B$2&amp;"月"&amp;"'!A:AZ"),12,14+2)),"")</f>
        <v/>
      </c>
      <c r="F98" s="59" t="str">
        <f ca="1">IFERROR(IF(INDEX(INDIRECT("'"&amp;$B$2&amp;"月"&amp;"'!A:AZ"),12,14+3)="","",INDEX(INDIRECT("'"&amp;$B$2&amp;"月"&amp;"'!A:AZ"),12,14+3)),"")</f>
        <v/>
      </c>
      <c r="G98" s="57" t="str">
        <f ca="1">IFERROR(IF(INDEX(INDIRECT("'"&amp;$B$2&amp;"月"&amp;"'!A:AZ"),12,14+4)="","",INDEX(INDIRECT("'"&amp;$B$2&amp;"月"&amp;"'!A:AZ"),12,14+4)),"")</f>
        <v/>
      </c>
      <c r="H98" s="57"/>
    </row>
    <row r="99" spans="1:8" ht="13.5" customHeight="1">
      <c r="A99" s="57">
        <f>IF(DAY(DATE(対象年度,$B$2,10))&lt;&gt;10,"",10)</f>
        <v>10</v>
      </c>
      <c r="B99" s="57" t="str">
        <f>IF(DAY(DATE(対象年度,$B$2,10))&lt;&gt;10,"",CHOOSE(WEEKDAY(DATE(対象年度,$B$2,10),2),"月","火","水","木","金","土","日"))</f>
        <v>土</v>
      </c>
      <c r="C99" s="57" t="str">
        <f ca="1">IFERROR(IF(INDEX(INDIRECT("'"&amp;$B$2&amp;"月"&amp;"'!A:AZ"),13,14+0)="","",INDEX(INDIRECT("'"&amp;$B$2&amp;"月"&amp;"'!A:AZ"),13,14+0)),"")</f>
        <v/>
      </c>
      <c r="D99" s="58" t="str">
        <f ca="1">IFERROR(IF(INDEX(INDIRECT("'"&amp;$B$2&amp;"月"&amp;"'!A:AZ"),13,14+1)="","",INDEX(INDIRECT("'"&amp;$B$2&amp;"月"&amp;"'!A:AZ"),13,14+1)),"")</f>
        <v/>
      </c>
      <c r="E99" s="57" t="str">
        <f ca="1">IFERROR(IF(INDEX(INDIRECT("'"&amp;$B$2&amp;"月"&amp;"'!A:AZ"),13,14+2)="","",INDEX(INDIRECT("'"&amp;$B$2&amp;"月"&amp;"'!A:AZ"),13,14+2)),"")</f>
        <v/>
      </c>
      <c r="F99" s="59" t="str">
        <f ca="1">IFERROR(IF(INDEX(INDIRECT("'"&amp;$B$2&amp;"月"&amp;"'!A:AZ"),13,14+3)="","",INDEX(INDIRECT("'"&amp;$B$2&amp;"月"&amp;"'!A:AZ"),13,14+3)),"")</f>
        <v/>
      </c>
      <c r="G99" s="57" t="str">
        <f ca="1">IFERROR(IF(INDEX(INDIRECT("'"&amp;$B$2&amp;"月"&amp;"'!A:AZ"),13,14+4)="","",INDEX(INDIRECT("'"&amp;$B$2&amp;"月"&amp;"'!A:AZ"),13,14+4)),"")</f>
        <v/>
      </c>
      <c r="H99" s="57"/>
    </row>
    <row r="100" spans="1:8" ht="13.5" customHeight="1">
      <c r="A100" s="57">
        <f>IF(DAY(DATE(対象年度,$B$2,11))&lt;&gt;11,"",11)</f>
        <v>11</v>
      </c>
      <c r="B100" s="57" t="str">
        <f>IF(DAY(DATE(対象年度,$B$2,11))&lt;&gt;11,"",CHOOSE(WEEKDAY(DATE(対象年度,$B$2,11),2),"月","火","水","木","金","土","日"))</f>
        <v>日</v>
      </c>
      <c r="C100" s="57" t="str">
        <f ca="1">IFERROR(IF(INDEX(INDIRECT("'"&amp;$B$2&amp;"月"&amp;"'!A:AZ"),14,14+0)="","",INDEX(INDIRECT("'"&amp;$B$2&amp;"月"&amp;"'!A:AZ"),14,14+0)),"")</f>
        <v/>
      </c>
      <c r="D100" s="58" t="str">
        <f ca="1">IFERROR(IF(INDEX(INDIRECT("'"&amp;$B$2&amp;"月"&amp;"'!A:AZ"),14,14+1)="","",INDEX(INDIRECT("'"&amp;$B$2&amp;"月"&amp;"'!A:AZ"),14,14+1)),"")</f>
        <v/>
      </c>
      <c r="E100" s="57" t="str">
        <f ca="1">IFERROR(IF(INDEX(INDIRECT("'"&amp;$B$2&amp;"月"&amp;"'!A:AZ"),14,14+2)="","",INDEX(INDIRECT("'"&amp;$B$2&amp;"月"&amp;"'!A:AZ"),14,14+2)),"")</f>
        <v/>
      </c>
      <c r="F100" s="59" t="str">
        <f ca="1">IFERROR(IF(INDEX(INDIRECT("'"&amp;$B$2&amp;"月"&amp;"'!A:AZ"),14,14+3)="","",INDEX(INDIRECT("'"&amp;$B$2&amp;"月"&amp;"'!A:AZ"),14,14+3)),"")</f>
        <v/>
      </c>
      <c r="G100" s="57" t="str">
        <f ca="1">IFERROR(IF(INDEX(INDIRECT("'"&amp;$B$2&amp;"月"&amp;"'!A:AZ"),14,14+4)="","",INDEX(INDIRECT("'"&amp;$B$2&amp;"月"&amp;"'!A:AZ"),14,14+4)),"")</f>
        <v/>
      </c>
      <c r="H100" s="57"/>
    </row>
    <row r="101" spans="1:8" ht="13.5" customHeight="1">
      <c r="A101" s="57">
        <f>IF(DAY(DATE(対象年度,$B$2,12))&lt;&gt;12,"",12)</f>
        <v>12</v>
      </c>
      <c r="B101" s="57" t="str">
        <f>IF(DAY(DATE(対象年度,$B$2,12))&lt;&gt;12,"",CHOOSE(WEEKDAY(DATE(対象年度,$B$2,12),2),"月","火","水","木","金","土","日"))</f>
        <v>月</v>
      </c>
      <c r="C101" s="57" t="str">
        <f ca="1">IFERROR(IF(INDEX(INDIRECT("'"&amp;$B$2&amp;"月"&amp;"'!A:AZ"),15,14+0)="","",INDEX(INDIRECT("'"&amp;$B$2&amp;"月"&amp;"'!A:AZ"),15,14+0)),"")</f>
        <v/>
      </c>
      <c r="D101" s="58" t="str">
        <f ca="1">IFERROR(IF(INDEX(INDIRECT("'"&amp;$B$2&amp;"月"&amp;"'!A:AZ"),15,14+1)="","",INDEX(INDIRECT("'"&amp;$B$2&amp;"月"&amp;"'!A:AZ"),15,14+1)),"")</f>
        <v/>
      </c>
      <c r="E101" s="57" t="str">
        <f ca="1">IFERROR(IF(INDEX(INDIRECT("'"&amp;$B$2&amp;"月"&amp;"'!A:AZ"),15,14+2)="","",INDEX(INDIRECT("'"&amp;$B$2&amp;"月"&amp;"'!A:AZ"),15,14+2)),"")</f>
        <v/>
      </c>
      <c r="F101" s="59" t="str">
        <f ca="1">IFERROR(IF(INDEX(INDIRECT("'"&amp;$B$2&amp;"月"&amp;"'!A:AZ"),15,14+3)="","",INDEX(INDIRECT("'"&amp;$B$2&amp;"月"&amp;"'!A:AZ"),15,14+3)),"")</f>
        <v/>
      </c>
      <c r="G101" s="57" t="str">
        <f ca="1">IFERROR(IF(INDEX(INDIRECT("'"&amp;$B$2&amp;"月"&amp;"'!A:AZ"),15,14+4)="","",INDEX(INDIRECT("'"&amp;$B$2&amp;"月"&amp;"'!A:AZ"),15,14+4)),"")</f>
        <v/>
      </c>
      <c r="H101" s="57"/>
    </row>
    <row r="102" spans="1:8" ht="13.5" customHeight="1">
      <c r="A102" s="57">
        <f>IF(DAY(DATE(対象年度,$B$2,13))&lt;&gt;13,"",13)</f>
        <v>13</v>
      </c>
      <c r="B102" s="57" t="str">
        <f>IF(DAY(DATE(対象年度,$B$2,13))&lt;&gt;13,"",CHOOSE(WEEKDAY(DATE(対象年度,$B$2,13),2),"月","火","水","木","金","土","日"))</f>
        <v>火</v>
      </c>
      <c r="C102" s="57" t="str">
        <f ca="1">IFERROR(IF(INDEX(INDIRECT("'"&amp;$B$2&amp;"月"&amp;"'!A:AZ"),16,14+0)="","",INDEX(INDIRECT("'"&amp;$B$2&amp;"月"&amp;"'!A:AZ"),16,14+0)),"")</f>
        <v/>
      </c>
      <c r="D102" s="58" t="str">
        <f ca="1">IFERROR(IF(INDEX(INDIRECT("'"&amp;$B$2&amp;"月"&amp;"'!A:AZ"),16,14+1)="","",INDEX(INDIRECT("'"&amp;$B$2&amp;"月"&amp;"'!A:AZ"),16,14+1)),"")</f>
        <v/>
      </c>
      <c r="E102" s="57" t="str">
        <f ca="1">IFERROR(IF(INDEX(INDIRECT("'"&amp;$B$2&amp;"月"&amp;"'!A:AZ"),16,14+2)="","",INDEX(INDIRECT("'"&amp;$B$2&amp;"月"&amp;"'!A:AZ"),16,14+2)),"")</f>
        <v/>
      </c>
      <c r="F102" s="59" t="str">
        <f ca="1">IFERROR(IF(INDEX(INDIRECT("'"&amp;$B$2&amp;"月"&amp;"'!A:AZ"),16,14+3)="","",INDEX(INDIRECT("'"&amp;$B$2&amp;"月"&amp;"'!A:AZ"),16,14+3)),"")</f>
        <v/>
      </c>
      <c r="G102" s="57" t="str">
        <f ca="1">IFERROR(IF(INDEX(INDIRECT("'"&amp;$B$2&amp;"月"&amp;"'!A:AZ"),16,14+4)="","",INDEX(INDIRECT("'"&amp;$B$2&amp;"月"&amp;"'!A:AZ"),16,14+4)),"")</f>
        <v/>
      </c>
      <c r="H102" s="57"/>
    </row>
    <row r="103" spans="1:8" ht="13.5" customHeight="1">
      <c r="A103" s="57">
        <f>IF(DAY(DATE(対象年度,$B$2,14))&lt;&gt;14,"",14)</f>
        <v>14</v>
      </c>
      <c r="B103" s="57" t="str">
        <f>IF(DAY(DATE(対象年度,$B$2,14))&lt;&gt;14,"",CHOOSE(WEEKDAY(DATE(対象年度,$B$2,14),2),"月","火","水","木","金","土","日"))</f>
        <v>水</v>
      </c>
      <c r="C103" s="57" t="str">
        <f ca="1">IFERROR(IF(INDEX(INDIRECT("'"&amp;$B$2&amp;"月"&amp;"'!A:AZ"),17,14+0)="","",INDEX(INDIRECT("'"&amp;$B$2&amp;"月"&amp;"'!A:AZ"),17,14+0)),"")</f>
        <v/>
      </c>
      <c r="D103" s="58" t="str">
        <f ca="1">IFERROR(IF(INDEX(INDIRECT("'"&amp;$B$2&amp;"月"&amp;"'!A:AZ"),17,14+1)="","",INDEX(INDIRECT("'"&amp;$B$2&amp;"月"&amp;"'!A:AZ"),17,14+1)),"")</f>
        <v/>
      </c>
      <c r="E103" s="57" t="str">
        <f ca="1">IFERROR(IF(INDEX(INDIRECT("'"&amp;$B$2&amp;"月"&amp;"'!A:AZ"),17,14+2)="","",INDEX(INDIRECT("'"&amp;$B$2&amp;"月"&amp;"'!A:AZ"),17,14+2)),"")</f>
        <v/>
      </c>
      <c r="F103" s="59" t="str">
        <f ca="1">IFERROR(IF(INDEX(INDIRECT("'"&amp;$B$2&amp;"月"&amp;"'!A:AZ"),17,14+3)="","",INDEX(INDIRECT("'"&amp;$B$2&amp;"月"&amp;"'!A:AZ"),17,14+3)),"")</f>
        <v/>
      </c>
      <c r="G103" s="57" t="str">
        <f ca="1">IFERROR(IF(INDEX(INDIRECT("'"&amp;$B$2&amp;"月"&amp;"'!A:AZ"),17,14+4)="","",INDEX(INDIRECT("'"&amp;$B$2&amp;"月"&amp;"'!A:AZ"),17,14+4)),"")</f>
        <v/>
      </c>
      <c r="H103" s="57"/>
    </row>
    <row r="104" spans="1:8" ht="13.5" customHeight="1">
      <c r="A104" s="57">
        <f>IF(DAY(DATE(対象年度,$B$2,15))&lt;&gt;15,"",15)</f>
        <v>15</v>
      </c>
      <c r="B104" s="57" t="str">
        <f>IF(DAY(DATE(対象年度,$B$2,15))&lt;&gt;15,"",CHOOSE(WEEKDAY(DATE(対象年度,$B$2,15),2),"月","火","水","木","金","土","日"))</f>
        <v>木</v>
      </c>
      <c r="C104" s="57" t="str">
        <f ca="1">IFERROR(IF(INDEX(INDIRECT("'"&amp;$B$2&amp;"月"&amp;"'!A:AZ"),18,14+0)="","",INDEX(INDIRECT("'"&amp;$B$2&amp;"月"&amp;"'!A:AZ"),18,14+0)),"")</f>
        <v/>
      </c>
      <c r="D104" s="58" t="str">
        <f ca="1">IFERROR(IF(INDEX(INDIRECT("'"&amp;$B$2&amp;"月"&amp;"'!A:AZ"),18,14+1)="","",INDEX(INDIRECT("'"&amp;$B$2&amp;"月"&amp;"'!A:AZ"),18,14+1)),"")</f>
        <v/>
      </c>
      <c r="E104" s="57" t="str">
        <f ca="1">IFERROR(IF(INDEX(INDIRECT("'"&amp;$B$2&amp;"月"&amp;"'!A:AZ"),18,14+2)="","",INDEX(INDIRECT("'"&amp;$B$2&amp;"月"&amp;"'!A:AZ"),18,14+2)),"")</f>
        <v/>
      </c>
      <c r="F104" s="59" t="str">
        <f ca="1">IFERROR(IF(INDEX(INDIRECT("'"&amp;$B$2&amp;"月"&amp;"'!A:AZ"),18,14+3)="","",INDEX(INDIRECT("'"&amp;$B$2&amp;"月"&amp;"'!A:AZ"),18,14+3)),"")</f>
        <v/>
      </c>
      <c r="G104" s="57" t="str">
        <f ca="1">IFERROR(IF(INDEX(INDIRECT("'"&amp;$B$2&amp;"月"&amp;"'!A:AZ"),18,14+4)="","",INDEX(INDIRECT("'"&amp;$B$2&amp;"月"&amp;"'!A:AZ"),18,14+4)),"")</f>
        <v/>
      </c>
      <c r="H104" s="57"/>
    </row>
    <row r="105" spans="1:8" ht="13.5" customHeight="1">
      <c r="A105" s="57">
        <f>IF(DAY(DATE(対象年度,$B$2,16))&lt;&gt;16,"",16)</f>
        <v>16</v>
      </c>
      <c r="B105" s="57" t="str">
        <f>IF(DAY(DATE(対象年度,$B$2,16))&lt;&gt;16,"",CHOOSE(WEEKDAY(DATE(対象年度,$B$2,16),2),"月","火","水","木","金","土","日"))</f>
        <v>金</v>
      </c>
      <c r="C105" s="57" t="str">
        <f ca="1">IFERROR(IF(INDEX(INDIRECT("'"&amp;$B$2&amp;"月"&amp;"'!A:AZ"),19,14+0)="","",INDEX(INDIRECT("'"&amp;$B$2&amp;"月"&amp;"'!A:AZ"),19,14+0)),"")</f>
        <v/>
      </c>
      <c r="D105" s="58" t="str">
        <f ca="1">IFERROR(IF(INDEX(INDIRECT("'"&amp;$B$2&amp;"月"&amp;"'!A:AZ"),19,14+1)="","",INDEX(INDIRECT("'"&amp;$B$2&amp;"月"&amp;"'!A:AZ"),19,14+1)),"")</f>
        <v/>
      </c>
      <c r="E105" s="57" t="str">
        <f ca="1">IFERROR(IF(INDEX(INDIRECT("'"&amp;$B$2&amp;"月"&amp;"'!A:AZ"),19,14+2)="","",INDEX(INDIRECT("'"&amp;$B$2&amp;"月"&amp;"'!A:AZ"),19,14+2)),"")</f>
        <v/>
      </c>
      <c r="F105" s="59" t="str">
        <f ca="1">IFERROR(IF(INDEX(INDIRECT("'"&amp;$B$2&amp;"月"&amp;"'!A:AZ"),19,14+3)="","",INDEX(INDIRECT("'"&amp;$B$2&amp;"月"&amp;"'!A:AZ"),19,14+3)),"")</f>
        <v/>
      </c>
      <c r="G105" s="57" t="str">
        <f ca="1">IFERROR(IF(INDEX(INDIRECT("'"&amp;$B$2&amp;"月"&amp;"'!A:AZ"),19,14+4)="","",INDEX(INDIRECT("'"&amp;$B$2&amp;"月"&amp;"'!A:AZ"),19,14+4)),"")</f>
        <v/>
      </c>
      <c r="H105" s="57"/>
    </row>
    <row r="106" spans="1:8" ht="13.5" customHeight="1">
      <c r="A106" s="57">
        <f>IF(DAY(DATE(対象年度,$B$2,17))&lt;&gt;17,"",17)</f>
        <v>17</v>
      </c>
      <c r="B106" s="57" t="str">
        <f>IF(DAY(DATE(対象年度,$B$2,17))&lt;&gt;17,"",CHOOSE(WEEKDAY(DATE(対象年度,$B$2,17),2),"月","火","水","木","金","土","日"))</f>
        <v>土</v>
      </c>
      <c r="C106" s="57" t="str">
        <f ca="1">IFERROR(IF(INDEX(INDIRECT("'"&amp;$B$2&amp;"月"&amp;"'!A:AZ"),20,14+0)="","",INDEX(INDIRECT("'"&amp;$B$2&amp;"月"&amp;"'!A:AZ"),20,14+0)),"")</f>
        <v/>
      </c>
      <c r="D106" s="58" t="str">
        <f ca="1">IFERROR(IF(INDEX(INDIRECT("'"&amp;$B$2&amp;"月"&amp;"'!A:AZ"),20,14+1)="","",INDEX(INDIRECT("'"&amp;$B$2&amp;"月"&amp;"'!A:AZ"),20,14+1)),"")</f>
        <v/>
      </c>
      <c r="E106" s="57" t="str">
        <f ca="1">IFERROR(IF(INDEX(INDIRECT("'"&amp;$B$2&amp;"月"&amp;"'!A:AZ"),20,14+2)="","",INDEX(INDIRECT("'"&amp;$B$2&amp;"月"&amp;"'!A:AZ"),20,14+2)),"")</f>
        <v/>
      </c>
      <c r="F106" s="59" t="str">
        <f ca="1">IFERROR(IF(INDEX(INDIRECT("'"&amp;$B$2&amp;"月"&amp;"'!A:AZ"),20,14+3)="","",INDEX(INDIRECT("'"&amp;$B$2&amp;"月"&amp;"'!A:AZ"),20,14+3)),"")</f>
        <v/>
      </c>
      <c r="G106" s="57" t="str">
        <f ca="1">IFERROR(IF(INDEX(INDIRECT("'"&amp;$B$2&amp;"月"&amp;"'!A:AZ"),20,14+4)="","",INDEX(INDIRECT("'"&amp;$B$2&amp;"月"&amp;"'!A:AZ"),20,14+4)),"")</f>
        <v/>
      </c>
      <c r="H106" s="57"/>
    </row>
    <row r="107" spans="1:8" ht="13.5" customHeight="1">
      <c r="A107" s="57">
        <f>IF(DAY(DATE(対象年度,$B$2,18))&lt;&gt;18,"",18)</f>
        <v>18</v>
      </c>
      <c r="B107" s="57" t="str">
        <f>IF(DAY(DATE(対象年度,$B$2,18))&lt;&gt;18,"",CHOOSE(WEEKDAY(DATE(対象年度,$B$2,18),2),"月","火","水","木","金","土","日"))</f>
        <v>日</v>
      </c>
      <c r="C107" s="57" t="str">
        <f ca="1">IFERROR(IF(INDEX(INDIRECT("'"&amp;$B$2&amp;"月"&amp;"'!A:AZ"),21,14+0)="","",INDEX(INDIRECT("'"&amp;$B$2&amp;"月"&amp;"'!A:AZ"),21,14+0)),"")</f>
        <v/>
      </c>
      <c r="D107" s="58" t="str">
        <f ca="1">IFERROR(IF(INDEX(INDIRECT("'"&amp;$B$2&amp;"月"&amp;"'!A:AZ"),21,14+1)="","",INDEX(INDIRECT("'"&amp;$B$2&amp;"月"&amp;"'!A:AZ"),21,14+1)),"")</f>
        <v/>
      </c>
      <c r="E107" s="57" t="str">
        <f ca="1">IFERROR(IF(INDEX(INDIRECT("'"&amp;$B$2&amp;"月"&amp;"'!A:AZ"),21,14+2)="","",INDEX(INDIRECT("'"&amp;$B$2&amp;"月"&amp;"'!A:AZ"),21,14+2)),"")</f>
        <v/>
      </c>
      <c r="F107" s="59" t="str">
        <f ca="1">IFERROR(IF(INDEX(INDIRECT("'"&amp;$B$2&amp;"月"&amp;"'!A:AZ"),21,14+3)="","",INDEX(INDIRECT("'"&amp;$B$2&amp;"月"&amp;"'!A:AZ"),21,14+3)),"")</f>
        <v/>
      </c>
      <c r="G107" s="57" t="str">
        <f ca="1">IFERROR(IF(INDEX(INDIRECT("'"&amp;$B$2&amp;"月"&amp;"'!A:AZ"),21,14+4)="","",INDEX(INDIRECT("'"&amp;$B$2&amp;"月"&amp;"'!A:AZ"),21,14+4)),"")</f>
        <v/>
      </c>
      <c r="H107" s="57"/>
    </row>
    <row r="108" spans="1:8" ht="13.5" customHeight="1">
      <c r="A108" s="57">
        <f>IF(DAY(DATE(対象年度,$B$2,19))&lt;&gt;19,"",19)</f>
        <v>19</v>
      </c>
      <c r="B108" s="57" t="str">
        <f>IF(DAY(DATE(対象年度,$B$2,19))&lt;&gt;19,"",CHOOSE(WEEKDAY(DATE(対象年度,$B$2,19),2),"月","火","水","木","金","土","日"))</f>
        <v>月</v>
      </c>
      <c r="C108" s="57" t="str">
        <f ca="1">IFERROR(IF(INDEX(INDIRECT("'"&amp;$B$2&amp;"月"&amp;"'!A:AZ"),22,14+0)="","",INDEX(INDIRECT("'"&amp;$B$2&amp;"月"&amp;"'!A:AZ"),22,14+0)),"")</f>
        <v/>
      </c>
      <c r="D108" s="58" t="str">
        <f ca="1">IFERROR(IF(INDEX(INDIRECT("'"&amp;$B$2&amp;"月"&amp;"'!A:AZ"),22,14+1)="","",INDEX(INDIRECT("'"&amp;$B$2&amp;"月"&amp;"'!A:AZ"),22,14+1)),"")</f>
        <v/>
      </c>
      <c r="E108" s="57" t="str">
        <f ca="1">IFERROR(IF(INDEX(INDIRECT("'"&amp;$B$2&amp;"月"&amp;"'!A:AZ"),22,14+2)="","",INDEX(INDIRECT("'"&amp;$B$2&amp;"月"&amp;"'!A:AZ"),22,14+2)),"")</f>
        <v/>
      </c>
      <c r="F108" s="59" t="str">
        <f ca="1">IFERROR(IF(INDEX(INDIRECT("'"&amp;$B$2&amp;"月"&amp;"'!A:AZ"),22,14+3)="","",INDEX(INDIRECT("'"&amp;$B$2&amp;"月"&amp;"'!A:AZ"),22,14+3)),"")</f>
        <v/>
      </c>
      <c r="G108" s="57" t="str">
        <f ca="1">IFERROR(IF(INDEX(INDIRECT("'"&amp;$B$2&amp;"月"&amp;"'!A:AZ"),22,14+4)="","",INDEX(INDIRECT("'"&amp;$B$2&amp;"月"&amp;"'!A:AZ"),22,14+4)),"")</f>
        <v/>
      </c>
      <c r="H108" s="57"/>
    </row>
    <row r="109" spans="1:8" ht="13.5" customHeight="1">
      <c r="A109" s="57">
        <f>IF(DAY(DATE(対象年度,$B$2,20))&lt;&gt;20,"",20)</f>
        <v>20</v>
      </c>
      <c r="B109" s="57" t="str">
        <f>IF(DAY(DATE(対象年度,$B$2,20))&lt;&gt;20,"",CHOOSE(WEEKDAY(DATE(対象年度,$B$2,20),2),"月","火","水","木","金","土","日"))</f>
        <v>火</v>
      </c>
      <c r="C109" s="57" t="str">
        <f ca="1">IFERROR(IF(INDEX(INDIRECT("'"&amp;$B$2&amp;"月"&amp;"'!A:AZ"),23,14+0)="","",INDEX(INDIRECT("'"&amp;$B$2&amp;"月"&amp;"'!A:AZ"),23,14+0)),"")</f>
        <v/>
      </c>
      <c r="D109" s="58" t="str">
        <f ca="1">IFERROR(IF(INDEX(INDIRECT("'"&amp;$B$2&amp;"月"&amp;"'!A:AZ"),23,14+1)="","",INDEX(INDIRECT("'"&amp;$B$2&amp;"月"&amp;"'!A:AZ"),23,14+1)),"")</f>
        <v/>
      </c>
      <c r="E109" s="57" t="str">
        <f ca="1">IFERROR(IF(INDEX(INDIRECT("'"&amp;$B$2&amp;"月"&amp;"'!A:AZ"),23,14+2)="","",INDEX(INDIRECT("'"&amp;$B$2&amp;"月"&amp;"'!A:AZ"),23,14+2)),"")</f>
        <v/>
      </c>
      <c r="F109" s="59" t="str">
        <f ca="1">IFERROR(IF(INDEX(INDIRECT("'"&amp;$B$2&amp;"月"&amp;"'!A:AZ"),23,14+3)="","",INDEX(INDIRECT("'"&amp;$B$2&amp;"月"&amp;"'!A:AZ"),23,14+3)),"")</f>
        <v/>
      </c>
      <c r="G109" s="57" t="str">
        <f ca="1">IFERROR(IF(INDEX(INDIRECT("'"&amp;$B$2&amp;"月"&amp;"'!A:AZ"),23,14+4)="","",INDEX(INDIRECT("'"&amp;$B$2&amp;"月"&amp;"'!A:AZ"),23,14+4)),"")</f>
        <v/>
      </c>
      <c r="H109" s="57"/>
    </row>
    <row r="110" spans="1:8" ht="13.5" customHeight="1">
      <c r="A110" s="57">
        <f>IF(DAY(DATE(対象年度,$B$2,21))&lt;&gt;21,"",21)</f>
        <v>21</v>
      </c>
      <c r="B110" s="57" t="str">
        <f>IF(DAY(DATE(対象年度,$B$2,21))&lt;&gt;21,"",CHOOSE(WEEKDAY(DATE(対象年度,$B$2,21),2),"月","火","水","木","金","土","日"))</f>
        <v>水</v>
      </c>
      <c r="C110" s="57" t="str">
        <f ca="1">IFERROR(IF(INDEX(INDIRECT("'"&amp;$B$2&amp;"月"&amp;"'!A:AZ"),24,14+0)="","",INDEX(INDIRECT("'"&amp;$B$2&amp;"月"&amp;"'!A:AZ"),24,14+0)),"")</f>
        <v>新宿</v>
      </c>
      <c r="D110" s="58" t="str">
        <f ca="1">IFERROR(IF(INDEX(INDIRECT("'"&amp;$B$2&amp;"月"&amp;"'!A:AZ"),24,14+1)="","",INDEX(INDIRECT("'"&amp;$B$2&amp;"月"&amp;"'!A:AZ"),24,14+1)),"")</f>
        <v/>
      </c>
      <c r="E110" s="57" t="str">
        <f ca="1">IFERROR(IF(INDEX(INDIRECT("'"&amp;$B$2&amp;"月"&amp;"'!A:AZ"),24,14+2)="","",INDEX(INDIRECT("'"&amp;$B$2&amp;"月"&amp;"'!A:AZ"),24,14+2)),"")</f>
        <v>○</v>
      </c>
      <c r="F110" s="59" t="str">
        <f ca="1">IFERROR(IF(INDEX(INDIRECT("'"&amp;$B$2&amp;"月"&amp;"'!A:AZ"),24,14+3)="","",INDEX(INDIRECT("'"&amp;$B$2&amp;"月"&amp;"'!A:AZ"),24,14+3)),"")</f>
        <v/>
      </c>
      <c r="G110" s="57" t="str">
        <f ca="1">IFERROR(IF(INDEX(INDIRECT("'"&amp;$B$2&amp;"月"&amp;"'!A:AZ"),24,14+4)="","",INDEX(INDIRECT("'"&amp;$B$2&amp;"月"&amp;"'!A:AZ"),24,14+4)),"")</f>
        <v/>
      </c>
      <c r="H110" s="57"/>
    </row>
    <row r="111" spans="1:8" ht="13.5" customHeight="1">
      <c r="A111" s="57">
        <f>IF(DAY(DATE(対象年度,$B$2,22))&lt;&gt;22,"",22)</f>
        <v>22</v>
      </c>
      <c r="B111" s="57" t="str">
        <f>IF(DAY(DATE(対象年度,$B$2,22))&lt;&gt;22,"",CHOOSE(WEEKDAY(DATE(対象年度,$B$2,22),2),"月","火","水","木","金","土","日"))</f>
        <v>木</v>
      </c>
      <c r="C111" s="57" t="str">
        <f ca="1">IFERROR(IF(INDEX(INDIRECT("'"&amp;$B$2&amp;"月"&amp;"'!A:AZ"),25,14+0)="","",INDEX(INDIRECT("'"&amp;$B$2&amp;"月"&amp;"'!A:AZ"),25,14+0)),"")</f>
        <v>新宿</v>
      </c>
      <c r="D111" s="58" t="str">
        <f ca="1">IFERROR(IF(INDEX(INDIRECT("'"&amp;$B$2&amp;"月"&amp;"'!A:AZ"),25,14+1)="","",INDEX(INDIRECT("'"&amp;$B$2&amp;"月"&amp;"'!A:AZ"),25,14+1)),"")</f>
        <v/>
      </c>
      <c r="E111" s="57" t="str">
        <f ca="1">IFERROR(IF(INDEX(INDIRECT("'"&amp;$B$2&amp;"月"&amp;"'!A:AZ"),25,14+2)="","",INDEX(INDIRECT("'"&amp;$B$2&amp;"月"&amp;"'!A:AZ"),25,14+2)),"")</f>
        <v>○</v>
      </c>
      <c r="F111" s="59" t="str">
        <f ca="1">IFERROR(IF(INDEX(INDIRECT("'"&amp;$B$2&amp;"月"&amp;"'!A:AZ"),25,14+3)="","",INDEX(INDIRECT("'"&amp;$B$2&amp;"月"&amp;"'!A:AZ"),25,14+3)),"")</f>
        <v/>
      </c>
      <c r="G111" s="57" t="str">
        <f ca="1">IFERROR(IF(INDEX(INDIRECT("'"&amp;$B$2&amp;"月"&amp;"'!A:AZ"),25,14+4)="","",INDEX(INDIRECT("'"&amp;$B$2&amp;"月"&amp;"'!A:AZ"),25,14+4)),"")</f>
        <v/>
      </c>
      <c r="H111" s="57"/>
    </row>
    <row r="112" spans="1:8" ht="13.5" customHeight="1">
      <c r="A112" s="57">
        <f>IF(DAY(DATE(対象年度,$B$2,23))&lt;&gt;23,"",23)</f>
        <v>23</v>
      </c>
      <c r="B112" s="57" t="str">
        <f>IF(DAY(DATE(対象年度,$B$2,23))&lt;&gt;23,"",CHOOSE(WEEKDAY(DATE(対象年度,$B$2,23),2),"月","火","水","木","金","土","日"))</f>
        <v>金</v>
      </c>
      <c r="C112" s="57" t="str">
        <f ca="1">IFERROR(IF(INDEX(INDIRECT("'"&amp;$B$2&amp;"月"&amp;"'!A:AZ"),26,14+0)="","",INDEX(INDIRECT("'"&amp;$B$2&amp;"月"&amp;"'!A:AZ"),26,14+0)),"")</f>
        <v>新宿</v>
      </c>
      <c r="D112" s="58" t="str">
        <f ca="1">IFERROR(IF(INDEX(INDIRECT("'"&amp;$B$2&amp;"月"&amp;"'!A:AZ"),26,14+1)="","",INDEX(INDIRECT("'"&amp;$B$2&amp;"月"&amp;"'!A:AZ"),26,14+1)),"")</f>
        <v/>
      </c>
      <c r="E112" s="57" t="str">
        <f ca="1">IFERROR(IF(INDEX(INDIRECT("'"&amp;$B$2&amp;"月"&amp;"'!A:AZ"),26,14+2)="","",INDEX(INDIRECT("'"&amp;$B$2&amp;"月"&amp;"'!A:AZ"),26,14+2)),"")</f>
        <v>○</v>
      </c>
      <c r="F112" s="59" t="str">
        <f ca="1">IFERROR(IF(INDEX(INDIRECT("'"&amp;$B$2&amp;"月"&amp;"'!A:AZ"),26,14+3)="","",INDEX(INDIRECT("'"&amp;$B$2&amp;"月"&amp;"'!A:AZ"),26,14+3)),"")</f>
        <v/>
      </c>
      <c r="G112" s="57" t="str">
        <f ca="1">IFERROR(IF(INDEX(INDIRECT("'"&amp;$B$2&amp;"月"&amp;"'!A:AZ"),26,14+4)="","",INDEX(INDIRECT("'"&amp;$B$2&amp;"月"&amp;"'!A:AZ"),26,14+4)),"")</f>
        <v/>
      </c>
      <c r="H112" s="57"/>
    </row>
    <row r="113" spans="1:8" ht="13.5" customHeight="1">
      <c r="A113" s="57">
        <f>IF(DAY(DATE(対象年度,$B$2,24))&lt;&gt;24,"",24)</f>
        <v>24</v>
      </c>
      <c r="B113" s="57" t="str">
        <f>IF(DAY(DATE(対象年度,$B$2,24))&lt;&gt;24,"",CHOOSE(WEEKDAY(DATE(対象年度,$B$2,24),2),"月","火","水","木","金","土","日"))</f>
        <v>土</v>
      </c>
      <c r="C113" s="57" t="str">
        <f ca="1">IFERROR(IF(INDEX(INDIRECT("'"&amp;$B$2&amp;"月"&amp;"'!A:AZ"),27,14+0)="","",INDEX(INDIRECT("'"&amp;$B$2&amp;"月"&amp;"'!A:AZ"),27,14+0)),"")</f>
        <v>新宿</v>
      </c>
      <c r="D113" s="58" t="str">
        <f ca="1">IFERROR(IF(INDEX(INDIRECT("'"&amp;$B$2&amp;"月"&amp;"'!A:AZ"),27,14+1)="","",INDEX(INDIRECT("'"&amp;$B$2&amp;"月"&amp;"'!A:AZ"),27,14+1)),"")</f>
        <v/>
      </c>
      <c r="E113" s="57" t="str">
        <f ca="1">IFERROR(IF(INDEX(INDIRECT("'"&amp;$B$2&amp;"月"&amp;"'!A:AZ"),27,14+2)="","",INDEX(INDIRECT("'"&amp;$B$2&amp;"月"&amp;"'!A:AZ"),27,14+2)),"")</f>
        <v>○</v>
      </c>
      <c r="F113" s="59" t="str">
        <f ca="1">IFERROR(IF(INDEX(INDIRECT("'"&amp;$B$2&amp;"月"&amp;"'!A:AZ"),27,14+3)="","",INDEX(INDIRECT("'"&amp;$B$2&amp;"月"&amp;"'!A:AZ"),27,14+3)),"")</f>
        <v/>
      </c>
      <c r="G113" s="57" t="str">
        <f ca="1">IFERROR(IF(INDEX(INDIRECT("'"&amp;$B$2&amp;"月"&amp;"'!A:AZ"),27,14+4)="","",INDEX(INDIRECT("'"&amp;$B$2&amp;"月"&amp;"'!A:AZ"),27,14+4)),"")</f>
        <v/>
      </c>
      <c r="H113" s="57"/>
    </row>
    <row r="114" spans="1:8" ht="13.5" customHeight="1">
      <c r="A114" s="57">
        <f>IF(DAY(DATE(対象年度,$B$2,25))&lt;&gt;25,"",25)</f>
        <v>25</v>
      </c>
      <c r="B114" s="57" t="str">
        <f>IF(DAY(DATE(対象年度,$B$2,25))&lt;&gt;25,"",CHOOSE(WEEKDAY(DATE(対象年度,$B$2,25),2),"月","火","水","木","金","土","日"))</f>
        <v>日</v>
      </c>
      <c r="C114" s="57" t="str">
        <f ca="1">IFERROR(IF(INDEX(INDIRECT("'"&amp;$B$2&amp;"月"&amp;"'!A:AZ"),28,14+0)="","",INDEX(INDIRECT("'"&amp;$B$2&amp;"月"&amp;"'!A:AZ"),28,14+0)),"")</f>
        <v/>
      </c>
      <c r="D114" s="58" t="str">
        <f ca="1">IFERROR(IF(INDEX(INDIRECT("'"&amp;$B$2&amp;"月"&amp;"'!A:AZ"),28,14+1)="","",INDEX(INDIRECT("'"&amp;$B$2&amp;"月"&amp;"'!A:AZ"),28,14+1)),"")</f>
        <v/>
      </c>
      <c r="E114" s="57" t="str">
        <f ca="1">IFERROR(IF(INDEX(INDIRECT("'"&amp;$B$2&amp;"月"&amp;"'!A:AZ"),28,14+2)="","",INDEX(INDIRECT("'"&amp;$B$2&amp;"月"&amp;"'!A:AZ"),28,14+2)),"")</f>
        <v/>
      </c>
      <c r="F114" s="59" t="str">
        <f ca="1">IFERROR(IF(INDEX(INDIRECT("'"&amp;$B$2&amp;"月"&amp;"'!A:AZ"),28,14+3)="","",INDEX(INDIRECT("'"&amp;$B$2&amp;"月"&amp;"'!A:AZ"),28,14+3)),"")</f>
        <v/>
      </c>
      <c r="G114" s="57" t="str">
        <f ca="1">IFERROR(IF(INDEX(INDIRECT("'"&amp;$B$2&amp;"月"&amp;"'!A:AZ"),28,14+4)="","",INDEX(INDIRECT("'"&amp;$B$2&amp;"月"&amp;"'!A:AZ"),28,14+4)),"")</f>
        <v/>
      </c>
      <c r="H114" s="57"/>
    </row>
    <row r="115" spans="1:8" ht="13.5" customHeight="1">
      <c r="A115" s="57">
        <f>IF(DAY(DATE(対象年度,$B$2,26))&lt;&gt;26,"",26)</f>
        <v>26</v>
      </c>
      <c r="B115" s="57" t="str">
        <f>IF(DAY(DATE(対象年度,$B$2,26))&lt;&gt;26,"",CHOOSE(WEEKDAY(DATE(対象年度,$B$2,26),2),"月","火","水","木","金","土","日"))</f>
        <v>月</v>
      </c>
      <c r="C115" s="57" t="str">
        <f ca="1">IFERROR(IF(INDEX(INDIRECT("'"&amp;$B$2&amp;"月"&amp;"'!A:AZ"),29,14+0)="","",INDEX(INDIRECT("'"&amp;$B$2&amp;"月"&amp;"'!A:AZ"),29,14+0)),"")</f>
        <v>新宿</v>
      </c>
      <c r="D115" s="58" t="str">
        <f ca="1">IFERROR(IF(INDEX(INDIRECT("'"&amp;$B$2&amp;"月"&amp;"'!A:AZ"),29,14+1)="","",INDEX(INDIRECT("'"&amp;$B$2&amp;"月"&amp;"'!A:AZ"),29,14+1)),"")</f>
        <v/>
      </c>
      <c r="E115" s="57" t="str">
        <f ca="1">IFERROR(IF(INDEX(INDIRECT("'"&amp;$B$2&amp;"月"&amp;"'!A:AZ"),29,14+2)="","",INDEX(INDIRECT("'"&amp;$B$2&amp;"月"&amp;"'!A:AZ"),29,14+2)),"")</f>
        <v>○</v>
      </c>
      <c r="F115" s="59" t="str">
        <f ca="1">IFERROR(IF(INDEX(INDIRECT("'"&amp;$B$2&amp;"月"&amp;"'!A:AZ"),29,14+3)="","",INDEX(INDIRECT("'"&amp;$B$2&amp;"月"&amp;"'!A:AZ"),29,14+3)),"")</f>
        <v/>
      </c>
      <c r="G115" s="57" t="str">
        <f ca="1">IFERROR(IF(INDEX(INDIRECT("'"&amp;$B$2&amp;"月"&amp;"'!A:AZ"),29,14+4)="","",INDEX(INDIRECT("'"&amp;$B$2&amp;"月"&amp;"'!A:AZ"),29,14+4)),"")</f>
        <v/>
      </c>
      <c r="H115" s="57"/>
    </row>
    <row r="116" spans="1:8" ht="13.5" customHeight="1">
      <c r="A116" s="57">
        <f>IF(DAY(DATE(対象年度,$B$2,27))&lt;&gt;27,"",27)</f>
        <v>27</v>
      </c>
      <c r="B116" s="57" t="str">
        <f>IF(DAY(DATE(対象年度,$B$2,27))&lt;&gt;27,"",CHOOSE(WEEKDAY(DATE(対象年度,$B$2,27),2),"月","火","水","木","金","土","日"))</f>
        <v>火</v>
      </c>
      <c r="C116" s="57" t="str">
        <f ca="1">IFERROR(IF(INDEX(INDIRECT("'"&amp;$B$2&amp;"月"&amp;"'!A:AZ"),30,14+0)="","",INDEX(INDIRECT("'"&amp;$B$2&amp;"月"&amp;"'!A:AZ"),30,14+0)),"")</f>
        <v>新宿</v>
      </c>
      <c r="D116" s="58" t="str">
        <f ca="1">IFERROR(IF(INDEX(INDIRECT("'"&amp;$B$2&amp;"月"&amp;"'!A:AZ"),30,14+1)="","",INDEX(INDIRECT("'"&amp;$B$2&amp;"月"&amp;"'!A:AZ"),30,14+1)),"")</f>
        <v/>
      </c>
      <c r="E116" s="57" t="str">
        <f ca="1">IFERROR(IF(INDEX(INDIRECT("'"&amp;$B$2&amp;"月"&amp;"'!A:AZ"),30,14+2)="","",INDEX(INDIRECT("'"&amp;$B$2&amp;"月"&amp;"'!A:AZ"),30,14+2)),"")</f>
        <v>○</v>
      </c>
      <c r="F116" s="59" t="str">
        <f ca="1">IFERROR(IF(INDEX(INDIRECT("'"&amp;$B$2&amp;"月"&amp;"'!A:AZ"),30,14+3)="","",INDEX(INDIRECT("'"&amp;$B$2&amp;"月"&amp;"'!A:AZ"),30,14+3)),"")</f>
        <v/>
      </c>
      <c r="G116" s="57" t="str">
        <f ca="1">IFERROR(IF(INDEX(INDIRECT("'"&amp;$B$2&amp;"月"&amp;"'!A:AZ"),30,14+4)="","",INDEX(INDIRECT("'"&amp;$B$2&amp;"月"&amp;"'!A:AZ"),30,14+4)),"")</f>
        <v/>
      </c>
      <c r="H116" s="57"/>
    </row>
    <row r="117" spans="1:8" ht="13.5" customHeight="1">
      <c r="A117" s="57">
        <f>IF(DAY(DATE(対象年度,$B$2,28))&lt;&gt;28,"",28)</f>
        <v>28</v>
      </c>
      <c r="B117" s="57" t="str">
        <f>IF(DAY(DATE(対象年度,$B$2,28))&lt;&gt;28,"",CHOOSE(WEEKDAY(DATE(対象年度,$B$2,28),2),"月","火","水","木","金","土","日"))</f>
        <v>水</v>
      </c>
      <c r="C117" s="57" t="str">
        <f ca="1">IFERROR(IF(INDEX(INDIRECT("'"&amp;$B$2&amp;"月"&amp;"'!A:AZ"),31,14+0)="","",INDEX(INDIRECT("'"&amp;$B$2&amp;"月"&amp;"'!A:AZ"),31,14+0)),"")</f>
        <v>新宿</v>
      </c>
      <c r="D117" s="58" t="str">
        <f ca="1">IFERROR(IF(INDEX(INDIRECT("'"&amp;$B$2&amp;"月"&amp;"'!A:AZ"),31,14+1)="","",INDEX(INDIRECT("'"&amp;$B$2&amp;"月"&amp;"'!A:AZ"),31,14+1)),"")</f>
        <v/>
      </c>
      <c r="E117" s="57" t="str">
        <f ca="1">IFERROR(IF(INDEX(INDIRECT("'"&amp;$B$2&amp;"月"&amp;"'!A:AZ"),31,14+2)="","",INDEX(INDIRECT("'"&amp;$B$2&amp;"月"&amp;"'!A:AZ"),31,14+2)),"")</f>
        <v>○</v>
      </c>
      <c r="F117" s="59" t="str">
        <f ca="1">IFERROR(IF(INDEX(INDIRECT("'"&amp;$B$2&amp;"月"&amp;"'!A:AZ"),31,14+3)="","",INDEX(INDIRECT("'"&amp;$B$2&amp;"月"&amp;"'!A:AZ"),31,14+3)),"")</f>
        <v/>
      </c>
      <c r="G117" s="57" t="str">
        <f ca="1">IFERROR(IF(INDEX(INDIRECT("'"&amp;$B$2&amp;"月"&amp;"'!A:AZ"),31,14+4)="","",INDEX(INDIRECT("'"&amp;$B$2&amp;"月"&amp;"'!A:AZ"),31,14+4)),"")</f>
        <v/>
      </c>
      <c r="H117" s="57"/>
    </row>
    <row r="118" spans="1:8" ht="13.5" customHeight="1">
      <c r="A118" s="57">
        <f>IF(DAY(DATE(対象年度,$B$2,29))&lt;&gt;29,"",29)</f>
        <v>29</v>
      </c>
      <c r="B118" s="57" t="str">
        <f>IF(DAY(DATE(対象年度,$B$2,29))&lt;&gt;29,"",CHOOSE(WEEKDAY(DATE(対象年度,$B$2,29),2),"月","火","水","木","金","土","日"))</f>
        <v>木</v>
      </c>
      <c r="C118" s="57" t="str">
        <f ca="1">IFERROR(IF(INDEX(INDIRECT("'"&amp;$B$2&amp;"月"&amp;"'!A:AZ"),32,14+0)="","",INDEX(INDIRECT("'"&amp;$B$2&amp;"月"&amp;"'!A:AZ"),32,14+0)),"")</f>
        <v>新宿</v>
      </c>
      <c r="D118" s="58" t="str">
        <f ca="1">IFERROR(IF(INDEX(INDIRECT("'"&amp;$B$2&amp;"月"&amp;"'!A:AZ"),32,14+1)="","",INDEX(INDIRECT("'"&amp;$B$2&amp;"月"&amp;"'!A:AZ"),32,14+1)),"")</f>
        <v/>
      </c>
      <c r="E118" s="57" t="str">
        <f ca="1">IFERROR(IF(INDEX(INDIRECT("'"&amp;$B$2&amp;"月"&amp;"'!A:AZ"),32,14+2)="","",INDEX(INDIRECT("'"&amp;$B$2&amp;"月"&amp;"'!A:AZ"),32,14+2)),"")</f>
        <v>○</v>
      </c>
      <c r="F118" s="59" t="str">
        <f ca="1">IFERROR(IF(INDEX(INDIRECT("'"&amp;$B$2&amp;"月"&amp;"'!A:AZ"),32,14+3)="","",INDEX(INDIRECT("'"&amp;$B$2&amp;"月"&amp;"'!A:AZ"),32,14+3)),"")</f>
        <v/>
      </c>
      <c r="G118" s="57" t="str">
        <f ca="1">IFERROR(IF(INDEX(INDIRECT("'"&amp;$B$2&amp;"月"&amp;"'!A:AZ"),32,14+4)="","",INDEX(INDIRECT("'"&amp;$B$2&amp;"月"&amp;"'!A:AZ"),32,14+4)),"")</f>
        <v/>
      </c>
      <c r="H118" s="57"/>
    </row>
    <row r="119" spans="1:8" ht="13.5" customHeight="1">
      <c r="A119" s="57">
        <f>IF(DAY(DATE(対象年度,$B$2,30))&lt;&gt;30,"",30)</f>
        <v>30</v>
      </c>
      <c r="B119" s="57" t="str">
        <f>IF(DAY(DATE(対象年度,$B$2,30))&lt;&gt;30,"",CHOOSE(WEEKDAY(DATE(対象年度,$B$2,30),2),"月","火","水","木","金","土","日"))</f>
        <v>金</v>
      </c>
      <c r="C119" s="57" t="str">
        <f ca="1">IFERROR(IF(INDEX(INDIRECT("'"&amp;$B$2&amp;"月"&amp;"'!A:AZ"),33,14+0)="","",INDEX(INDIRECT("'"&amp;$B$2&amp;"月"&amp;"'!A:AZ"),33,14+0)),"")</f>
        <v>新宿</v>
      </c>
      <c r="D119" s="58" t="str">
        <f ca="1">IFERROR(IF(INDEX(INDIRECT("'"&amp;$B$2&amp;"月"&amp;"'!A:AZ"),33,14+1)="","",INDEX(INDIRECT("'"&amp;$B$2&amp;"月"&amp;"'!A:AZ"),33,14+1)),"")</f>
        <v/>
      </c>
      <c r="E119" s="57" t="str">
        <f ca="1">IFERROR(IF(INDEX(INDIRECT("'"&amp;$B$2&amp;"月"&amp;"'!A:AZ"),33,14+2)="","",INDEX(INDIRECT("'"&amp;$B$2&amp;"月"&amp;"'!A:AZ"),33,14+2)),"")</f>
        <v>○</v>
      </c>
      <c r="F119" s="59" t="str">
        <f ca="1">IFERROR(IF(INDEX(INDIRECT("'"&amp;$B$2&amp;"月"&amp;"'!A:AZ"),33,14+3)="","",INDEX(INDIRECT("'"&amp;$B$2&amp;"月"&amp;"'!A:AZ"),33,14+3)),"")</f>
        <v/>
      </c>
      <c r="G119" s="57" t="str">
        <f ca="1">IFERROR(IF(INDEX(INDIRECT("'"&amp;$B$2&amp;"月"&amp;"'!A:AZ"),33,14+4)="","",INDEX(INDIRECT("'"&amp;$B$2&amp;"月"&amp;"'!A:AZ"),33,14+4)),"")</f>
        <v/>
      </c>
      <c r="H119" s="57"/>
    </row>
    <row r="120" spans="1:8" ht="13.5" customHeight="1">
      <c r="A120" s="57">
        <f>IF(DAY(DATE(対象年度,$B$2,31))&lt;&gt;31,"",31)</f>
        <v>31</v>
      </c>
      <c r="B120" s="57" t="str">
        <f>IF(DAY(DATE(対象年度,$B$2,31))&lt;&gt;31,"",CHOOSE(WEEKDAY(DATE(対象年度,$B$2,31),2),"月","火","水","木","金","土","日"))</f>
        <v>土</v>
      </c>
      <c r="C120" s="57" t="str">
        <f ca="1">IFERROR(IF(INDEX(INDIRECT("'"&amp;$B$2&amp;"月"&amp;"'!A:AZ"),34,14+0)="","",INDEX(INDIRECT("'"&amp;$B$2&amp;"月"&amp;"'!A:AZ"),34,14+0)),"")</f>
        <v>新宿</v>
      </c>
      <c r="D120" s="58" t="str">
        <f ca="1">IFERROR(IF(INDEX(INDIRECT("'"&amp;$B$2&amp;"月"&amp;"'!A:AZ"),34,14+1)="","",INDEX(INDIRECT("'"&amp;$B$2&amp;"月"&amp;"'!A:AZ"),34,14+1)),"")</f>
        <v/>
      </c>
      <c r="E120" s="57" t="str">
        <f ca="1">IFERROR(IF(INDEX(INDIRECT("'"&amp;$B$2&amp;"月"&amp;"'!A:AZ"),34,14+2)="","",INDEX(INDIRECT("'"&amp;$B$2&amp;"月"&amp;"'!A:AZ"),34,14+2)),"")</f>
        <v>○</v>
      </c>
      <c r="F120" s="59" t="str">
        <f ca="1">IFERROR(IF(INDEX(INDIRECT("'"&amp;$B$2&amp;"月"&amp;"'!A:AZ"),34,14+3)="","",INDEX(INDIRECT("'"&amp;$B$2&amp;"月"&amp;"'!A:AZ"),34,14+3)),"")</f>
        <v/>
      </c>
      <c r="G120" s="57" t="str">
        <f ca="1">IFERROR(IF(INDEX(INDIRECT("'"&amp;$B$2&amp;"月"&amp;"'!A:AZ"),34,14+4)="","",INDEX(INDIRECT("'"&amp;$B$2&amp;"月"&amp;"'!A:AZ"),34,14+4)),"")</f>
        <v/>
      </c>
      <c r="H120" s="57"/>
    </row>
    <row r="121" spans="1:8" ht="21.75" customHeight="1">
      <c r="A121" s="111" t="s">
        <v>144</v>
      </c>
      <c r="B121" s="111"/>
      <c r="C121" s="61" t="s">
        <v>113</v>
      </c>
      <c r="D121" s="62">
        <f ca="1">IFERROR(INDEX(INDIRECT("'"&amp;$B$2&amp;"月"&amp;"'!A:AZ"),35,14),0)</f>
        <v>10</v>
      </c>
      <c r="E121" s="63" t="s">
        <v>114</v>
      </c>
      <c r="F121" s="64">
        <f ca="1">IFERROR(INDEX(INDIRECT("'"&amp;$B$2&amp;"月"&amp;"'!A:AZ"),36,14),0)</f>
        <v>0</v>
      </c>
      <c r="G121" s="61" t="s">
        <v>115</v>
      </c>
      <c r="H121" s="62">
        <f ca="1">IFERROR(INDEX(INDIRECT("'"&amp;$B$2&amp;"月"&amp;"'!A:AZ"),38,14),0)</f>
        <v>0</v>
      </c>
    </row>
    <row r="122" spans="1:8" ht="24" customHeight="1">
      <c r="A122" s="112"/>
      <c r="B122" s="112"/>
      <c r="C122" s="65" t="s">
        <v>122</v>
      </c>
      <c r="D122" s="66">
        <f ca="1">IFERROR(INDEX(INDIRECT("'"&amp;$B$2&amp;"月"&amp;"'!A:AZ"),37,14),0)</f>
        <v>10</v>
      </c>
      <c r="E122" s="67" t="s">
        <v>105</v>
      </c>
      <c r="F122" s="68">
        <f ca="1">IFERROR(INDEX(INDIRECT("'"&amp;$B$2&amp;"月"&amp;"'!A:AZ"),39,14),0)</f>
        <v>0</v>
      </c>
      <c r="G122" s="69" t="s">
        <v>106</v>
      </c>
      <c r="H122" s="70">
        <f ca="1">IFERROR(INDEX(INDIRECT("'"&amp;$B$2&amp;"月"&amp;"'!A:AZ"),40,14),0)</f>
        <v>0</v>
      </c>
    </row>
    <row r="124" spans="1:8" ht="27.75" customHeight="1">
      <c r="A124" s="90" t="s">
        <v>133</v>
      </c>
      <c r="B124" s="90"/>
      <c r="C124" s="90"/>
      <c r="D124" s="90"/>
      <c r="E124" s="90"/>
      <c r="F124" s="90"/>
      <c r="G124" s="90"/>
      <c r="H124" s="90"/>
    </row>
    <row r="125" spans="1:8" ht="18" customHeight="1">
      <c r="A125" s="113" t="s">
        <v>134</v>
      </c>
      <c r="B125" s="113"/>
      <c r="C125" s="113"/>
      <c r="D125" s="113"/>
      <c r="E125" s="113"/>
      <c r="F125" s="113"/>
      <c r="G125" s="113"/>
      <c r="H125" s="113"/>
    </row>
    <row r="126" spans="1:8" ht="27.75" customHeight="1">
      <c r="A126" s="49" t="s">
        <v>135</v>
      </c>
      <c r="B126" s="114" t="str">
        <f>対象年度&amp;"年 "&amp;$B$2&amp;"月"</f>
        <v>2026年 1月</v>
      </c>
      <c r="C126" s="114"/>
      <c r="D126" s="49" t="s">
        <v>136</v>
      </c>
      <c r="E126" s="115" t="str">
        <f>IFERROR(従業員マスタ!$C$7,"")</f>
        <v>鈴木 二郎</v>
      </c>
      <c r="F126" s="115"/>
      <c r="G126" s="115"/>
      <c r="H126" s="115"/>
    </row>
    <row r="127" spans="1:8" ht="19.5" customHeight="1">
      <c r="A127" s="73" t="s">
        <v>147</v>
      </c>
      <c r="B127" s="53" t="s">
        <v>148</v>
      </c>
      <c r="C127" s="119" t="s">
        <v>141</v>
      </c>
      <c r="D127" s="119"/>
      <c r="E127" s="119" t="s">
        <v>142</v>
      </c>
      <c r="F127" s="119"/>
      <c r="G127" s="116" t="s">
        <v>143</v>
      </c>
      <c r="H127" s="116"/>
    </row>
    <row r="128" spans="1:8" ht="43.5" customHeight="1">
      <c r="A128" s="74"/>
      <c r="B128" s="54"/>
      <c r="C128" s="110"/>
      <c r="D128" s="110"/>
      <c r="E128" s="110"/>
      <c r="F128" s="110"/>
      <c r="G128" s="110"/>
      <c r="H128" s="110"/>
    </row>
    <row r="129" spans="1:8" ht="19.5" customHeight="1">
      <c r="A129" s="55" t="s">
        <v>108</v>
      </c>
      <c r="B129" s="55" t="s">
        <v>109</v>
      </c>
      <c r="C129" s="55" t="s">
        <v>111</v>
      </c>
      <c r="D129" s="56" t="s">
        <v>112</v>
      </c>
      <c r="E129" s="55" t="s">
        <v>113</v>
      </c>
      <c r="F129" s="55" t="s">
        <v>114</v>
      </c>
      <c r="G129" s="55" t="s">
        <v>115</v>
      </c>
      <c r="H129" s="55" t="s">
        <v>75</v>
      </c>
    </row>
    <row r="130" spans="1:8" ht="13.5" customHeight="1">
      <c r="A130" s="57">
        <f>IF(DAY(DATE(対象年度,$B$2,1))&lt;&gt;1,"",1)</f>
        <v>1</v>
      </c>
      <c r="B130" s="57" t="str">
        <f>IF(DAY(DATE(対象年度,$B$2,1))&lt;&gt;1,"",CHOOSE(WEEKDAY(DATE(対象年度,$B$2,1),2),"月","火","水","木","金","土","日"))</f>
        <v>木</v>
      </c>
      <c r="C130" s="57" t="str">
        <f ca="1">IFERROR(IF(INDEX(INDIRECT("'"&amp;$B$2&amp;"月"&amp;"'!A:AZ"),4,19+0)="","",INDEX(INDIRECT("'"&amp;$B$2&amp;"月"&amp;"'!A:AZ"),4,19+0)),"")</f>
        <v/>
      </c>
      <c r="D130" s="58" t="str">
        <f ca="1">IFERROR(IF(INDEX(INDIRECT("'"&amp;$B$2&amp;"月"&amp;"'!A:AZ"),4,19+1)="","",INDEX(INDIRECT("'"&amp;$B$2&amp;"月"&amp;"'!A:AZ"),4,19+1)),"")</f>
        <v/>
      </c>
      <c r="E130" s="57" t="str">
        <f ca="1">IFERROR(IF(INDEX(INDIRECT("'"&amp;$B$2&amp;"月"&amp;"'!A:AZ"),4,19+2)="","",INDEX(INDIRECT("'"&amp;$B$2&amp;"月"&amp;"'!A:AZ"),4,19+2)),"")</f>
        <v/>
      </c>
      <c r="F130" s="59" t="str">
        <f ca="1">IFERROR(IF(INDEX(INDIRECT("'"&amp;$B$2&amp;"月"&amp;"'!A:AZ"),4,19+3)="","",INDEX(INDIRECT("'"&amp;$B$2&amp;"月"&amp;"'!A:AZ"),4,19+3)),"")</f>
        <v/>
      </c>
      <c r="G130" s="57" t="str">
        <f ca="1">IFERROR(IF(INDEX(INDIRECT("'"&amp;$B$2&amp;"月"&amp;"'!A:AZ"),4,19+4)="","",INDEX(INDIRECT("'"&amp;$B$2&amp;"月"&amp;"'!A:AZ"),4,19+4)),"")</f>
        <v/>
      </c>
      <c r="H130" s="57"/>
    </row>
    <row r="131" spans="1:8" ht="13.5" customHeight="1">
      <c r="A131" s="57">
        <f>IF(DAY(DATE(対象年度,$B$2,2))&lt;&gt;2,"",2)</f>
        <v>2</v>
      </c>
      <c r="B131" s="57" t="str">
        <f>IF(DAY(DATE(対象年度,$B$2,2))&lt;&gt;2,"",CHOOSE(WEEKDAY(DATE(対象年度,$B$2,2),2),"月","火","水","木","金","土","日"))</f>
        <v>金</v>
      </c>
      <c r="C131" s="57" t="str">
        <f ca="1">IFERROR(IF(INDEX(INDIRECT("'"&amp;$B$2&amp;"月"&amp;"'!A:AZ"),5,19+0)="","",INDEX(INDIRECT("'"&amp;$B$2&amp;"月"&amp;"'!A:AZ"),5,19+0)),"")</f>
        <v/>
      </c>
      <c r="D131" s="58" t="str">
        <f ca="1">IFERROR(IF(INDEX(INDIRECT("'"&amp;$B$2&amp;"月"&amp;"'!A:AZ"),5,19+1)="","",INDEX(INDIRECT("'"&amp;$B$2&amp;"月"&amp;"'!A:AZ"),5,19+1)),"")</f>
        <v/>
      </c>
      <c r="E131" s="57" t="str">
        <f ca="1">IFERROR(IF(INDEX(INDIRECT("'"&amp;$B$2&amp;"月"&amp;"'!A:AZ"),5,19+2)="","",INDEX(INDIRECT("'"&amp;$B$2&amp;"月"&amp;"'!A:AZ"),5,19+2)),"")</f>
        <v/>
      </c>
      <c r="F131" s="59" t="str">
        <f ca="1">IFERROR(IF(INDEX(INDIRECT("'"&amp;$B$2&amp;"月"&amp;"'!A:AZ"),5,19+3)="","",INDEX(INDIRECT("'"&amp;$B$2&amp;"月"&amp;"'!A:AZ"),5,19+3)),"")</f>
        <v/>
      </c>
      <c r="G131" s="57" t="str">
        <f ca="1">IFERROR(IF(INDEX(INDIRECT("'"&amp;$B$2&amp;"月"&amp;"'!A:AZ"),5,19+4)="","",INDEX(INDIRECT("'"&amp;$B$2&amp;"月"&amp;"'!A:AZ"),5,19+4)),"")</f>
        <v/>
      </c>
      <c r="H131" s="57"/>
    </row>
    <row r="132" spans="1:8" ht="13.5" customHeight="1">
      <c r="A132" s="57">
        <f>IF(DAY(DATE(対象年度,$B$2,3))&lt;&gt;3,"",3)</f>
        <v>3</v>
      </c>
      <c r="B132" s="57" t="str">
        <f>IF(DAY(DATE(対象年度,$B$2,3))&lt;&gt;3,"",CHOOSE(WEEKDAY(DATE(対象年度,$B$2,3),2),"月","火","水","木","金","土","日"))</f>
        <v>土</v>
      </c>
      <c r="C132" s="57" t="str">
        <f ca="1">IFERROR(IF(INDEX(INDIRECT("'"&amp;$B$2&amp;"月"&amp;"'!A:AZ"),6,19+0)="","",INDEX(INDIRECT("'"&amp;$B$2&amp;"月"&amp;"'!A:AZ"),6,19+0)),"")</f>
        <v/>
      </c>
      <c r="D132" s="58" t="str">
        <f ca="1">IFERROR(IF(INDEX(INDIRECT("'"&amp;$B$2&amp;"月"&amp;"'!A:AZ"),6,19+1)="","",INDEX(INDIRECT("'"&amp;$B$2&amp;"月"&amp;"'!A:AZ"),6,19+1)),"")</f>
        <v/>
      </c>
      <c r="E132" s="57" t="str">
        <f ca="1">IFERROR(IF(INDEX(INDIRECT("'"&amp;$B$2&amp;"月"&amp;"'!A:AZ"),6,19+2)="","",INDEX(INDIRECT("'"&amp;$B$2&amp;"月"&amp;"'!A:AZ"),6,19+2)),"")</f>
        <v/>
      </c>
      <c r="F132" s="59" t="str">
        <f ca="1">IFERROR(IF(INDEX(INDIRECT("'"&amp;$B$2&amp;"月"&amp;"'!A:AZ"),6,19+3)="","",INDEX(INDIRECT("'"&amp;$B$2&amp;"月"&amp;"'!A:AZ"),6,19+3)),"")</f>
        <v/>
      </c>
      <c r="G132" s="57" t="str">
        <f ca="1">IFERROR(IF(INDEX(INDIRECT("'"&amp;$B$2&amp;"月"&amp;"'!A:AZ"),6,19+4)="","",INDEX(INDIRECT("'"&amp;$B$2&amp;"月"&amp;"'!A:AZ"),6,19+4)),"")</f>
        <v/>
      </c>
      <c r="H132" s="57"/>
    </row>
    <row r="133" spans="1:8" ht="13.5" customHeight="1">
      <c r="A133" s="57">
        <f>IF(DAY(DATE(対象年度,$B$2,4))&lt;&gt;4,"",4)</f>
        <v>4</v>
      </c>
      <c r="B133" s="57" t="str">
        <f>IF(DAY(DATE(対象年度,$B$2,4))&lt;&gt;4,"",CHOOSE(WEEKDAY(DATE(対象年度,$B$2,4),2),"月","火","水","木","金","土","日"))</f>
        <v>日</v>
      </c>
      <c r="C133" s="57" t="str">
        <f ca="1">IFERROR(IF(INDEX(INDIRECT("'"&amp;$B$2&amp;"月"&amp;"'!A:AZ"),7,19+0)="","",INDEX(INDIRECT("'"&amp;$B$2&amp;"月"&amp;"'!A:AZ"),7,19+0)),"")</f>
        <v/>
      </c>
      <c r="D133" s="58" t="str">
        <f ca="1">IFERROR(IF(INDEX(INDIRECT("'"&amp;$B$2&amp;"月"&amp;"'!A:AZ"),7,19+1)="","",INDEX(INDIRECT("'"&amp;$B$2&amp;"月"&amp;"'!A:AZ"),7,19+1)),"")</f>
        <v/>
      </c>
      <c r="E133" s="57" t="str">
        <f ca="1">IFERROR(IF(INDEX(INDIRECT("'"&amp;$B$2&amp;"月"&amp;"'!A:AZ"),7,19+2)="","",INDEX(INDIRECT("'"&amp;$B$2&amp;"月"&amp;"'!A:AZ"),7,19+2)),"")</f>
        <v/>
      </c>
      <c r="F133" s="59" t="str">
        <f ca="1">IFERROR(IF(INDEX(INDIRECT("'"&amp;$B$2&amp;"月"&amp;"'!A:AZ"),7,19+3)="","",INDEX(INDIRECT("'"&amp;$B$2&amp;"月"&amp;"'!A:AZ"),7,19+3)),"")</f>
        <v/>
      </c>
      <c r="G133" s="57" t="str">
        <f ca="1">IFERROR(IF(INDEX(INDIRECT("'"&amp;$B$2&amp;"月"&amp;"'!A:AZ"),7,19+4)="","",INDEX(INDIRECT("'"&amp;$B$2&amp;"月"&amp;"'!A:AZ"),7,19+4)),"")</f>
        <v/>
      </c>
      <c r="H133" s="57"/>
    </row>
    <row r="134" spans="1:8" ht="13.5" customHeight="1">
      <c r="A134" s="57">
        <f>IF(DAY(DATE(対象年度,$B$2,5))&lt;&gt;5,"",5)</f>
        <v>5</v>
      </c>
      <c r="B134" s="57" t="str">
        <f>IF(DAY(DATE(対象年度,$B$2,5))&lt;&gt;5,"",CHOOSE(WEEKDAY(DATE(対象年度,$B$2,5),2),"月","火","水","木","金","土","日"))</f>
        <v>月</v>
      </c>
      <c r="C134" s="57" t="str">
        <f ca="1">IFERROR(IF(INDEX(INDIRECT("'"&amp;$B$2&amp;"月"&amp;"'!A:AZ"),8,19+0)="","",INDEX(INDIRECT("'"&amp;$B$2&amp;"月"&amp;"'!A:AZ"),8,19+0)),"")</f>
        <v/>
      </c>
      <c r="D134" s="58" t="str">
        <f ca="1">IFERROR(IF(INDEX(INDIRECT("'"&amp;$B$2&amp;"月"&amp;"'!A:AZ"),8,19+1)="","",INDEX(INDIRECT("'"&amp;$B$2&amp;"月"&amp;"'!A:AZ"),8,19+1)),"")</f>
        <v/>
      </c>
      <c r="E134" s="57" t="str">
        <f ca="1">IFERROR(IF(INDEX(INDIRECT("'"&amp;$B$2&amp;"月"&amp;"'!A:AZ"),8,19+2)="","",INDEX(INDIRECT("'"&amp;$B$2&amp;"月"&amp;"'!A:AZ"),8,19+2)),"")</f>
        <v/>
      </c>
      <c r="F134" s="59" t="str">
        <f ca="1">IFERROR(IF(INDEX(INDIRECT("'"&amp;$B$2&amp;"月"&amp;"'!A:AZ"),8,19+3)="","",INDEX(INDIRECT("'"&amp;$B$2&amp;"月"&amp;"'!A:AZ"),8,19+3)),"")</f>
        <v/>
      </c>
      <c r="G134" s="57" t="str">
        <f ca="1">IFERROR(IF(INDEX(INDIRECT("'"&amp;$B$2&amp;"月"&amp;"'!A:AZ"),8,19+4)="","",INDEX(INDIRECT("'"&amp;$B$2&amp;"月"&amp;"'!A:AZ"),8,19+4)),"")</f>
        <v/>
      </c>
      <c r="H134" s="57"/>
    </row>
    <row r="135" spans="1:8" ht="13.5" customHeight="1">
      <c r="A135" s="57">
        <f>IF(DAY(DATE(対象年度,$B$2,6))&lt;&gt;6,"",6)</f>
        <v>6</v>
      </c>
      <c r="B135" s="57" t="str">
        <f>IF(DAY(DATE(対象年度,$B$2,6))&lt;&gt;6,"",CHOOSE(WEEKDAY(DATE(対象年度,$B$2,6),2),"月","火","水","木","金","土","日"))</f>
        <v>火</v>
      </c>
      <c r="C135" s="57" t="str">
        <f ca="1">IFERROR(IF(INDEX(INDIRECT("'"&amp;$B$2&amp;"月"&amp;"'!A:AZ"),9,19+0)="","",INDEX(INDIRECT("'"&amp;$B$2&amp;"月"&amp;"'!A:AZ"),9,19+0)),"")</f>
        <v/>
      </c>
      <c r="D135" s="58" t="str">
        <f ca="1">IFERROR(IF(INDEX(INDIRECT("'"&amp;$B$2&amp;"月"&amp;"'!A:AZ"),9,19+1)="","",INDEX(INDIRECT("'"&amp;$B$2&amp;"月"&amp;"'!A:AZ"),9,19+1)),"")</f>
        <v/>
      </c>
      <c r="E135" s="57" t="str">
        <f ca="1">IFERROR(IF(INDEX(INDIRECT("'"&amp;$B$2&amp;"月"&amp;"'!A:AZ"),9,19+2)="","",INDEX(INDIRECT("'"&amp;$B$2&amp;"月"&amp;"'!A:AZ"),9,19+2)),"")</f>
        <v/>
      </c>
      <c r="F135" s="59" t="str">
        <f ca="1">IFERROR(IF(INDEX(INDIRECT("'"&amp;$B$2&amp;"月"&amp;"'!A:AZ"),9,19+3)="","",INDEX(INDIRECT("'"&amp;$B$2&amp;"月"&amp;"'!A:AZ"),9,19+3)),"")</f>
        <v/>
      </c>
      <c r="G135" s="57" t="str">
        <f ca="1">IFERROR(IF(INDEX(INDIRECT("'"&amp;$B$2&amp;"月"&amp;"'!A:AZ"),9,19+4)="","",INDEX(INDIRECT("'"&amp;$B$2&amp;"月"&amp;"'!A:AZ"),9,19+4)),"")</f>
        <v/>
      </c>
      <c r="H135" s="57"/>
    </row>
    <row r="136" spans="1:8" ht="13.5" customHeight="1">
      <c r="A136" s="57">
        <f>IF(DAY(DATE(対象年度,$B$2,7))&lt;&gt;7,"",7)</f>
        <v>7</v>
      </c>
      <c r="B136" s="57" t="str">
        <f>IF(DAY(DATE(対象年度,$B$2,7))&lt;&gt;7,"",CHOOSE(WEEKDAY(DATE(対象年度,$B$2,7),2),"月","火","水","木","金","土","日"))</f>
        <v>水</v>
      </c>
      <c r="C136" s="57" t="str">
        <f ca="1">IFERROR(IF(INDEX(INDIRECT("'"&amp;$B$2&amp;"月"&amp;"'!A:AZ"),10,19+0)="","",INDEX(INDIRECT("'"&amp;$B$2&amp;"月"&amp;"'!A:AZ"),10,19+0)),"")</f>
        <v/>
      </c>
      <c r="D136" s="58" t="str">
        <f ca="1">IFERROR(IF(INDEX(INDIRECT("'"&amp;$B$2&amp;"月"&amp;"'!A:AZ"),10,19+1)="","",INDEX(INDIRECT("'"&amp;$B$2&amp;"月"&amp;"'!A:AZ"),10,19+1)),"")</f>
        <v/>
      </c>
      <c r="E136" s="57" t="str">
        <f ca="1">IFERROR(IF(INDEX(INDIRECT("'"&amp;$B$2&amp;"月"&amp;"'!A:AZ"),10,19+2)="","",INDEX(INDIRECT("'"&amp;$B$2&amp;"月"&amp;"'!A:AZ"),10,19+2)),"")</f>
        <v/>
      </c>
      <c r="F136" s="59" t="str">
        <f ca="1">IFERROR(IF(INDEX(INDIRECT("'"&amp;$B$2&amp;"月"&amp;"'!A:AZ"),10,19+3)="","",INDEX(INDIRECT("'"&amp;$B$2&amp;"月"&amp;"'!A:AZ"),10,19+3)),"")</f>
        <v/>
      </c>
      <c r="G136" s="57" t="str">
        <f ca="1">IFERROR(IF(INDEX(INDIRECT("'"&amp;$B$2&amp;"月"&amp;"'!A:AZ"),10,19+4)="","",INDEX(INDIRECT("'"&amp;$B$2&amp;"月"&amp;"'!A:AZ"),10,19+4)),"")</f>
        <v/>
      </c>
      <c r="H136" s="57"/>
    </row>
    <row r="137" spans="1:8" ht="13.5" customHeight="1">
      <c r="A137" s="57">
        <f>IF(DAY(DATE(対象年度,$B$2,8))&lt;&gt;8,"",8)</f>
        <v>8</v>
      </c>
      <c r="B137" s="57" t="str">
        <f>IF(DAY(DATE(対象年度,$B$2,8))&lt;&gt;8,"",CHOOSE(WEEKDAY(DATE(対象年度,$B$2,8),2),"月","火","水","木","金","土","日"))</f>
        <v>木</v>
      </c>
      <c r="C137" s="57" t="str">
        <f ca="1">IFERROR(IF(INDEX(INDIRECT("'"&amp;$B$2&amp;"月"&amp;"'!A:AZ"),11,19+0)="","",INDEX(INDIRECT("'"&amp;$B$2&amp;"月"&amp;"'!A:AZ"),11,19+0)),"")</f>
        <v/>
      </c>
      <c r="D137" s="58" t="str">
        <f ca="1">IFERROR(IF(INDEX(INDIRECT("'"&amp;$B$2&amp;"月"&amp;"'!A:AZ"),11,19+1)="","",INDEX(INDIRECT("'"&amp;$B$2&amp;"月"&amp;"'!A:AZ"),11,19+1)),"")</f>
        <v/>
      </c>
      <c r="E137" s="57" t="str">
        <f ca="1">IFERROR(IF(INDEX(INDIRECT("'"&amp;$B$2&amp;"月"&amp;"'!A:AZ"),11,19+2)="","",INDEX(INDIRECT("'"&amp;$B$2&amp;"月"&amp;"'!A:AZ"),11,19+2)),"")</f>
        <v/>
      </c>
      <c r="F137" s="59" t="str">
        <f ca="1">IFERROR(IF(INDEX(INDIRECT("'"&amp;$B$2&amp;"月"&amp;"'!A:AZ"),11,19+3)="","",INDEX(INDIRECT("'"&amp;$B$2&amp;"月"&amp;"'!A:AZ"),11,19+3)),"")</f>
        <v/>
      </c>
      <c r="G137" s="57" t="str">
        <f ca="1">IFERROR(IF(INDEX(INDIRECT("'"&amp;$B$2&amp;"月"&amp;"'!A:AZ"),11,19+4)="","",INDEX(INDIRECT("'"&amp;$B$2&amp;"月"&amp;"'!A:AZ"),11,19+4)),"")</f>
        <v/>
      </c>
      <c r="H137" s="57"/>
    </row>
    <row r="138" spans="1:8" ht="13.5" customHeight="1">
      <c r="A138" s="57">
        <f>IF(DAY(DATE(対象年度,$B$2,9))&lt;&gt;9,"",9)</f>
        <v>9</v>
      </c>
      <c r="B138" s="57" t="str">
        <f>IF(DAY(DATE(対象年度,$B$2,9))&lt;&gt;9,"",CHOOSE(WEEKDAY(DATE(対象年度,$B$2,9),2),"月","火","水","木","金","土","日"))</f>
        <v>金</v>
      </c>
      <c r="C138" s="57" t="str">
        <f ca="1">IFERROR(IF(INDEX(INDIRECT("'"&amp;$B$2&amp;"月"&amp;"'!A:AZ"),12,19+0)="","",INDEX(INDIRECT("'"&amp;$B$2&amp;"月"&amp;"'!A:AZ"),12,19+0)),"")</f>
        <v/>
      </c>
      <c r="D138" s="58" t="str">
        <f ca="1">IFERROR(IF(INDEX(INDIRECT("'"&amp;$B$2&amp;"月"&amp;"'!A:AZ"),12,19+1)="","",INDEX(INDIRECT("'"&amp;$B$2&amp;"月"&amp;"'!A:AZ"),12,19+1)),"")</f>
        <v/>
      </c>
      <c r="E138" s="57" t="str">
        <f ca="1">IFERROR(IF(INDEX(INDIRECT("'"&amp;$B$2&amp;"月"&amp;"'!A:AZ"),12,19+2)="","",INDEX(INDIRECT("'"&amp;$B$2&amp;"月"&amp;"'!A:AZ"),12,19+2)),"")</f>
        <v/>
      </c>
      <c r="F138" s="59" t="str">
        <f ca="1">IFERROR(IF(INDEX(INDIRECT("'"&amp;$B$2&amp;"月"&amp;"'!A:AZ"),12,19+3)="","",INDEX(INDIRECT("'"&amp;$B$2&amp;"月"&amp;"'!A:AZ"),12,19+3)),"")</f>
        <v/>
      </c>
      <c r="G138" s="57" t="str">
        <f ca="1">IFERROR(IF(INDEX(INDIRECT("'"&amp;$B$2&amp;"月"&amp;"'!A:AZ"),12,19+4)="","",INDEX(INDIRECT("'"&amp;$B$2&amp;"月"&amp;"'!A:AZ"),12,19+4)),"")</f>
        <v/>
      </c>
      <c r="H138" s="57"/>
    </row>
    <row r="139" spans="1:8" ht="13.5" customHeight="1">
      <c r="A139" s="57">
        <f>IF(DAY(DATE(対象年度,$B$2,10))&lt;&gt;10,"",10)</f>
        <v>10</v>
      </c>
      <c r="B139" s="57" t="str">
        <f>IF(DAY(DATE(対象年度,$B$2,10))&lt;&gt;10,"",CHOOSE(WEEKDAY(DATE(対象年度,$B$2,10),2),"月","火","水","木","金","土","日"))</f>
        <v>土</v>
      </c>
      <c r="C139" s="57" t="str">
        <f ca="1">IFERROR(IF(INDEX(INDIRECT("'"&amp;$B$2&amp;"月"&amp;"'!A:AZ"),13,19+0)="","",INDEX(INDIRECT("'"&amp;$B$2&amp;"月"&amp;"'!A:AZ"),13,19+0)),"")</f>
        <v/>
      </c>
      <c r="D139" s="58" t="str">
        <f ca="1">IFERROR(IF(INDEX(INDIRECT("'"&amp;$B$2&amp;"月"&amp;"'!A:AZ"),13,19+1)="","",INDEX(INDIRECT("'"&amp;$B$2&amp;"月"&amp;"'!A:AZ"),13,19+1)),"")</f>
        <v/>
      </c>
      <c r="E139" s="57" t="str">
        <f ca="1">IFERROR(IF(INDEX(INDIRECT("'"&amp;$B$2&amp;"月"&amp;"'!A:AZ"),13,19+2)="","",INDEX(INDIRECT("'"&amp;$B$2&amp;"月"&amp;"'!A:AZ"),13,19+2)),"")</f>
        <v/>
      </c>
      <c r="F139" s="59" t="str">
        <f ca="1">IFERROR(IF(INDEX(INDIRECT("'"&amp;$B$2&amp;"月"&amp;"'!A:AZ"),13,19+3)="","",INDEX(INDIRECT("'"&amp;$B$2&amp;"月"&amp;"'!A:AZ"),13,19+3)),"")</f>
        <v/>
      </c>
      <c r="G139" s="57" t="str">
        <f ca="1">IFERROR(IF(INDEX(INDIRECT("'"&amp;$B$2&amp;"月"&amp;"'!A:AZ"),13,19+4)="","",INDEX(INDIRECT("'"&amp;$B$2&amp;"月"&amp;"'!A:AZ"),13,19+4)),"")</f>
        <v/>
      </c>
      <c r="H139" s="57"/>
    </row>
    <row r="140" spans="1:8" ht="13.5" customHeight="1">
      <c r="A140" s="57">
        <f>IF(DAY(DATE(対象年度,$B$2,11))&lt;&gt;11,"",11)</f>
        <v>11</v>
      </c>
      <c r="B140" s="57" t="str">
        <f>IF(DAY(DATE(対象年度,$B$2,11))&lt;&gt;11,"",CHOOSE(WEEKDAY(DATE(対象年度,$B$2,11),2),"月","火","水","木","金","土","日"))</f>
        <v>日</v>
      </c>
      <c r="C140" s="57" t="str">
        <f ca="1">IFERROR(IF(INDEX(INDIRECT("'"&amp;$B$2&amp;"月"&amp;"'!A:AZ"),14,19+0)="","",INDEX(INDIRECT("'"&amp;$B$2&amp;"月"&amp;"'!A:AZ"),14,19+0)),"")</f>
        <v/>
      </c>
      <c r="D140" s="58" t="str">
        <f ca="1">IFERROR(IF(INDEX(INDIRECT("'"&amp;$B$2&amp;"月"&amp;"'!A:AZ"),14,19+1)="","",INDEX(INDIRECT("'"&amp;$B$2&amp;"月"&amp;"'!A:AZ"),14,19+1)),"")</f>
        <v/>
      </c>
      <c r="E140" s="57" t="str">
        <f ca="1">IFERROR(IF(INDEX(INDIRECT("'"&amp;$B$2&amp;"月"&amp;"'!A:AZ"),14,19+2)="","",INDEX(INDIRECT("'"&amp;$B$2&amp;"月"&amp;"'!A:AZ"),14,19+2)),"")</f>
        <v/>
      </c>
      <c r="F140" s="59" t="str">
        <f ca="1">IFERROR(IF(INDEX(INDIRECT("'"&amp;$B$2&amp;"月"&amp;"'!A:AZ"),14,19+3)="","",INDEX(INDIRECT("'"&amp;$B$2&amp;"月"&amp;"'!A:AZ"),14,19+3)),"")</f>
        <v/>
      </c>
      <c r="G140" s="57" t="str">
        <f ca="1">IFERROR(IF(INDEX(INDIRECT("'"&amp;$B$2&amp;"月"&amp;"'!A:AZ"),14,19+4)="","",INDEX(INDIRECT("'"&amp;$B$2&amp;"月"&amp;"'!A:AZ"),14,19+4)),"")</f>
        <v/>
      </c>
      <c r="H140" s="57"/>
    </row>
    <row r="141" spans="1:8" ht="13.5" customHeight="1">
      <c r="A141" s="57">
        <f>IF(DAY(DATE(対象年度,$B$2,12))&lt;&gt;12,"",12)</f>
        <v>12</v>
      </c>
      <c r="B141" s="57" t="str">
        <f>IF(DAY(DATE(対象年度,$B$2,12))&lt;&gt;12,"",CHOOSE(WEEKDAY(DATE(対象年度,$B$2,12),2),"月","火","水","木","金","土","日"))</f>
        <v>月</v>
      </c>
      <c r="C141" s="57" t="str">
        <f ca="1">IFERROR(IF(INDEX(INDIRECT("'"&amp;$B$2&amp;"月"&amp;"'!A:AZ"),15,19+0)="","",INDEX(INDIRECT("'"&amp;$B$2&amp;"月"&amp;"'!A:AZ"),15,19+0)),"")</f>
        <v/>
      </c>
      <c r="D141" s="58" t="str">
        <f ca="1">IFERROR(IF(INDEX(INDIRECT("'"&amp;$B$2&amp;"月"&amp;"'!A:AZ"),15,19+1)="","",INDEX(INDIRECT("'"&amp;$B$2&amp;"月"&amp;"'!A:AZ"),15,19+1)),"")</f>
        <v/>
      </c>
      <c r="E141" s="57" t="str">
        <f ca="1">IFERROR(IF(INDEX(INDIRECT("'"&amp;$B$2&amp;"月"&amp;"'!A:AZ"),15,19+2)="","",INDEX(INDIRECT("'"&amp;$B$2&amp;"月"&amp;"'!A:AZ"),15,19+2)),"")</f>
        <v/>
      </c>
      <c r="F141" s="59" t="str">
        <f ca="1">IFERROR(IF(INDEX(INDIRECT("'"&amp;$B$2&amp;"月"&amp;"'!A:AZ"),15,19+3)="","",INDEX(INDIRECT("'"&amp;$B$2&amp;"月"&amp;"'!A:AZ"),15,19+3)),"")</f>
        <v/>
      </c>
      <c r="G141" s="57" t="str">
        <f ca="1">IFERROR(IF(INDEX(INDIRECT("'"&amp;$B$2&amp;"月"&amp;"'!A:AZ"),15,19+4)="","",INDEX(INDIRECT("'"&amp;$B$2&amp;"月"&amp;"'!A:AZ"),15,19+4)),"")</f>
        <v/>
      </c>
      <c r="H141" s="57"/>
    </row>
    <row r="142" spans="1:8" ht="13.5" customHeight="1">
      <c r="A142" s="57">
        <f>IF(DAY(DATE(対象年度,$B$2,13))&lt;&gt;13,"",13)</f>
        <v>13</v>
      </c>
      <c r="B142" s="57" t="str">
        <f>IF(DAY(DATE(対象年度,$B$2,13))&lt;&gt;13,"",CHOOSE(WEEKDAY(DATE(対象年度,$B$2,13),2),"月","火","水","木","金","土","日"))</f>
        <v>火</v>
      </c>
      <c r="C142" s="57" t="str">
        <f ca="1">IFERROR(IF(INDEX(INDIRECT("'"&amp;$B$2&amp;"月"&amp;"'!A:AZ"),16,19+0)="","",INDEX(INDIRECT("'"&amp;$B$2&amp;"月"&amp;"'!A:AZ"),16,19+0)),"")</f>
        <v/>
      </c>
      <c r="D142" s="58" t="str">
        <f ca="1">IFERROR(IF(INDEX(INDIRECT("'"&amp;$B$2&amp;"月"&amp;"'!A:AZ"),16,19+1)="","",INDEX(INDIRECT("'"&amp;$B$2&amp;"月"&amp;"'!A:AZ"),16,19+1)),"")</f>
        <v/>
      </c>
      <c r="E142" s="57" t="str">
        <f ca="1">IFERROR(IF(INDEX(INDIRECT("'"&amp;$B$2&amp;"月"&amp;"'!A:AZ"),16,19+2)="","",INDEX(INDIRECT("'"&amp;$B$2&amp;"月"&amp;"'!A:AZ"),16,19+2)),"")</f>
        <v/>
      </c>
      <c r="F142" s="59" t="str">
        <f ca="1">IFERROR(IF(INDEX(INDIRECT("'"&amp;$B$2&amp;"月"&amp;"'!A:AZ"),16,19+3)="","",INDEX(INDIRECT("'"&amp;$B$2&amp;"月"&amp;"'!A:AZ"),16,19+3)),"")</f>
        <v/>
      </c>
      <c r="G142" s="57" t="str">
        <f ca="1">IFERROR(IF(INDEX(INDIRECT("'"&amp;$B$2&amp;"月"&amp;"'!A:AZ"),16,19+4)="","",INDEX(INDIRECT("'"&amp;$B$2&amp;"月"&amp;"'!A:AZ"),16,19+4)),"")</f>
        <v/>
      </c>
      <c r="H142" s="57"/>
    </row>
    <row r="143" spans="1:8" ht="13.5" customHeight="1">
      <c r="A143" s="57">
        <f>IF(DAY(DATE(対象年度,$B$2,14))&lt;&gt;14,"",14)</f>
        <v>14</v>
      </c>
      <c r="B143" s="57" t="str">
        <f>IF(DAY(DATE(対象年度,$B$2,14))&lt;&gt;14,"",CHOOSE(WEEKDAY(DATE(対象年度,$B$2,14),2),"月","火","水","木","金","土","日"))</f>
        <v>水</v>
      </c>
      <c r="C143" s="57" t="str">
        <f ca="1">IFERROR(IF(INDEX(INDIRECT("'"&amp;$B$2&amp;"月"&amp;"'!A:AZ"),17,19+0)="","",INDEX(INDIRECT("'"&amp;$B$2&amp;"月"&amp;"'!A:AZ"),17,19+0)),"")</f>
        <v/>
      </c>
      <c r="D143" s="58" t="str">
        <f ca="1">IFERROR(IF(INDEX(INDIRECT("'"&amp;$B$2&amp;"月"&amp;"'!A:AZ"),17,19+1)="","",INDEX(INDIRECT("'"&amp;$B$2&amp;"月"&amp;"'!A:AZ"),17,19+1)),"")</f>
        <v/>
      </c>
      <c r="E143" s="57" t="str">
        <f ca="1">IFERROR(IF(INDEX(INDIRECT("'"&amp;$B$2&amp;"月"&amp;"'!A:AZ"),17,19+2)="","",INDEX(INDIRECT("'"&amp;$B$2&amp;"月"&amp;"'!A:AZ"),17,19+2)),"")</f>
        <v/>
      </c>
      <c r="F143" s="59" t="str">
        <f ca="1">IFERROR(IF(INDEX(INDIRECT("'"&amp;$B$2&amp;"月"&amp;"'!A:AZ"),17,19+3)="","",INDEX(INDIRECT("'"&amp;$B$2&amp;"月"&amp;"'!A:AZ"),17,19+3)),"")</f>
        <v/>
      </c>
      <c r="G143" s="57" t="str">
        <f ca="1">IFERROR(IF(INDEX(INDIRECT("'"&amp;$B$2&amp;"月"&amp;"'!A:AZ"),17,19+4)="","",INDEX(INDIRECT("'"&amp;$B$2&amp;"月"&amp;"'!A:AZ"),17,19+4)),"")</f>
        <v/>
      </c>
      <c r="H143" s="57"/>
    </row>
    <row r="144" spans="1:8" ht="13.5" customHeight="1">
      <c r="A144" s="57">
        <f>IF(DAY(DATE(対象年度,$B$2,15))&lt;&gt;15,"",15)</f>
        <v>15</v>
      </c>
      <c r="B144" s="57" t="str">
        <f>IF(DAY(DATE(対象年度,$B$2,15))&lt;&gt;15,"",CHOOSE(WEEKDAY(DATE(対象年度,$B$2,15),2),"月","火","水","木","金","土","日"))</f>
        <v>木</v>
      </c>
      <c r="C144" s="57" t="str">
        <f ca="1">IFERROR(IF(INDEX(INDIRECT("'"&amp;$B$2&amp;"月"&amp;"'!A:AZ"),18,19+0)="","",INDEX(INDIRECT("'"&amp;$B$2&amp;"月"&amp;"'!A:AZ"),18,19+0)),"")</f>
        <v/>
      </c>
      <c r="D144" s="58" t="str">
        <f ca="1">IFERROR(IF(INDEX(INDIRECT("'"&amp;$B$2&amp;"月"&amp;"'!A:AZ"),18,19+1)="","",INDEX(INDIRECT("'"&amp;$B$2&amp;"月"&amp;"'!A:AZ"),18,19+1)),"")</f>
        <v/>
      </c>
      <c r="E144" s="57" t="str">
        <f ca="1">IFERROR(IF(INDEX(INDIRECT("'"&amp;$B$2&amp;"月"&amp;"'!A:AZ"),18,19+2)="","",INDEX(INDIRECT("'"&amp;$B$2&amp;"月"&amp;"'!A:AZ"),18,19+2)),"")</f>
        <v/>
      </c>
      <c r="F144" s="59" t="str">
        <f ca="1">IFERROR(IF(INDEX(INDIRECT("'"&amp;$B$2&amp;"月"&amp;"'!A:AZ"),18,19+3)="","",INDEX(INDIRECT("'"&amp;$B$2&amp;"月"&amp;"'!A:AZ"),18,19+3)),"")</f>
        <v/>
      </c>
      <c r="G144" s="57" t="str">
        <f ca="1">IFERROR(IF(INDEX(INDIRECT("'"&amp;$B$2&amp;"月"&amp;"'!A:AZ"),18,19+4)="","",INDEX(INDIRECT("'"&amp;$B$2&amp;"月"&amp;"'!A:AZ"),18,19+4)),"")</f>
        <v/>
      </c>
      <c r="H144" s="57"/>
    </row>
    <row r="145" spans="1:8" ht="13.5" customHeight="1">
      <c r="A145" s="57">
        <f>IF(DAY(DATE(対象年度,$B$2,16))&lt;&gt;16,"",16)</f>
        <v>16</v>
      </c>
      <c r="B145" s="57" t="str">
        <f>IF(DAY(DATE(対象年度,$B$2,16))&lt;&gt;16,"",CHOOSE(WEEKDAY(DATE(対象年度,$B$2,16),2),"月","火","水","木","金","土","日"))</f>
        <v>金</v>
      </c>
      <c r="C145" s="57" t="str">
        <f ca="1">IFERROR(IF(INDEX(INDIRECT("'"&amp;$B$2&amp;"月"&amp;"'!A:AZ"),19,19+0)="","",INDEX(INDIRECT("'"&amp;$B$2&amp;"月"&amp;"'!A:AZ"),19,19+0)),"")</f>
        <v/>
      </c>
      <c r="D145" s="58" t="str">
        <f ca="1">IFERROR(IF(INDEX(INDIRECT("'"&amp;$B$2&amp;"月"&amp;"'!A:AZ"),19,19+1)="","",INDEX(INDIRECT("'"&amp;$B$2&amp;"月"&amp;"'!A:AZ"),19,19+1)),"")</f>
        <v/>
      </c>
      <c r="E145" s="57" t="str">
        <f ca="1">IFERROR(IF(INDEX(INDIRECT("'"&amp;$B$2&amp;"月"&amp;"'!A:AZ"),19,19+2)="","",INDEX(INDIRECT("'"&amp;$B$2&amp;"月"&amp;"'!A:AZ"),19,19+2)),"")</f>
        <v/>
      </c>
      <c r="F145" s="59" t="str">
        <f ca="1">IFERROR(IF(INDEX(INDIRECT("'"&amp;$B$2&amp;"月"&amp;"'!A:AZ"),19,19+3)="","",INDEX(INDIRECT("'"&amp;$B$2&amp;"月"&amp;"'!A:AZ"),19,19+3)),"")</f>
        <v/>
      </c>
      <c r="G145" s="57" t="str">
        <f ca="1">IFERROR(IF(INDEX(INDIRECT("'"&amp;$B$2&amp;"月"&amp;"'!A:AZ"),19,19+4)="","",INDEX(INDIRECT("'"&amp;$B$2&amp;"月"&amp;"'!A:AZ"),19,19+4)),"")</f>
        <v/>
      </c>
      <c r="H145" s="57"/>
    </row>
    <row r="146" spans="1:8" ht="13.5" customHeight="1">
      <c r="A146" s="57">
        <f>IF(DAY(DATE(対象年度,$B$2,17))&lt;&gt;17,"",17)</f>
        <v>17</v>
      </c>
      <c r="B146" s="57" t="str">
        <f>IF(DAY(DATE(対象年度,$B$2,17))&lt;&gt;17,"",CHOOSE(WEEKDAY(DATE(対象年度,$B$2,17),2),"月","火","水","木","金","土","日"))</f>
        <v>土</v>
      </c>
      <c r="C146" s="57" t="str">
        <f ca="1">IFERROR(IF(INDEX(INDIRECT("'"&amp;$B$2&amp;"月"&amp;"'!A:AZ"),20,19+0)="","",INDEX(INDIRECT("'"&amp;$B$2&amp;"月"&amp;"'!A:AZ"),20,19+0)),"")</f>
        <v/>
      </c>
      <c r="D146" s="58" t="str">
        <f ca="1">IFERROR(IF(INDEX(INDIRECT("'"&amp;$B$2&amp;"月"&amp;"'!A:AZ"),20,19+1)="","",INDEX(INDIRECT("'"&amp;$B$2&amp;"月"&amp;"'!A:AZ"),20,19+1)),"")</f>
        <v/>
      </c>
      <c r="E146" s="57" t="str">
        <f ca="1">IFERROR(IF(INDEX(INDIRECT("'"&amp;$B$2&amp;"月"&amp;"'!A:AZ"),20,19+2)="","",INDEX(INDIRECT("'"&amp;$B$2&amp;"月"&amp;"'!A:AZ"),20,19+2)),"")</f>
        <v/>
      </c>
      <c r="F146" s="59" t="str">
        <f ca="1">IFERROR(IF(INDEX(INDIRECT("'"&amp;$B$2&amp;"月"&amp;"'!A:AZ"),20,19+3)="","",INDEX(INDIRECT("'"&amp;$B$2&amp;"月"&amp;"'!A:AZ"),20,19+3)),"")</f>
        <v/>
      </c>
      <c r="G146" s="57" t="str">
        <f ca="1">IFERROR(IF(INDEX(INDIRECT("'"&amp;$B$2&amp;"月"&amp;"'!A:AZ"),20,19+4)="","",INDEX(INDIRECT("'"&amp;$B$2&amp;"月"&amp;"'!A:AZ"),20,19+4)),"")</f>
        <v/>
      </c>
      <c r="H146" s="57"/>
    </row>
    <row r="147" spans="1:8" ht="13.5" customHeight="1">
      <c r="A147" s="57">
        <f>IF(DAY(DATE(対象年度,$B$2,18))&lt;&gt;18,"",18)</f>
        <v>18</v>
      </c>
      <c r="B147" s="57" t="str">
        <f>IF(DAY(DATE(対象年度,$B$2,18))&lt;&gt;18,"",CHOOSE(WEEKDAY(DATE(対象年度,$B$2,18),2),"月","火","水","木","金","土","日"))</f>
        <v>日</v>
      </c>
      <c r="C147" s="57" t="str">
        <f ca="1">IFERROR(IF(INDEX(INDIRECT("'"&amp;$B$2&amp;"月"&amp;"'!A:AZ"),21,19+0)="","",INDEX(INDIRECT("'"&amp;$B$2&amp;"月"&amp;"'!A:AZ"),21,19+0)),"")</f>
        <v/>
      </c>
      <c r="D147" s="58" t="str">
        <f ca="1">IFERROR(IF(INDEX(INDIRECT("'"&amp;$B$2&amp;"月"&amp;"'!A:AZ"),21,19+1)="","",INDEX(INDIRECT("'"&amp;$B$2&amp;"月"&amp;"'!A:AZ"),21,19+1)),"")</f>
        <v/>
      </c>
      <c r="E147" s="57" t="str">
        <f ca="1">IFERROR(IF(INDEX(INDIRECT("'"&amp;$B$2&amp;"月"&amp;"'!A:AZ"),21,19+2)="","",INDEX(INDIRECT("'"&amp;$B$2&amp;"月"&amp;"'!A:AZ"),21,19+2)),"")</f>
        <v/>
      </c>
      <c r="F147" s="59" t="str">
        <f ca="1">IFERROR(IF(INDEX(INDIRECT("'"&amp;$B$2&amp;"月"&amp;"'!A:AZ"),21,19+3)="","",INDEX(INDIRECT("'"&amp;$B$2&amp;"月"&amp;"'!A:AZ"),21,19+3)),"")</f>
        <v/>
      </c>
      <c r="G147" s="57" t="str">
        <f ca="1">IFERROR(IF(INDEX(INDIRECT("'"&amp;$B$2&amp;"月"&amp;"'!A:AZ"),21,19+4)="","",INDEX(INDIRECT("'"&amp;$B$2&amp;"月"&amp;"'!A:AZ"),21,19+4)),"")</f>
        <v/>
      </c>
      <c r="H147" s="57"/>
    </row>
    <row r="148" spans="1:8" ht="13.5" customHeight="1">
      <c r="A148" s="57">
        <f>IF(DAY(DATE(対象年度,$B$2,19))&lt;&gt;19,"",19)</f>
        <v>19</v>
      </c>
      <c r="B148" s="57" t="str">
        <f>IF(DAY(DATE(対象年度,$B$2,19))&lt;&gt;19,"",CHOOSE(WEEKDAY(DATE(対象年度,$B$2,19),2),"月","火","水","木","金","土","日"))</f>
        <v>月</v>
      </c>
      <c r="C148" s="57" t="str">
        <f ca="1">IFERROR(IF(INDEX(INDIRECT("'"&amp;$B$2&amp;"月"&amp;"'!A:AZ"),22,19+0)="","",INDEX(INDIRECT("'"&amp;$B$2&amp;"月"&amp;"'!A:AZ"),22,19+0)),"")</f>
        <v/>
      </c>
      <c r="D148" s="58" t="str">
        <f ca="1">IFERROR(IF(INDEX(INDIRECT("'"&amp;$B$2&amp;"月"&amp;"'!A:AZ"),22,19+1)="","",INDEX(INDIRECT("'"&amp;$B$2&amp;"月"&amp;"'!A:AZ"),22,19+1)),"")</f>
        <v/>
      </c>
      <c r="E148" s="57" t="str">
        <f ca="1">IFERROR(IF(INDEX(INDIRECT("'"&amp;$B$2&amp;"月"&amp;"'!A:AZ"),22,19+2)="","",INDEX(INDIRECT("'"&amp;$B$2&amp;"月"&amp;"'!A:AZ"),22,19+2)),"")</f>
        <v/>
      </c>
      <c r="F148" s="59" t="str">
        <f ca="1">IFERROR(IF(INDEX(INDIRECT("'"&amp;$B$2&amp;"月"&amp;"'!A:AZ"),22,19+3)="","",INDEX(INDIRECT("'"&amp;$B$2&amp;"月"&amp;"'!A:AZ"),22,19+3)),"")</f>
        <v/>
      </c>
      <c r="G148" s="57" t="str">
        <f ca="1">IFERROR(IF(INDEX(INDIRECT("'"&amp;$B$2&amp;"月"&amp;"'!A:AZ"),22,19+4)="","",INDEX(INDIRECT("'"&amp;$B$2&amp;"月"&amp;"'!A:AZ"),22,19+4)),"")</f>
        <v/>
      </c>
      <c r="H148" s="57"/>
    </row>
    <row r="149" spans="1:8" ht="13.5" customHeight="1">
      <c r="A149" s="57">
        <f>IF(DAY(DATE(対象年度,$B$2,20))&lt;&gt;20,"",20)</f>
        <v>20</v>
      </c>
      <c r="B149" s="57" t="str">
        <f>IF(DAY(DATE(対象年度,$B$2,20))&lt;&gt;20,"",CHOOSE(WEEKDAY(DATE(対象年度,$B$2,20),2),"月","火","水","木","金","土","日"))</f>
        <v>火</v>
      </c>
      <c r="C149" s="57" t="str">
        <f ca="1">IFERROR(IF(INDEX(INDIRECT("'"&amp;$B$2&amp;"月"&amp;"'!A:AZ"),23,19+0)="","",INDEX(INDIRECT("'"&amp;$B$2&amp;"月"&amp;"'!A:AZ"),23,19+0)),"")</f>
        <v/>
      </c>
      <c r="D149" s="58" t="str">
        <f ca="1">IFERROR(IF(INDEX(INDIRECT("'"&amp;$B$2&amp;"月"&amp;"'!A:AZ"),23,19+1)="","",INDEX(INDIRECT("'"&amp;$B$2&amp;"月"&amp;"'!A:AZ"),23,19+1)),"")</f>
        <v/>
      </c>
      <c r="E149" s="57" t="str">
        <f ca="1">IFERROR(IF(INDEX(INDIRECT("'"&amp;$B$2&amp;"月"&amp;"'!A:AZ"),23,19+2)="","",INDEX(INDIRECT("'"&amp;$B$2&amp;"月"&amp;"'!A:AZ"),23,19+2)),"")</f>
        <v/>
      </c>
      <c r="F149" s="59" t="str">
        <f ca="1">IFERROR(IF(INDEX(INDIRECT("'"&amp;$B$2&amp;"月"&amp;"'!A:AZ"),23,19+3)="","",INDEX(INDIRECT("'"&amp;$B$2&amp;"月"&amp;"'!A:AZ"),23,19+3)),"")</f>
        <v/>
      </c>
      <c r="G149" s="57" t="str">
        <f ca="1">IFERROR(IF(INDEX(INDIRECT("'"&amp;$B$2&amp;"月"&amp;"'!A:AZ"),23,19+4)="","",INDEX(INDIRECT("'"&amp;$B$2&amp;"月"&amp;"'!A:AZ"),23,19+4)),"")</f>
        <v/>
      </c>
      <c r="H149" s="57"/>
    </row>
    <row r="150" spans="1:8" ht="13.5" customHeight="1">
      <c r="A150" s="57">
        <f>IF(DAY(DATE(対象年度,$B$2,21))&lt;&gt;21,"",21)</f>
        <v>21</v>
      </c>
      <c r="B150" s="57" t="str">
        <f>IF(DAY(DATE(対象年度,$B$2,21))&lt;&gt;21,"",CHOOSE(WEEKDAY(DATE(対象年度,$B$2,21),2),"月","火","水","木","金","土","日"))</f>
        <v>水</v>
      </c>
      <c r="C150" s="57" t="str">
        <f ca="1">IFERROR(IF(INDEX(INDIRECT("'"&amp;$B$2&amp;"月"&amp;"'!A:AZ"),24,19+0)="","",INDEX(INDIRECT("'"&amp;$B$2&amp;"月"&amp;"'!A:AZ"),24,19+0)),"")</f>
        <v>新宿</v>
      </c>
      <c r="D150" s="58" t="str">
        <f ca="1">IFERROR(IF(INDEX(INDIRECT("'"&amp;$B$2&amp;"月"&amp;"'!A:AZ"),24,19+1)="","",INDEX(INDIRECT("'"&amp;$B$2&amp;"月"&amp;"'!A:AZ"),24,19+1)),"")</f>
        <v/>
      </c>
      <c r="E150" s="57" t="str">
        <f ca="1">IFERROR(IF(INDEX(INDIRECT("'"&amp;$B$2&amp;"月"&amp;"'!A:AZ"),24,19+2)="","",INDEX(INDIRECT("'"&amp;$B$2&amp;"月"&amp;"'!A:AZ"),24,19+2)),"")</f>
        <v>○</v>
      </c>
      <c r="F150" s="59" t="str">
        <f ca="1">IFERROR(IF(INDEX(INDIRECT("'"&amp;$B$2&amp;"月"&amp;"'!A:AZ"),24,19+3)="","",INDEX(INDIRECT("'"&amp;$B$2&amp;"月"&amp;"'!A:AZ"),24,19+3)),"")</f>
        <v/>
      </c>
      <c r="G150" s="57" t="str">
        <f ca="1">IFERROR(IF(INDEX(INDIRECT("'"&amp;$B$2&amp;"月"&amp;"'!A:AZ"),24,19+4)="","",INDEX(INDIRECT("'"&amp;$B$2&amp;"月"&amp;"'!A:AZ"),24,19+4)),"")</f>
        <v/>
      </c>
      <c r="H150" s="57"/>
    </row>
    <row r="151" spans="1:8" ht="13.5" customHeight="1">
      <c r="A151" s="57">
        <f>IF(DAY(DATE(対象年度,$B$2,22))&lt;&gt;22,"",22)</f>
        <v>22</v>
      </c>
      <c r="B151" s="57" t="str">
        <f>IF(DAY(DATE(対象年度,$B$2,22))&lt;&gt;22,"",CHOOSE(WEEKDAY(DATE(対象年度,$B$2,22),2),"月","火","水","木","金","土","日"))</f>
        <v>木</v>
      </c>
      <c r="C151" s="57" t="str">
        <f ca="1">IFERROR(IF(INDEX(INDIRECT("'"&amp;$B$2&amp;"月"&amp;"'!A:AZ"),25,19+0)="","",INDEX(INDIRECT("'"&amp;$B$2&amp;"月"&amp;"'!A:AZ"),25,19+0)),"")</f>
        <v>新宿</v>
      </c>
      <c r="D151" s="58" t="str">
        <f ca="1">IFERROR(IF(INDEX(INDIRECT("'"&amp;$B$2&amp;"月"&amp;"'!A:AZ"),25,19+1)="","",INDEX(INDIRECT("'"&amp;$B$2&amp;"月"&amp;"'!A:AZ"),25,19+1)),"")</f>
        <v/>
      </c>
      <c r="E151" s="57" t="str">
        <f ca="1">IFERROR(IF(INDEX(INDIRECT("'"&amp;$B$2&amp;"月"&amp;"'!A:AZ"),25,19+2)="","",INDEX(INDIRECT("'"&amp;$B$2&amp;"月"&amp;"'!A:AZ"),25,19+2)),"")</f>
        <v>○</v>
      </c>
      <c r="F151" s="59" t="str">
        <f ca="1">IFERROR(IF(INDEX(INDIRECT("'"&amp;$B$2&amp;"月"&amp;"'!A:AZ"),25,19+3)="","",INDEX(INDIRECT("'"&amp;$B$2&amp;"月"&amp;"'!A:AZ"),25,19+3)),"")</f>
        <v/>
      </c>
      <c r="G151" s="57" t="str">
        <f ca="1">IFERROR(IF(INDEX(INDIRECT("'"&amp;$B$2&amp;"月"&amp;"'!A:AZ"),25,19+4)="","",INDEX(INDIRECT("'"&amp;$B$2&amp;"月"&amp;"'!A:AZ"),25,19+4)),"")</f>
        <v/>
      </c>
      <c r="H151" s="57"/>
    </row>
    <row r="152" spans="1:8" ht="13.5" customHeight="1">
      <c r="A152" s="57">
        <f>IF(DAY(DATE(対象年度,$B$2,23))&lt;&gt;23,"",23)</f>
        <v>23</v>
      </c>
      <c r="B152" s="57" t="str">
        <f>IF(DAY(DATE(対象年度,$B$2,23))&lt;&gt;23,"",CHOOSE(WEEKDAY(DATE(対象年度,$B$2,23),2),"月","火","水","木","金","土","日"))</f>
        <v>金</v>
      </c>
      <c r="C152" s="57" t="str">
        <f ca="1">IFERROR(IF(INDEX(INDIRECT("'"&amp;$B$2&amp;"月"&amp;"'!A:AZ"),26,19+0)="","",INDEX(INDIRECT("'"&amp;$B$2&amp;"月"&amp;"'!A:AZ"),26,19+0)),"")</f>
        <v>新宿</v>
      </c>
      <c r="D152" s="58" t="str">
        <f ca="1">IFERROR(IF(INDEX(INDIRECT("'"&amp;$B$2&amp;"月"&amp;"'!A:AZ"),26,19+1)="","",INDEX(INDIRECT("'"&amp;$B$2&amp;"月"&amp;"'!A:AZ"),26,19+1)),"")</f>
        <v/>
      </c>
      <c r="E152" s="57" t="str">
        <f ca="1">IFERROR(IF(INDEX(INDIRECT("'"&amp;$B$2&amp;"月"&amp;"'!A:AZ"),26,19+2)="","",INDEX(INDIRECT("'"&amp;$B$2&amp;"月"&amp;"'!A:AZ"),26,19+2)),"")</f>
        <v>○</v>
      </c>
      <c r="F152" s="59" t="str">
        <f ca="1">IFERROR(IF(INDEX(INDIRECT("'"&amp;$B$2&amp;"月"&amp;"'!A:AZ"),26,19+3)="","",INDEX(INDIRECT("'"&amp;$B$2&amp;"月"&amp;"'!A:AZ"),26,19+3)),"")</f>
        <v/>
      </c>
      <c r="G152" s="57" t="str">
        <f ca="1">IFERROR(IF(INDEX(INDIRECT("'"&amp;$B$2&amp;"月"&amp;"'!A:AZ"),26,19+4)="","",INDEX(INDIRECT("'"&amp;$B$2&amp;"月"&amp;"'!A:AZ"),26,19+4)),"")</f>
        <v/>
      </c>
      <c r="H152" s="57"/>
    </row>
    <row r="153" spans="1:8" ht="13.5" customHeight="1">
      <c r="A153" s="57">
        <f>IF(DAY(DATE(対象年度,$B$2,24))&lt;&gt;24,"",24)</f>
        <v>24</v>
      </c>
      <c r="B153" s="57" t="str">
        <f>IF(DAY(DATE(対象年度,$B$2,24))&lt;&gt;24,"",CHOOSE(WEEKDAY(DATE(対象年度,$B$2,24),2),"月","火","水","木","金","土","日"))</f>
        <v>土</v>
      </c>
      <c r="C153" s="57" t="str">
        <f ca="1">IFERROR(IF(INDEX(INDIRECT("'"&amp;$B$2&amp;"月"&amp;"'!A:AZ"),27,19+0)="","",INDEX(INDIRECT("'"&amp;$B$2&amp;"月"&amp;"'!A:AZ"),27,19+0)),"")</f>
        <v>新宿</v>
      </c>
      <c r="D153" s="58" t="str">
        <f ca="1">IFERROR(IF(INDEX(INDIRECT("'"&amp;$B$2&amp;"月"&amp;"'!A:AZ"),27,19+1)="","",INDEX(INDIRECT("'"&amp;$B$2&amp;"月"&amp;"'!A:AZ"),27,19+1)),"")</f>
        <v/>
      </c>
      <c r="E153" s="57" t="str">
        <f ca="1">IFERROR(IF(INDEX(INDIRECT("'"&amp;$B$2&amp;"月"&amp;"'!A:AZ"),27,19+2)="","",INDEX(INDIRECT("'"&amp;$B$2&amp;"月"&amp;"'!A:AZ"),27,19+2)),"")</f>
        <v>○</v>
      </c>
      <c r="F153" s="59" t="str">
        <f ca="1">IFERROR(IF(INDEX(INDIRECT("'"&amp;$B$2&amp;"月"&amp;"'!A:AZ"),27,19+3)="","",INDEX(INDIRECT("'"&amp;$B$2&amp;"月"&amp;"'!A:AZ"),27,19+3)),"")</f>
        <v/>
      </c>
      <c r="G153" s="57" t="str">
        <f ca="1">IFERROR(IF(INDEX(INDIRECT("'"&amp;$B$2&amp;"月"&amp;"'!A:AZ"),27,19+4)="","",INDEX(INDIRECT("'"&amp;$B$2&amp;"月"&amp;"'!A:AZ"),27,19+4)),"")</f>
        <v/>
      </c>
      <c r="H153" s="57"/>
    </row>
    <row r="154" spans="1:8" ht="13.5" customHeight="1">
      <c r="A154" s="57">
        <f>IF(DAY(DATE(対象年度,$B$2,25))&lt;&gt;25,"",25)</f>
        <v>25</v>
      </c>
      <c r="B154" s="57" t="str">
        <f>IF(DAY(DATE(対象年度,$B$2,25))&lt;&gt;25,"",CHOOSE(WEEKDAY(DATE(対象年度,$B$2,25),2),"月","火","水","木","金","土","日"))</f>
        <v>日</v>
      </c>
      <c r="C154" s="57" t="str">
        <f ca="1">IFERROR(IF(INDEX(INDIRECT("'"&amp;$B$2&amp;"月"&amp;"'!A:AZ"),28,19+0)="","",INDEX(INDIRECT("'"&amp;$B$2&amp;"月"&amp;"'!A:AZ"),28,19+0)),"")</f>
        <v/>
      </c>
      <c r="D154" s="58" t="str">
        <f ca="1">IFERROR(IF(INDEX(INDIRECT("'"&amp;$B$2&amp;"月"&amp;"'!A:AZ"),28,19+1)="","",INDEX(INDIRECT("'"&amp;$B$2&amp;"月"&amp;"'!A:AZ"),28,19+1)),"")</f>
        <v/>
      </c>
      <c r="E154" s="57" t="str">
        <f ca="1">IFERROR(IF(INDEX(INDIRECT("'"&amp;$B$2&amp;"月"&amp;"'!A:AZ"),28,19+2)="","",INDEX(INDIRECT("'"&amp;$B$2&amp;"月"&amp;"'!A:AZ"),28,19+2)),"")</f>
        <v/>
      </c>
      <c r="F154" s="59" t="str">
        <f ca="1">IFERROR(IF(INDEX(INDIRECT("'"&amp;$B$2&amp;"月"&amp;"'!A:AZ"),28,19+3)="","",INDEX(INDIRECT("'"&amp;$B$2&amp;"月"&amp;"'!A:AZ"),28,19+3)),"")</f>
        <v/>
      </c>
      <c r="G154" s="57" t="str">
        <f ca="1">IFERROR(IF(INDEX(INDIRECT("'"&amp;$B$2&amp;"月"&amp;"'!A:AZ"),28,19+4)="","",INDEX(INDIRECT("'"&amp;$B$2&amp;"月"&amp;"'!A:AZ"),28,19+4)),"")</f>
        <v/>
      </c>
      <c r="H154" s="57"/>
    </row>
    <row r="155" spans="1:8" ht="13.5" customHeight="1">
      <c r="A155" s="57">
        <f>IF(DAY(DATE(対象年度,$B$2,26))&lt;&gt;26,"",26)</f>
        <v>26</v>
      </c>
      <c r="B155" s="57" t="str">
        <f>IF(DAY(DATE(対象年度,$B$2,26))&lt;&gt;26,"",CHOOSE(WEEKDAY(DATE(対象年度,$B$2,26),2),"月","火","水","木","金","土","日"))</f>
        <v>月</v>
      </c>
      <c r="C155" s="57" t="str">
        <f ca="1">IFERROR(IF(INDEX(INDIRECT("'"&amp;$B$2&amp;"月"&amp;"'!A:AZ"),29,19+0)="","",INDEX(INDIRECT("'"&amp;$B$2&amp;"月"&amp;"'!A:AZ"),29,19+0)),"")</f>
        <v>新宿</v>
      </c>
      <c r="D155" s="58" t="str">
        <f ca="1">IFERROR(IF(INDEX(INDIRECT("'"&amp;$B$2&amp;"月"&amp;"'!A:AZ"),29,19+1)="","",INDEX(INDIRECT("'"&amp;$B$2&amp;"月"&amp;"'!A:AZ"),29,19+1)),"")</f>
        <v/>
      </c>
      <c r="E155" s="57" t="str">
        <f ca="1">IFERROR(IF(INDEX(INDIRECT("'"&amp;$B$2&amp;"月"&amp;"'!A:AZ"),29,19+2)="","",INDEX(INDIRECT("'"&amp;$B$2&amp;"月"&amp;"'!A:AZ"),29,19+2)),"")</f>
        <v>○</v>
      </c>
      <c r="F155" s="59" t="str">
        <f ca="1">IFERROR(IF(INDEX(INDIRECT("'"&amp;$B$2&amp;"月"&amp;"'!A:AZ"),29,19+3)="","",INDEX(INDIRECT("'"&amp;$B$2&amp;"月"&amp;"'!A:AZ"),29,19+3)),"")</f>
        <v/>
      </c>
      <c r="G155" s="57" t="str">
        <f ca="1">IFERROR(IF(INDEX(INDIRECT("'"&amp;$B$2&amp;"月"&amp;"'!A:AZ"),29,19+4)="","",INDEX(INDIRECT("'"&amp;$B$2&amp;"月"&amp;"'!A:AZ"),29,19+4)),"")</f>
        <v/>
      </c>
      <c r="H155" s="57"/>
    </row>
    <row r="156" spans="1:8" ht="13.5" customHeight="1">
      <c r="A156" s="57">
        <f>IF(DAY(DATE(対象年度,$B$2,27))&lt;&gt;27,"",27)</f>
        <v>27</v>
      </c>
      <c r="B156" s="57" t="str">
        <f>IF(DAY(DATE(対象年度,$B$2,27))&lt;&gt;27,"",CHOOSE(WEEKDAY(DATE(対象年度,$B$2,27),2),"月","火","水","木","金","土","日"))</f>
        <v>火</v>
      </c>
      <c r="C156" s="57" t="str">
        <f ca="1">IFERROR(IF(INDEX(INDIRECT("'"&amp;$B$2&amp;"月"&amp;"'!A:AZ"),30,19+0)="","",INDEX(INDIRECT("'"&amp;$B$2&amp;"月"&amp;"'!A:AZ"),30,19+0)),"")</f>
        <v>新宿</v>
      </c>
      <c r="D156" s="58" t="str">
        <f ca="1">IFERROR(IF(INDEX(INDIRECT("'"&amp;$B$2&amp;"月"&amp;"'!A:AZ"),30,19+1)="","",INDEX(INDIRECT("'"&amp;$B$2&amp;"月"&amp;"'!A:AZ"),30,19+1)),"")</f>
        <v/>
      </c>
      <c r="E156" s="57" t="str">
        <f ca="1">IFERROR(IF(INDEX(INDIRECT("'"&amp;$B$2&amp;"月"&amp;"'!A:AZ"),30,19+2)="","",INDEX(INDIRECT("'"&amp;$B$2&amp;"月"&amp;"'!A:AZ"),30,19+2)),"")</f>
        <v>○</v>
      </c>
      <c r="F156" s="59" t="str">
        <f ca="1">IFERROR(IF(INDEX(INDIRECT("'"&amp;$B$2&amp;"月"&amp;"'!A:AZ"),30,19+3)="","",INDEX(INDIRECT("'"&amp;$B$2&amp;"月"&amp;"'!A:AZ"),30,19+3)),"")</f>
        <v/>
      </c>
      <c r="G156" s="57" t="str">
        <f ca="1">IFERROR(IF(INDEX(INDIRECT("'"&amp;$B$2&amp;"月"&amp;"'!A:AZ"),30,19+4)="","",INDEX(INDIRECT("'"&amp;$B$2&amp;"月"&amp;"'!A:AZ"),30,19+4)),"")</f>
        <v/>
      </c>
      <c r="H156" s="57"/>
    </row>
    <row r="157" spans="1:8" ht="13.5" customHeight="1">
      <c r="A157" s="57">
        <f>IF(DAY(DATE(対象年度,$B$2,28))&lt;&gt;28,"",28)</f>
        <v>28</v>
      </c>
      <c r="B157" s="57" t="str">
        <f>IF(DAY(DATE(対象年度,$B$2,28))&lt;&gt;28,"",CHOOSE(WEEKDAY(DATE(対象年度,$B$2,28),2),"月","火","水","木","金","土","日"))</f>
        <v>水</v>
      </c>
      <c r="C157" s="57" t="str">
        <f ca="1">IFERROR(IF(INDEX(INDIRECT("'"&amp;$B$2&amp;"月"&amp;"'!A:AZ"),31,19+0)="","",INDEX(INDIRECT("'"&amp;$B$2&amp;"月"&amp;"'!A:AZ"),31,19+0)),"")</f>
        <v>新宿</v>
      </c>
      <c r="D157" s="58" t="str">
        <f ca="1">IFERROR(IF(INDEX(INDIRECT("'"&amp;$B$2&amp;"月"&amp;"'!A:AZ"),31,19+1)="","",INDEX(INDIRECT("'"&amp;$B$2&amp;"月"&amp;"'!A:AZ"),31,19+1)),"")</f>
        <v/>
      </c>
      <c r="E157" s="57" t="str">
        <f ca="1">IFERROR(IF(INDEX(INDIRECT("'"&amp;$B$2&amp;"月"&amp;"'!A:AZ"),31,19+2)="","",INDEX(INDIRECT("'"&amp;$B$2&amp;"月"&amp;"'!A:AZ"),31,19+2)),"")</f>
        <v>○</v>
      </c>
      <c r="F157" s="59" t="str">
        <f ca="1">IFERROR(IF(INDEX(INDIRECT("'"&amp;$B$2&amp;"月"&amp;"'!A:AZ"),31,19+3)="","",INDEX(INDIRECT("'"&amp;$B$2&amp;"月"&amp;"'!A:AZ"),31,19+3)),"")</f>
        <v/>
      </c>
      <c r="G157" s="57" t="str">
        <f ca="1">IFERROR(IF(INDEX(INDIRECT("'"&amp;$B$2&amp;"月"&amp;"'!A:AZ"),31,19+4)="","",INDEX(INDIRECT("'"&amp;$B$2&amp;"月"&amp;"'!A:AZ"),31,19+4)),"")</f>
        <v/>
      </c>
      <c r="H157" s="57"/>
    </row>
    <row r="158" spans="1:8" ht="13.5" customHeight="1">
      <c r="A158" s="57">
        <f>IF(DAY(DATE(対象年度,$B$2,29))&lt;&gt;29,"",29)</f>
        <v>29</v>
      </c>
      <c r="B158" s="57" t="str">
        <f>IF(DAY(DATE(対象年度,$B$2,29))&lt;&gt;29,"",CHOOSE(WEEKDAY(DATE(対象年度,$B$2,29),2),"月","火","水","木","金","土","日"))</f>
        <v>木</v>
      </c>
      <c r="C158" s="57" t="str">
        <f ca="1">IFERROR(IF(INDEX(INDIRECT("'"&amp;$B$2&amp;"月"&amp;"'!A:AZ"),32,19+0)="","",INDEX(INDIRECT("'"&amp;$B$2&amp;"月"&amp;"'!A:AZ"),32,19+0)),"")</f>
        <v>新宿</v>
      </c>
      <c r="D158" s="58" t="str">
        <f ca="1">IFERROR(IF(INDEX(INDIRECT("'"&amp;$B$2&amp;"月"&amp;"'!A:AZ"),32,19+1)="","",INDEX(INDIRECT("'"&amp;$B$2&amp;"月"&amp;"'!A:AZ"),32,19+1)),"")</f>
        <v/>
      </c>
      <c r="E158" s="57" t="str">
        <f ca="1">IFERROR(IF(INDEX(INDIRECT("'"&amp;$B$2&amp;"月"&amp;"'!A:AZ"),32,19+2)="","",INDEX(INDIRECT("'"&amp;$B$2&amp;"月"&amp;"'!A:AZ"),32,19+2)),"")</f>
        <v>○</v>
      </c>
      <c r="F158" s="59" t="str">
        <f ca="1">IFERROR(IF(INDEX(INDIRECT("'"&amp;$B$2&amp;"月"&amp;"'!A:AZ"),32,19+3)="","",INDEX(INDIRECT("'"&amp;$B$2&amp;"月"&amp;"'!A:AZ"),32,19+3)),"")</f>
        <v/>
      </c>
      <c r="G158" s="57" t="str">
        <f ca="1">IFERROR(IF(INDEX(INDIRECT("'"&amp;$B$2&amp;"月"&amp;"'!A:AZ"),32,19+4)="","",INDEX(INDIRECT("'"&amp;$B$2&amp;"月"&amp;"'!A:AZ"),32,19+4)),"")</f>
        <v/>
      </c>
      <c r="H158" s="57"/>
    </row>
    <row r="159" spans="1:8" ht="13.5" customHeight="1">
      <c r="A159" s="57">
        <f>IF(DAY(DATE(対象年度,$B$2,30))&lt;&gt;30,"",30)</f>
        <v>30</v>
      </c>
      <c r="B159" s="57" t="str">
        <f>IF(DAY(DATE(対象年度,$B$2,30))&lt;&gt;30,"",CHOOSE(WEEKDAY(DATE(対象年度,$B$2,30),2),"月","火","水","木","金","土","日"))</f>
        <v>金</v>
      </c>
      <c r="C159" s="57" t="str">
        <f ca="1">IFERROR(IF(INDEX(INDIRECT("'"&amp;$B$2&amp;"月"&amp;"'!A:AZ"),33,19+0)="","",INDEX(INDIRECT("'"&amp;$B$2&amp;"月"&amp;"'!A:AZ"),33,19+0)),"")</f>
        <v>新宿</v>
      </c>
      <c r="D159" s="58" t="str">
        <f ca="1">IFERROR(IF(INDEX(INDIRECT("'"&amp;$B$2&amp;"月"&amp;"'!A:AZ"),33,19+1)="","",INDEX(INDIRECT("'"&amp;$B$2&amp;"月"&amp;"'!A:AZ"),33,19+1)),"")</f>
        <v/>
      </c>
      <c r="E159" s="57" t="str">
        <f ca="1">IFERROR(IF(INDEX(INDIRECT("'"&amp;$B$2&amp;"月"&amp;"'!A:AZ"),33,19+2)="","",INDEX(INDIRECT("'"&amp;$B$2&amp;"月"&amp;"'!A:AZ"),33,19+2)),"")</f>
        <v>○</v>
      </c>
      <c r="F159" s="59" t="str">
        <f ca="1">IFERROR(IF(INDEX(INDIRECT("'"&amp;$B$2&amp;"月"&amp;"'!A:AZ"),33,19+3)="","",INDEX(INDIRECT("'"&amp;$B$2&amp;"月"&amp;"'!A:AZ"),33,19+3)),"")</f>
        <v/>
      </c>
      <c r="G159" s="57" t="str">
        <f ca="1">IFERROR(IF(INDEX(INDIRECT("'"&amp;$B$2&amp;"月"&amp;"'!A:AZ"),33,19+4)="","",INDEX(INDIRECT("'"&amp;$B$2&amp;"月"&amp;"'!A:AZ"),33,19+4)),"")</f>
        <v/>
      </c>
      <c r="H159" s="57"/>
    </row>
    <row r="160" spans="1:8" ht="13.5" customHeight="1">
      <c r="A160" s="57">
        <f>IF(DAY(DATE(対象年度,$B$2,31))&lt;&gt;31,"",31)</f>
        <v>31</v>
      </c>
      <c r="B160" s="57" t="str">
        <f>IF(DAY(DATE(対象年度,$B$2,31))&lt;&gt;31,"",CHOOSE(WEEKDAY(DATE(対象年度,$B$2,31),2),"月","火","水","木","金","土","日"))</f>
        <v>土</v>
      </c>
      <c r="C160" s="57" t="str">
        <f ca="1">IFERROR(IF(INDEX(INDIRECT("'"&amp;$B$2&amp;"月"&amp;"'!A:AZ"),34,19+0)="","",INDEX(INDIRECT("'"&amp;$B$2&amp;"月"&amp;"'!A:AZ"),34,19+0)),"")</f>
        <v>新宿</v>
      </c>
      <c r="D160" s="58" t="str">
        <f ca="1">IFERROR(IF(INDEX(INDIRECT("'"&amp;$B$2&amp;"月"&amp;"'!A:AZ"),34,19+1)="","",INDEX(INDIRECT("'"&amp;$B$2&amp;"月"&amp;"'!A:AZ"),34,19+1)),"")</f>
        <v/>
      </c>
      <c r="E160" s="57" t="str">
        <f ca="1">IFERROR(IF(INDEX(INDIRECT("'"&amp;$B$2&amp;"月"&amp;"'!A:AZ"),34,19+2)="","",INDEX(INDIRECT("'"&amp;$B$2&amp;"月"&amp;"'!A:AZ"),34,19+2)),"")</f>
        <v>○</v>
      </c>
      <c r="F160" s="59" t="str">
        <f ca="1">IFERROR(IF(INDEX(INDIRECT("'"&amp;$B$2&amp;"月"&amp;"'!A:AZ"),34,19+3)="","",INDEX(INDIRECT("'"&amp;$B$2&amp;"月"&amp;"'!A:AZ"),34,19+3)),"")</f>
        <v/>
      </c>
      <c r="G160" s="57" t="str">
        <f ca="1">IFERROR(IF(INDEX(INDIRECT("'"&amp;$B$2&amp;"月"&amp;"'!A:AZ"),34,19+4)="","",INDEX(INDIRECT("'"&amp;$B$2&amp;"月"&amp;"'!A:AZ"),34,19+4)),"")</f>
        <v/>
      </c>
      <c r="H160" s="57"/>
    </row>
    <row r="161" spans="1:8" ht="21.75" customHeight="1">
      <c r="A161" s="111" t="s">
        <v>144</v>
      </c>
      <c r="B161" s="111"/>
      <c r="C161" s="61" t="s">
        <v>113</v>
      </c>
      <c r="D161" s="62">
        <f ca="1">IFERROR(INDEX(INDIRECT("'"&amp;$B$2&amp;"月"&amp;"'!A:AZ"),35,19),0)</f>
        <v>10</v>
      </c>
      <c r="E161" s="63" t="s">
        <v>114</v>
      </c>
      <c r="F161" s="64">
        <f ca="1">IFERROR(INDEX(INDIRECT("'"&amp;$B$2&amp;"月"&amp;"'!A:AZ"),36,19),0)</f>
        <v>0</v>
      </c>
      <c r="G161" s="61" t="s">
        <v>115</v>
      </c>
      <c r="H161" s="62">
        <f ca="1">IFERROR(INDEX(INDIRECT("'"&amp;$B$2&amp;"月"&amp;"'!A:AZ"),38,19),0)</f>
        <v>0</v>
      </c>
    </row>
    <row r="162" spans="1:8" ht="24" customHeight="1">
      <c r="A162" s="112"/>
      <c r="B162" s="112"/>
      <c r="C162" s="65" t="s">
        <v>122</v>
      </c>
      <c r="D162" s="66">
        <f ca="1">IFERROR(INDEX(INDIRECT("'"&amp;$B$2&amp;"月"&amp;"'!A:AZ"),37,19),0)</f>
        <v>10</v>
      </c>
      <c r="E162" s="67" t="s">
        <v>105</v>
      </c>
      <c r="F162" s="68">
        <f ca="1">IFERROR(INDEX(INDIRECT("'"&amp;$B$2&amp;"月"&amp;"'!A:AZ"),39,19),0)</f>
        <v>0</v>
      </c>
      <c r="G162" s="69" t="s">
        <v>106</v>
      </c>
      <c r="H162" s="70">
        <f ca="1">IFERROR(INDEX(INDIRECT("'"&amp;$B$2&amp;"月"&amp;"'!A:AZ"),40,19),0)</f>
        <v>0</v>
      </c>
    </row>
    <row r="164" spans="1:8" ht="27.75" customHeight="1">
      <c r="A164" s="90" t="s">
        <v>133</v>
      </c>
      <c r="B164" s="90"/>
      <c r="C164" s="90"/>
      <c r="D164" s="90"/>
      <c r="E164" s="90"/>
      <c r="F164" s="90"/>
      <c r="G164" s="90"/>
      <c r="H164" s="90"/>
    </row>
    <row r="165" spans="1:8" ht="18" customHeight="1">
      <c r="A165" s="113" t="s">
        <v>134</v>
      </c>
      <c r="B165" s="113"/>
      <c r="C165" s="113"/>
      <c r="D165" s="113"/>
      <c r="E165" s="113"/>
      <c r="F165" s="113"/>
      <c r="G165" s="113"/>
      <c r="H165" s="113"/>
    </row>
    <row r="166" spans="1:8" ht="27.75" customHeight="1">
      <c r="A166" s="49" t="s">
        <v>135</v>
      </c>
      <c r="B166" s="114" t="str">
        <f>対象年度&amp;"年 "&amp;$B$2&amp;"月"</f>
        <v>2026年 1月</v>
      </c>
      <c r="C166" s="114"/>
      <c r="D166" s="49" t="s">
        <v>136</v>
      </c>
      <c r="E166" s="115" t="str">
        <f>IFERROR(従業員マスタ!$C$8,"")</f>
        <v>佐藤 三郎</v>
      </c>
      <c r="F166" s="115"/>
      <c r="G166" s="115"/>
      <c r="H166" s="115"/>
    </row>
    <row r="167" spans="1:8" ht="19.5" customHeight="1">
      <c r="A167" s="73" t="s">
        <v>147</v>
      </c>
      <c r="B167" s="53" t="s">
        <v>148</v>
      </c>
      <c r="C167" s="119" t="s">
        <v>141</v>
      </c>
      <c r="D167" s="119"/>
      <c r="E167" s="119" t="s">
        <v>142</v>
      </c>
      <c r="F167" s="119"/>
      <c r="G167" s="116" t="s">
        <v>143</v>
      </c>
      <c r="H167" s="116"/>
    </row>
    <row r="168" spans="1:8" ht="43.5" customHeight="1">
      <c r="A168" s="74"/>
      <c r="B168" s="54"/>
      <c r="C168" s="110"/>
      <c r="D168" s="110"/>
      <c r="E168" s="110"/>
      <c r="F168" s="110"/>
      <c r="G168" s="110"/>
      <c r="H168" s="110"/>
    </row>
    <row r="169" spans="1:8" ht="19.5" customHeight="1">
      <c r="A169" s="55" t="s">
        <v>108</v>
      </c>
      <c r="B169" s="55" t="s">
        <v>109</v>
      </c>
      <c r="C169" s="55" t="s">
        <v>111</v>
      </c>
      <c r="D169" s="56" t="s">
        <v>112</v>
      </c>
      <c r="E169" s="55" t="s">
        <v>113</v>
      </c>
      <c r="F169" s="55" t="s">
        <v>114</v>
      </c>
      <c r="G169" s="55" t="s">
        <v>115</v>
      </c>
      <c r="H169" s="55" t="s">
        <v>75</v>
      </c>
    </row>
    <row r="170" spans="1:8" ht="13.5" customHeight="1">
      <c r="A170" s="57">
        <f>IF(DAY(DATE(対象年度,$B$2,1))&lt;&gt;1,"",1)</f>
        <v>1</v>
      </c>
      <c r="B170" s="57" t="str">
        <f>IF(DAY(DATE(対象年度,$B$2,1))&lt;&gt;1,"",CHOOSE(WEEKDAY(DATE(対象年度,$B$2,1),2),"月","火","水","木","金","土","日"))</f>
        <v>木</v>
      </c>
      <c r="C170" s="57" t="str">
        <f ca="1">IFERROR(IF(INDEX(INDIRECT("'"&amp;$B$2&amp;"月"&amp;"'!A:AZ"),4,24+0)="","",INDEX(INDIRECT("'"&amp;$B$2&amp;"月"&amp;"'!A:AZ"),4,24+0)),"")</f>
        <v/>
      </c>
      <c r="D170" s="58" t="str">
        <f ca="1">IFERROR(IF(INDEX(INDIRECT("'"&amp;$B$2&amp;"月"&amp;"'!A:AZ"),4,24+1)="","",INDEX(INDIRECT("'"&amp;$B$2&amp;"月"&amp;"'!A:AZ"),4,24+1)),"")</f>
        <v/>
      </c>
      <c r="E170" s="57" t="str">
        <f ca="1">IFERROR(IF(INDEX(INDIRECT("'"&amp;$B$2&amp;"月"&amp;"'!A:AZ"),4,24+2)="","",INDEX(INDIRECT("'"&amp;$B$2&amp;"月"&amp;"'!A:AZ"),4,24+2)),"")</f>
        <v/>
      </c>
      <c r="F170" s="59" t="str">
        <f ca="1">IFERROR(IF(INDEX(INDIRECT("'"&amp;$B$2&amp;"月"&amp;"'!A:AZ"),4,24+3)="","",INDEX(INDIRECT("'"&amp;$B$2&amp;"月"&amp;"'!A:AZ"),4,24+3)),"")</f>
        <v/>
      </c>
      <c r="G170" s="57" t="str">
        <f ca="1">IFERROR(IF(INDEX(INDIRECT("'"&amp;$B$2&amp;"月"&amp;"'!A:AZ"),4,24+4)="","",INDEX(INDIRECT("'"&amp;$B$2&amp;"月"&amp;"'!A:AZ"),4,24+4)),"")</f>
        <v/>
      </c>
      <c r="H170" s="57"/>
    </row>
    <row r="171" spans="1:8" ht="13.5" customHeight="1">
      <c r="A171" s="57">
        <f>IF(DAY(DATE(対象年度,$B$2,2))&lt;&gt;2,"",2)</f>
        <v>2</v>
      </c>
      <c r="B171" s="57" t="str">
        <f>IF(DAY(DATE(対象年度,$B$2,2))&lt;&gt;2,"",CHOOSE(WEEKDAY(DATE(対象年度,$B$2,2),2),"月","火","水","木","金","土","日"))</f>
        <v>金</v>
      </c>
      <c r="C171" s="57" t="str">
        <f ca="1">IFERROR(IF(INDEX(INDIRECT("'"&amp;$B$2&amp;"月"&amp;"'!A:AZ"),5,24+0)="","",INDEX(INDIRECT("'"&amp;$B$2&amp;"月"&amp;"'!A:AZ"),5,24+0)),"")</f>
        <v/>
      </c>
      <c r="D171" s="58" t="str">
        <f ca="1">IFERROR(IF(INDEX(INDIRECT("'"&amp;$B$2&amp;"月"&amp;"'!A:AZ"),5,24+1)="","",INDEX(INDIRECT("'"&amp;$B$2&amp;"月"&amp;"'!A:AZ"),5,24+1)),"")</f>
        <v/>
      </c>
      <c r="E171" s="57" t="str">
        <f ca="1">IFERROR(IF(INDEX(INDIRECT("'"&amp;$B$2&amp;"月"&amp;"'!A:AZ"),5,24+2)="","",INDEX(INDIRECT("'"&amp;$B$2&amp;"月"&amp;"'!A:AZ"),5,24+2)),"")</f>
        <v/>
      </c>
      <c r="F171" s="59" t="str">
        <f ca="1">IFERROR(IF(INDEX(INDIRECT("'"&amp;$B$2&amp;"月"&amp;"'!A:AZ"),5,24+3)="","",INDEX(INDIRECT("'"&amp;$B$2&amp;"月"&amp;"'!A:AZ"),5,24+3)),"")</f>
        <v/>
      </c>
      <c r="G171" s="57" t="str">
        <f ca="1">IFERROR(IF(INDEX(INDIRECT("'"&amp;$B$2&amp;"月"&amp;"'!A:AZ"),5,24+4)="","",INDEX(INDIRECT("'"&amp;$B$2&amp;"月"&amp;"'!A:AZ"),5,24+4)),"")</f>
        <v/>
      </c>
      <c r="H171" s="57"/>
    </row>
    <row r="172" spans="1:8" ht="13.5" customHeight="1">
      <c r="A172" s="57">
        <f>IF(DAY(DATE(対象年度,$B$2,3))&lt;&gt;3,"",3)</f>
        <v>3</v>
      </c>
      <c r="B172" s="57" t="str">
        <f>IF(DAY(DATE(対象年度,$B$2,3))&lt;&gt;3,"",CHOOSE(WEEKDAY(DATE(対象年度,$B$2,3),2),"月","火","水","木","金","土","日"))</f>
        <v>土</v>
      </c>
      <c r="C172" s="57" t="str">
        <f ca="1">IFERROR(IF(INDEX(INDIRECT("'"&amp;$B$2&amp;"月"&amp;"'!A:AZ"),6,24+0)="","",INDEX(INDIRECT("'"&amp;$B$2&amp;"月"&amp;"'!A:AZ"),6,24+0)),"")</f>
        <v/>
      </c>
      <c r="D172" s="58" t="str">
        <f ca="1">IFERROR(IF(INDEX(INDIRECT("'"&amp;$B$2&amp;"月"&amp;"'!A:AZ"),6,24+1)="","",INDEX(INDIRECT("'"&amp;$B$2&amp;"月"&amp;"'!A:AZ"),6,24+1)),"")</f>
        <v/>
      </c>
      <c r="E172" s="57" t="str">
        <f ca="1">IFERROR(IF(INDEX(INDIRECT("'"&amp;$B$2&amp;"月"&amp;"'!A:AZ"),6,24+2)="","",INDEX(INDIRECT("'"&amp;$B$2&amp;"月"&amp;"'!A:AZ"),6,24+2)),"")</f>
        <v/>
      </c>
      <c r="F172" s="59" t="str">
        <f ca="1">IFERROR(IF(INDEX(INDIRECT("'"&amp;$B$2&amp;"月"&amp;"'!A:AZ"),6,24+3)="","",INDEX(INDIRECT("'"&amp;$B$2&amp;"月"&amp;"'!A:AZ"),6,24+3)),"")</f>
        <v/>
      </c>
      <c r="G172" s="57" t="str">
        <f ca="1">IFERROR(IF(INDEX(INDIRECT("'"&amp;$B$2&amp;"月"&amp;"'!A:AZ"),6,24+4)="","",INDEX(INDIRECT("'"&amp;$B$2&amp;"月"&amp;"'!A:AZ"),6,24+4)),"")</f>
        <v/>
      </c>
      <c r="H172" s="57"/>
    </row>
    <row r="173" spans="1:8" ht="13.5" customHeight="1">
      <c r="A173" s="57">
        <f>IF(DAY(DATE(対象年度,$B$2,4))&lt;&gt;4,"",4)</f>
        <v>4</v>
      </c>
      <c r="B173" s="57" t="str">
        <f>IF(DAY(DATE(対象年度,$B$2,4))&lt;&gt;4,"",CHOOSE(WEEKDAY(DATE(対象年度,$B$2,4),2),"月","火","水","木","金","土","日"))</f>
        <v>日</v>
      </c>
      <c r="C173" s="57" t="str">
        <f ca="1">IFERROR(IF(INDEX(INDIRECT("'"&amp;$B$2&amp;"月"&amp;"'!A:AZ"),7,24+0)="","",INDEX(INDIRECT("'"&amp;$B$2&amp;"月"&amp;"'!A:AZ"),7,24+0)),"")</f>
        <v/>
      </c>
      <c r="D173" s="58" t="str">
        <f ca="1">IFERROR(IF(INDEX(INDIRECT("'"&amp;$B$2&amp;"月"&amp;"'!A:AZ"),7,24+1)="","",INDEX(INDIRECT("'"&amp;$B$2&amp;"月"&amp;"'!A:AZ"),7,24+1)),"")</f>
        <v/>
      </c>
      <c r="E173" s="57" t="str">
        <f ca="1">IFERROR(IF(INDEX(INDIRECT("'"&amp;$B$2&amp;"月"&amp;"'!A:AZ"),7,24+2)="","",INDEX(INDIRECT("'"&amp;$B$2&amp;"月"&amp;"'!A:AZ"),7,24+2)),"")</f>
        <v/>
      </c>
      <c r="F173" s="59" t="str">
        <f ca="1">IFERROR(IF(INDEX(INDIRECT("'"&amp;$B$2&amp;"月"&amp;"'!A:AZ"),7,24+3)="","",INDEX(INDIRECT("'"&amp;$B$2&amp;"月"&amp;"'!A:AZ"),7,24+3)),"")</f>
        <v/>
      </c>
      <c r="G173" s="57" t="str">
        <f ca="1">IFERROR(IF(INDEX(INDIRECT("'"&amp;$B$2&amp;"月"&amp;"'!A:AZ"),7,24+4)="","",INDEX(INDIRECT("'"&amp;$B$2&amp;"月"&amp;"'!A:AZ"),7,24+4)),"")</f>
        <v/>
      </c>
      <c r="H173" s="57"/>
    </row>
    <row r="174" spans="1:8" ht="13.5" customHeight="1">
      <c r="A174" s="57">
        <f>IF(DAY(DATE(対象年度,$B$2,5))&lt;&gt;5,"",5)</f>
        <v>5</v>
      </c>
      <c r="B174" s="57" t="str">
        <f>IF(DAY(DATE(対象年度,$B$2,5))&lt;&gt;5,"",CHOOSE(WEEKDAY(DATE(対象年度,$B$2,5),2),"月","火","水","木","金","土","日"))</f>
        <v>月</v>
      </c>
      <c r="C174" s="57" t="str">
        <f ca="1">IFERROR(IF(INDEX(INDIRECT("'"&amp;$B$2&amp;"月"&amp;"'!A:AZ"),8,24+0)="","",INDEX(INDIRECT("'"&amp;$B$2&amp;"月"&amp;"'!A:AZ"),8,24+0)),"")</f>
        <v/>
      </c>
      <c r="D174" s="58" t="str">
        <f ca="1">IFERROR(IF(INDEX(INDIRECT("'"&amp;$B$2&amp;"月"&amp;"'!A:AZ"),8,24+1)="","",INDEX(INDIRECT("'"&amp;$B$2&amp;"月"&amp;"'!A:AZ"),8,24+1)),"")</f>
        <v/>
      </c>
      <c r="E174" s="57" t="str">
        <f ca="1">IFERROR(IF(INDEX(INDIRECT("'"&amp;$B$2&amp;"月"&amp;"'!A:AZ"),8,24+2)="","",INDEX(INDIRECT("'"&amp;$B$2&amp;"月"&amp;"'!A:AZ"),8,24+2)),"")</f>
        <v/>
      </c>
      <c r="F174" s="59" t="str">
        <f ca="1">IFERROR(IF(INDEX(INDIRECT("'"&amp;$B$2&amp;"月"&amp;"'!A:AZ"),8,24+3)="","",INDEX(INDIRECT("'"&amp;$B$2&amp;"月"&amp;"'!A:AZ"),8,24+3)),"")</f>
        <v/>
      </c>
      <c r="G174" s="57" t="str">
        <f ca="1">IFERROR(IF(INDEX(INDIRECT("'"&amp;$B$2&amp;"月"&amp;"'!A:AZ"),8,24+4)="","",INDEX(INDIRECT("'"&amp;$B$2&amp;"月"&amp;"'!A:AZ"),8,24+4)),"")</f>
        <v/>
      </c>
      <c r="H174" s="57"/>
    </row>
    <row r="175" spans="1:8" ht="13.5" customHeight="1">
      <c r="A175" s="57">
        <f>IF(DAY(DATE(対象年度,$B$2,6))&lt;&gt;6,"",6)</f>
        <v>6</v>
      </c>
      <c r="B175" s="57" t="str">
        <f>IF(DAY(DATE(対象年度,$B$2,6))&lt;&gt;6,"",CHOOSE(WEEKDAY(DATE(対象年度,$B$2,6),2),"月","火","水","木","金","土","日"))</f>
        <v>火</v>
      </c>
      <c r="C175" s="57" t="str">
        <f ca="1">IFERROR(IF(INDEX(INDIRECT("'"&amp;$B$2&amp;"月"&amp;"'!A:AZ"),9,24+0)="","",INDEX(INDIRECT("'"&amp;$B$2&amp;"月"&amp;"'!A:AZ"),9,24+0)),"")</f>
        <v/>
      </c>
      <c r="D175" s="58" t="str">
        <f ca="1">IFERROR(IF(INDEX(INDIRECT("'"&amp;$B$2&amp;"月"&amp;"'!A:AZ"),9,24+1)="","",INDEX(INDIRECT("'"&amp;$B$2&amp;"月"&amp;"'!A:AZ"),9,24+1)),"")</f>
        <v/>
      </c>
      <c r="E175" s="57" t="str">
        <f ca="1">IFERROR(IF(INDEX(INDIRECT("'"&amp;$B$2&amp;"月"&amp;"'!A:AZ"),9,24+2)="","",INDEX(INDIRECT("'"&amp;$B$2&amp;"月"&amp;"'!A:AZ"),9,24+2)),"")</f>
        <v/>
      </c>
      <c r="F175" s="59" t="str">
        <f ca="1">IFERROR(IF(INDEX(INDIRECT("'"&amp;$B$2&amp;"月"&amp;"'!A:AZ"),9,24+3)="","",INDEX(INDIRECT("'"&amp;$B$2&amp;"月"&amp;"'!A:AZ"),9,24+3)),"")</f>
        <v/>
      </c>
      <c r="G175" s="57" t="str">
        <f ca="1">IFERROR(IF(INDEX(INDIRECT("'"&amp;$B$2&amp;"月"&amp;"'!A:AZ"),9,24+4)="","",INDEX(INDIRECT("'"&amp;$B$2&amp;"月"&amp;"'!A:AZ"),9,24+4)),"")</f>
        <v/>
      </c>
      <c r="H175" s="57"/>
    </row>
    <row r="176" spans="1:8" ht="13.5" customHeight="1">
      <c r="A176" s="57">
        <f>IF(DAY(DATE(対象年度,$B$2,7))&lt;&gt;7,"",7)</f>
        <v>7</v>
      </c>
      <c r="B176" s="57" t="str">
        <f>IF(DAY(DATE(対象年度,$B$2,7))&lt;&gt;7,"",CHOOSE(WEEKDAY(DATE(対象年度,$B$2,7),2),"月","火","水","木","金","土","日"))</f>
        <v>水</v>
      </c>
      <c r="C176" s="57" t="str">
        <f ca="1">IFERROR(IF(INDEX(INDIRECT("'"&amp;$B$2&amp;"月"&amp;"'!A:AZ"),10,24+0)="","",INDEX(INDIRECT("'"&amp;$B$2&amp;"月"&amp;"'!A:AZ"),10,24+0)),"")</f>
        <v/>
      </c>
      <c r="D176" s="58" t="str">
        <f ca="1">IFERROR(IF(INDEX(INDIRECT("'"&amp;$B$2&amp;"月"&amp;"'!A:AZ"),10,24+1)="","",INDEX(INDIRECT("'"&amp;$B$2&amp;"月"&amp;"'!A:AZ"),10,24+1)),"")</f>
        <v/>
      </c>
      <c r="E176" s="57" t="str">
        <f ca="1">IFERROR(IF(INDEX(INDIRECT("'"&amp;$B$2&amp;"月"&amp;"'!A:AZ"),10,24+2)="","",INDEX(INDIRECT("'"&amp;$B$2&amp;"月"&amp;"'!A:AZ"),10,24+2)),"")</f>
        <v/>
      </c>
      <c r="F176" s="59" t="str">
        <f ca="1">IFERROR(IF(INDEX(INDIRECT("'"&amp;$B$2&amp;"月"&amp;"'!A:AZ"),10,24+3)="","",INDEX(INDIRECT("'"&amp;$B$2&amp;"月"&amp;"'!A:AZ"),10,24+3)),"")</f>
        <v/>
      </c>
      <c r="G176" s="57" t="str">
        <f ca="1">IFERROR(IF(INDEX(INDIRECT("'"&amp;$B$2&amp;"月"&amp;"'!A:AZ"),10,24+4)="","",INDEX(INDIRECT("'"&amp;$B$2&amp;"月"&amp;"'!A:AZ"),10,24+4)),"")</f>
        <v/>
      </c>
      <c r="H176" s="57"/>
    </row>
    <row r="177" spans="1:8" ht="13.5" customHeight="1">
      <c r="A177" s="57">
        <f>IF(DAY(DATE(対象年度,$B$2,8))&lt;&gt;8,"",8)</f>
        <v>8</v>
      </c>
      <c r="B177" s="57" t="str">
        <f>IF(DAY(DATE(対象年度,$B$2,8))&lt;&gt;8,"",CHOOSE(WEEKDAY(DATE(対象年度,$B$2,8),2),"月","火","水","木","金","土","日"))</f>
        <v>木</v>
      </c>
      <c r="C177" s="57" t="str">
        <f ca="1">IFERROR(IF(INDEX(INDIRECT("'"&amp;$B$2&amp;"月"&amp;"'!A:AZ"),11,24+0)="","",INDEX(INDIRECT("'"&amp;$B$2&amp;"月"&amp;"'!A:AZ"),11,24+0)),"")</f>
        <v/>
      </c>
      <c r="D177" s="58" t="str">
        <f ca="1">IFERROR(IF(INDEX(INDIRECT("'"&amp;$B$2&amp;"月"&amp;"'!A:AZ"),11,24+1)="","",INDEX(INDIRECT("'"&amp;$B$2&amp;"月"&amp;"'!A:AZ"),11,24+1)),"")</f>
        <v/>
      </c>
      <c r="E177" s="57" t="str">
        <f ca="1">IFERROR(IF(INDEX(INDIRECT("'"&amp;$B$2&amp;"月"&amp;"'!A:AZ"),11,24+2)="","",INDEX(INDIRECT("'"&amp;$B$2&amp;"月"&amp;"'!A:AZ"),11,24+2)),"")</f>
        <v/>
      </c>
      <c r="F177" s="59" t="str">
        <f ca="1">IFERROR(IF(INDEX(INDIRECT("'"&amp;$B$2&amp;"月"&amp;"'!A:AZ"),11,24+3)="","",INDEX(INDIRECT("'"&amp;$B$2&amp;"月"&amp;"'!A:AZ"),11,24+3)),"")</f>
        <v/>
      </c>
      <c r="G177" s="57" t="str">
        <f ca="1">IFERROR(IF(INDEX(INDIRECT("'"&amp;$B$2&amp;"月"&amp;"'!A:AZ"),11,24+4)="","",INDEX(INDIRECT("'"&amp;$B$2&amp;"月"&amp;"'!A:AZ"),11,24+4)),"")</f>
        <v/>
      </c>
      <c r="H177" s="57"/>
    </row>
    <row r="178" spans="1:8" ht="13.5" customHeight="1">
      <c r="A178" s="57">
        <f>IF(DAY(DATE(対象年度,$B$2,9))&lt;&gt;9,"",9)</f>
        <v>9</v>
      </c>
      <c r="B178" s="57" t="str">
        <f>IF(DAY(DATE(対象年度,$B$2,9))&lt;&gt;9,"",CHOOSE(WEEKDAY(DATE(対象年度,$B$2,9),2),"月","火","水","木","金","土","日"))</f>
        <v>金</v>
      </c>
      <c r="C178" s="57" t="str">
        <f ca="1">IFERROR(IF(INDEX(INDIRECT("'"&amp;$B$2&amp;"月"&amp;"'!A:AZ"),12,24+0)="","",INDEX(INDIRECT("'"&amp;$B$2&amp;"月"&amp;"'!A:AZ"),12,24+0)),"")</f>
        <v/>
      </c>
      <c r="D178" s="58" t="str">
        <f ca="1">IFERROR(IF(INDEX(INDIRECT("'"&amp;$B$2&amp;"月"&amp;"'!A:AZ"),12,24+1)="","",INDEX(INDIRECT("'"&amp;$B$2&amp;"月"&amp;"'!A:AZ"),12,24+1)),"")</f>
        <v/>
      </c>
      <c r="E178" s="57" t="str">
        <f ca="1">IFERROR(IF(INDEX(INDIRECT("'"&amp;$B$2&amp;"月"&amp;"'!A:AZ"),12,24+2)="","",INDEX(INDIRECT("'"&amp;$B$2&amp;"月"&amp;"'!A:AZ"),12,24+2)),"")</f>
        <v/>
      </c>
      <c r="F178" s="59" t="str">
        <f ca="1">IFERROR(IF(INDEX(INDIRECT("'"&amp;$B$2&amp;"月"&amp;"'!A:AZ"),12,24+3)="","",INDEX(INDIRECT("'"&amp;$B$2&amp;"月"&amp;"'!A:AZ"),12,24+3)),"")</f>
        <v/>
      </c>
      <c r="G178" s="57" t="str">
        <f ca="1">IFERROR(IF(INDEX(INDIRECT("'"&amp;$B$2&amp;"月"&amp;"'!A:AZ"),12,24+4)="","",INDEX(INDIRECT("'"&amp;$B$2&amp;"月"&amp;"'!A:AZ"),12,24+4)),"")</f>
        <v/>
      </c>
      <c r="H178" s="57"/>
    </row>
    <row r="179" spans="1:8" ht="13.5" customHeight="1">
      <c r="A179" s="57">
        <f>IF(DAY(DATE(対象年度,$B$2,10))&lt;&gt;10,"",10)</f>
        <v>10</v>
      </c>
      <c r="B179" s="57" t="str">
        <f>IF(DAY(DATE(対象年度,$B$2,10))&lt;&gt;10,"",CHOOSE(WEEKDAY(DATE(対象年度,$B$2,10),2),"月","火","水","木","金","土","日"))</f>
        <v>土</v>
      </c>
      <c r="C179" s="57" t="str">
        <f ca="1">IFERROR(IF(INDEX(INDIRECT("'"&amp;$B$2&amp;"月"&amp;"'!A:AZ"),13,24+0)="","",INDEX(INDIRECT("'"&amp;$B$2&amp;"月"&amp;"'!A:AZ"),13,24+0)),"")</f>
        <v/>
      </c>
      <c r="D179" s="58" t="str">
        <f ca="1">IFERROR(IF(INDEX(INDIRECT("'"&amp;$B$2&amp;"月"&amp;"'!A:AZ"),13,24+1)="","",INDEX(INDIRECT("'"&amp;$B$2&amp;"月"&amp;"'!A:AZ"),13,24+1)),"")</f>
        <v/>
      </c>
      <c r="E179" s="57" t="str">
        <f ca="1">IFERROR(IF(INDEX(INDIRECT("'"&amp;$B$2&amp;"月"&amp;"'!A:AZ"),13,24+2)="","",INDEX(INDIRECT("'"&amp;$B$2&amp;"月"&amp;"'!A:AZ"),13,24+2)),"")</f>
        <v/>
      </c>
      <c r="F179" s="59" t="str">
        <f ca="1">IFERROR(IF(INDEX(INDIRECT("'"&amp;$B$2&amp;"月"&amp;"'!A:AZ"),13,24+3)="","",INDEX(INDIRECT("'"&amp;$B$2&amp;"月"&amp;"'!A:AZ"),13,24+3)),"")</f>
        <v/>
      </c>
      <c r="G179" s="57" t="str">
        <f ca="1">IFERROR(IF(INDEX(INDIRECT("'"&amp;$B$2&amp;"月"&amp;"'!A:AZ"),13,24+4)="","",INDEX(INDIRECT("'"&amp;$B$2&amp;"月"&amp;"'!A:AZ"),13,24+4)),"")</f>
        <v/>
      </c>
      <c r="H179" s="57"/>
    </row>
    <row r="180" spans="1:8" ht="13.5" customHeight="1">
      <c r="A180" s="57">
        <f>IF(DAY(DATE(対象年度,$B$2,11))&lt;&gt;11,"",11)</f>
        <v>11</v>
      </c>
      <c r="B180" s="57" t="str">
        <f>IF(DAY(DATE(対象年度,$B$2,11))&lt;&gt;11,"",CHOOSE(WEEKDAY(DATE(対象年度,$B$2,11),2),"月","火","水","木","金","土","日"))</f>
        <v>日</v>
      </c>
      <c r="C180" s="57" t="str">
        <f ca="1">IFERROR(IF(INDEX(INDIRECT("'"&amp;$B$2&amp;"月"&amp;"'!A:AZ"),14,24+0)="","",INDEX(INDIRECT("'"&amp;$B$2&amp;"月"&amp;"'!A:AZ"),14,24+0)),"")</f>
        <v/>
      </c>
      <c r="D180" s="58" t="str">
        <f ca="1">IFERROR(IF(INDEX(INDIRECT("'"&amp;$B$2&amp;"月"&amp;"'!A:AZ"),14,24+1)="","",INDEX(INDIRECT("'"&amp;$B$2&amp;"月"&amp;"'!A:AZ"),14,24+1)),"")</f>
        <v/>
      </c>
      <c r="E180" s="57" t="str">
        <f ca="1">IFERROR(IF(INDEX(INDIRECT("'"&amp;$B$2&amp;"月"&amp;"'!A:AZ"),14,24+2)="","",INDEX(INDIRECT("'"&amp;$B$2&amp;"月"&amp;"'!A:AZ"),14,24+2)),"")</f>
        <v/>
      </c>
      <c r="F180" s="59" t="str">
        <f ca="1">IFERROR(IF(INDEX(INDIRECT("'"&amp;$B$2&amp;"月"&amp;"'!A:AZ"),14,24+3)="","",INDEX(INDIRECT("'"&amp;$B$2&amp;"月"&amp;"'!A:AZ"),14,24+3)),"")</f>
        <v/>
      </c>
      <c r="G180" s="57" t="str">
        <f ca="1">IFERROR(IF(INDEX(INDIRECT("'"&amp;$B$2&amp;"月"&amp;"'!A:AZ"),14,24+4)="","",INDEX(INDIRECT("'"&amp;$B$2&amp;"月"&amp;"'!A:AZ"),14,24+4)),"")</f>
        <v/>
      </c>
      <c r="H180" s="57"/>
    </row>
    <row r="181" spans="1:8" ht="13.5" customHeight="1">
      <c r="A181" s="57">
        <f>IF(DAY(DATE(対象年度,$B$2,12))&lt;&gt;12,"",12)</f>
        <v>12</v>
      </c>
      <c r="B181" s="57" t="str">
        <f>IF(DAY(DATE(対象年度,$B$2,12))&lt;&gt;12,"",CHOOSE(WEEKDAY(DATE(対象年度,$B$2,12),2),"月","火","水","木","金","土","日"))</f>
        <v>月</v>
      </c>
      <c r="C181" s="57" t="str">
        <f ca="1">IFERROR(IF(INDEX(INDIRECT("'"&amp;$B$2&amp;"月"&amp;"'!A:AZ"),15,24+0)="","",INDEX(INDIRECT("'"&amp;$B$2&amp;"月"&amp;"'!A:AZ"),15,24+0)),"")</f>
        <v/>
      </c>
      <c r="D181" s="58" t="str">
        <f ca="1">IFERROR(IF(INDEX(INDIRECT("'"&amp;$B$2&amp;"月"&amp;"'!A:AZ"),15,24+1)="","",INDEX(INDIRECT("'"&amp;$B$2&amp;"月"&amp;"'!A:AZ"),15,24+1)),"")</f>
        <v/>
      </c>
      <c r="E181" s="57" t="str">
        <f ca="1">IFERROR(IF(INDEX(INDIRECT("'"&amp;$B$2&amp;"月"&amp;"'!A:AZ"),15,24+2)="","",INDEX(INDIRECT("'"&amp;$B$2&amp;"月"&amp;"'!A:AZ"),15,24+2)),"")</f>
        <v/>
      </c>
      <c r="F181" s="59" t="str">
        <f ca="1">IFERROR(IF(INDEX(INDIRECT("'"&amp;$B$2&amp;"月"&amp;"'!A:AZ"),15,24+3)="","",INDEX(INDIRECT("'"&amp;$B$2&amp;"月"&amp;"'!A:AZ"),15,24+3)),"")</f>
        <v/>
      </c>
      <c r="G181" s="57" t="str">
        <f ca="1">IFERROR(IF(INDEX(INDIRECT("'"&amp;$B$2&amp;"月"&amp;"'!A:AZ"),15,24+4)="","",INDEX(INDIRECT("'"&amp;$B$2&amp;"月"&amp;"'!A:AZ"),15,24+4)),"")</f>
        <v/>
      </c>
      <c r="H181" s="57"/>
    </row>
    <row r="182" spans="1:8" ht="13.5" customHeight="1">
      <c r="A182" s="57">
        <f>IF(DAY(DATE(対象年度,$B$2,13))&lt;&gt;13,"",13)</f>
        <v>13</v>
      </c>
      <c r="B182" s="57" t="str">
        <f>IF(DAY(DATE(対象年度,$B$2,13))&lt;&gt;13,"",CHOOSE(WEEKDAY(DATE(対象年度,$B$2,13),2),"月","火","水","木","金","土","日"))</f>
        <v>火</v>
      </c>
      <c r="C182" s="57" t="str">
        <f ca="1">IFERROR(IF(INDEX(INDIRECT("'"&amp;$B$2&amp;"月"&amp;"'!A:AZ"),16,24+0)="","",INDEX(INDIRECT("'"&amp;$B$2&amp;"月"&amp;"'!A:AZ"),16,24+0)),"")</f>
        <v/>
      </c>
      <c r="D182" s="58" t="str">
        <f ca="1">IFERROR(IF(INDEX(INDIRECT("'"&amp;$B$2&amp;"月"&amp;"'!A:AZ"),16,24+1)="","",INDEX(INDIRECT("'"&amp;$B$2&amp;"月"&amp;"'!A:AZ"),16,24+1)),"")</f>
        <v/>
      </c>
      <c r="E182" s="57" t="str">
        <f ca="1">IFERROR(IF(INDEX(INDIRECT("'"&amp;$B$2&amp;"月"&amp;"'!A:AZ"),16,24+2)="","",INDEX(INDIRECT("'"&amp;$B$2&amp;"月"&amp;"'!A:AZ"),16,24+2)),"")</f>
        <v/>
      </c>
      <c r="F182" s="59" t="str">
        <f ca="1">IFERROR(IF(INDEX(INDIRECT("'"&amp;$B$2&amp;"月"&amp;"'!A:AZ"),16,24+3)="","",INDEX(INDIRECT("'"&amp;$B$2&amp;"月"&amp;"'!A:AZ"),16,24+3)),"")</f>
        <v/>
      </c>
      <c r="G182" s="57" t="str">
        <f ca="1">IFERROR(IF(INDEX(INDIRECT("'"&amp;$B$2&amp;"月"&amp;"'!A:AZ"),16,24+4)="","",INDEX(INDIRECT("'"&amp;$B$2&amp;"月"&amp;"'!A:AZ"),16,24+4)),"")</f>
        <v/>
      </c>
      <c r="H182" s="57"/>
    </row>
    <row r="183" spans="1:8" ht="13.5" customHeight="1">
      <c r="A183" s="57">
        <f>IF(DAY(DATE(対象年度,$B$2,14))&lt;&gt;14,"",14)</f>
        <v>14</v>
      </c>
      <c r="B183" s="57" t="str">
        <f>IF(DAY(DATE(対象年度,$B$2,14))&lt;&gt;14,"",CHOOSE(WEEKDAY(DATE(対象年度,$B$2,14),2),"月","火","水","木","金","土","日"))</f>
        <v>水</v>
      </c>
      <c r="C183" s="57" t="str">
        <f ca="1">IFERROR(IF(INDEX(INDIRECT("'"&amp;$B$2&amp;"月"&amp;"'!A:AZ"),17,24+0)="","",INDEX(INDIRECT("'"&amp;$B$2&amp;"月"&amp;"'!A:AZ"),17,24+0)),"")</f>
        <v/>
      </c>
      <c r="D183" s="58" t="str">
        <f ca="1">IFERROR(IF(INDEX(INDIRECT("'"&amp;$B$2&amp;"月"&amp;"'!A:AZ"),17,24+1)="","",INDEX(INDIRECT("'"&amp;$B$2&amp;"月"&amp;"'!A:AZ"),17,24+1)),"")</f>
        <v/>
      </c>
      <c r="E183" s="57" t="str">
        <f ca="1">IFERROR(IF(INDEX(INDIRECT("'"&amp;$B$2&amp;"月"&amp;"'!A:AZ"),17,24+2)="","",INDEX(INDIRECT("'"&amp;$B$2&amp;"月"&amp;"'!A:AZ"),17,24+2)),"")</f>
        <v/>
      </c>
      <c r="F183" s="59" t="str">
        <f ca="1">IFERROR(IF(INDEX(INDIRECT("'"&amp;$B$2&amp;"月"&amp;"'!A:AZ"),17,24+3)="","",INDEX(INDIRECT("'"&amp;$B$2&amp;"月"&amp;"'!A:AZ"),17,24+3)),"")</f>
        <v/>
      </c>
      <c r="G183" s="57" t="str">
        <f ca="1">IFERROR(IF(INDEX(INDIRECT("'"&amp;$B$2&amp;"月"&amp;"'!A:AZ"),17,24+4)="","",INDEX(INDIRECT("'"&amp;$B$2&amp;"月"&amp;"'!A:AZ"),17,24+4)),"")</f>
        <v/>
      </c>
      <c r="H183" s="57"/>
    </row>
    <row r="184" spans="1:8" ht="13.5" customHeight="1">
      <c r="A184" s="57">
        <f>IF(DAY(DATE(対象年度,$B$2,15))&lt;&gt;15,"",15)</f>
        <v>15</v>
      </c>
      <c r="B184" s="57" t="str">
        <f>IF(DAY(DATE(対象年度,$B$2,15))&lt;&gt;15,"",CHOOSE(WEEKDAY(DATE(対象年度,$B$2,15),2),"月","火","水","木","金","土","日"))</f>
        <v>木</v>
      </c>
      <c r="C184" s="57" t="str">
        <f ca="1">IFERROR(IF(INDEX(INDIRECT("'"&amp;$B$2&amp;"月"&amp;"'!A:AZ"),18,24+0)="","",INDEX(INDIRECT("'"&amp;$B$2&amp;"月"&amp;"'!A:AZ"),18,24+0)),"")</f>
        <v/>
      </c>
      <c r="D184" s="58" t="str">
        <f ca="1">IFERROR(IF(INDEX(INDIRECT("'"&amp;$B$2&amp;"月"&amp;"'!A:AZ"),18,24+1)="","",INDEX(INDIRECT("'"&amp;$B$2&amp;"月"&amp;"'!A:AZ"),18,24+1)),"")</f>
        <v/>
      </c>
      <c r="E184" s="57" t="str">
        <f ca="1">IFERROR(IF(INDEX(INDIRECT("'"&amp;$B$2&amp;"月"&amp;"'!A:AZ"),18,24+2)="","",INDEX(INDIRECT("'"&amp;$B$2&amp;"月"&amp;"'!A:AZ"),18,24+2)),"")</f>
        <v/>
      </c>
      <c r="F184" s="59" t="str">
        <f ca="1">IFERROR(IF(INDEX(INDIRECT("'"&amp;$B$2&amp;"月"&amp;"'!A:AZ"),18,24+3)="","",INDEX(INDIRECT("'"&amp;$B$2&amp;"月"&amp;"'!A:AZ"),18,24+3)),"")</f>
        <v/>
      </c>
      <c r="G184" s="57" t="str">
        <f ca="1">IFERROR(IF(INDEX(INDIRECT("'"&amp;$B$2&amp;"月"&amp;"'!A:AZ"),18,24+4)="","",INDEX(INDIRECT("'"&amp;$B$2&amp;"月"&amp;"'!A:AZ"),18,24+4)),"")</f>
        <v/>
      </c>
      <c r="H184" s="57"/>
    </row>
    <row r="185" spans="1:8" ht="13.5" customHeight="1">
      <c r="A185" s="57">
        <f>IF(DAY(DATE(対象年度,$B$2,16))&lt;&gt;16,"",16)</f>
        <v>16</v>
      </c>
      <c r="B185" s="57" t="str">
        <f>IF(DAY(DATE(対象年度,$B$2,16))&lt;&gt;16,"",CHOOSE(WEEKDAY(DATE(対象年度,$B$2,16),2),"月","火","水","木","金","土","日"))</f>
        <v>金</v>
      </c>
      <c r="C185" s="57" t="str">
        <f ca="1">IFERROR(IF(INDEX(INDIRECT("'"&amp;$B$2&amp;"月"&amp;"'!A:AZ"),19,24+0)="","",INDEX(INDIRECT("'"&amp;$B$2&amp;"月"&amp;"'!A:AZ"),19,24+0)),"")</f>
        <v/>
      </c>
      <c r="D185" s="58" t="str">
        <f ca="1">IFERROR(IF(INDEX(INDIRECT("'"&amp;$B$2&amp;"月"&amp;"'!A:AZ"),19,24+1)="","",INDEX(INDIRECT("'"&amp;$B$2&amp;"月"&amp;"'!A:AZ"),19,24+1)),"")</f>
        <v/>
      </c>
      <c r="E185" s="57" t="str">
        <f ca="1">IFERROR(IF(INDEX(INDIRECT("'"&amp;$B$2&amp;"月"&amp;"'!A:AZ"),19,24+2)="","",INDEX(INDIRECT("'"&amp;$B$2&amp;"月"&amp;"'!A:AZ"),19,24+2)),"")</f>
        <v/>
      </c>
      <c r="F185" s="59" t="str">
        <f ca="1">IFERROR(IF(INDEX(INDIRECT("'"&amp;$B$2&amp;"月"&amp;"'!A:AZ"),19,24+3)="","",INDEX(INDIRECT("'"&amp;$B$2&amp;"月"&amp;"'!A:AZ"),19,24+3)),"")</f>
        <v/>
      </c>
      <c r="G185" s="57" t="str">
        <f ca="1">IFERROR(IF(INDEX(INDIRECT("'"&amp;$B$2&amp;"月"&amp;"'!A:AZ"),19,24+4)="","",INDEX(INDIRECT("'"&amp;$B$2&amp;"月"&amp;"'!A:AZ"),19,24+4)),"")</f>
        <v/>
      </c>
      <c r="H185" s="57"/>
    </row>
    <row r="186" spans="1:8" ht="13.5" customHeight="1">
      <c r="A186" s="57">
        <f>IF(DAY(DATE(対象年度,$B$2,17))&lt;&gt;17,"",17)</f>
        <v>17</v>
      </c>
      <c r="B186" s="57" t="str">
        <f>IF(DAY(DATE(対象年度,$B$2,17))&lt;&gt;17,"",CHOOSE(WEEKDAY(DATE(対象年度,$B$2,17),2),"月","火","水","木","金","土","日"))</f>
        <v>土</v>
      </c>
      <c r="C186" s="57" t="str">
        <f ca="1">IFERROR(IF(INDEX(INDIRECT("'"&amp;$B$2&amp;"月"&amp;"'!A:AZ"),20,24+0)="","",INDEX(INDIRECT("'"&amp;$B$2&amp;"月"&amp;"'!A:AZ"),20,24+0)),"")</f>
        <v/>
      </c>
      <c r="D186" s="58" t="str">
        <f ca="1">IFERROR(IF(INDEX(INDIRECT("'"&amp;$B$2&amp;"月"&amp;"'!A:AZ"),20,24+1)="","",INDEX(INDIRECT("'"&amp;$B$2&amp;"月"&amp;"'!A:AZ"),20,24+1)),"")</f>
        <v/>
      </c>
      <c r="E186" s="57" t="str">
        <f ca="1">IFERROR(IF(INDEX(INDIRECT("'"&amp;$B$2&amp;"月"&amp;"'!A:AZ"),20,24+2)="","",INDEX(INDIRECT("'"&amp;$B$2&amp;"月"&amp;"'!A:AZ"),20,24+2)),"")</f>
        <v/>
      </c>
      <c r="F186" s="59" t="str">
        <f ca="1">IFERROR(IF(INDEX(INDIRECT("'"&amp;$B$2&amp;"月"&amp;"'!A:AZ"),20,24+3)="","",INDEX(INDIRECT("'"&amp;$B$2&amp;"月"&amp;"'!A:AZ"),20,24+3)),"")</f>
        <v/>
      </c>
      <c r="G186" s="57" t="str">
        <f ca="1">IFERROR(IF(INDEX(INDIRECT("'"&amp;$B$2&amp;"月"&amp;"'!A:AZ"),20,24+4)="","",INDEX(INDIRECT("'"&amp;$B$2&amp;"月"&amp;"'!A:AZ"),20,24+4)),"")</f>
        <v/>
      </c>
      <c r="H186" s="57"/>
    </row>
    <row r="187" spans="1:8" ht="13.5" customHeight="1">
      <c r="A187" s="57">
        <f>IF(DAY(DATE(対象年度,$B$2,18))&lt;&gt;18,"",18)</f>
        <v>18</v>
      </c>
      <c r="B187" s="57" t="str">
        <f>IF(DAY(DATE(対象年度,$B$2,18))&lt;&gt;18,"",CHOOSE(WEEKDAY(DATE(対象年度,$B$2,18),2),"月","火","水","木","金","土","日"))</f>
        <v>日</v>
      </c>
      <c r="C187" s="57" t="str">
        <f ca="1">IFERROR(IF(INDEX(INDIRECT("'"&amp;$B$2&amp;"月"&amp;"'!A:AZ"),21,24+0)="","",INDEX(INDIRECT("'"&amp;$B$2&amp;"月"&amp;"'!A:AZ"),21,24+0)),"")</f>
        <v/>
      </c>
      <c r="D187" s="58" t="str">
        <f ca="1">IFERROR(IF(INDEX(INDIRECT("'"&amp;$B$2&amp;"月"&amp;"'!A:AZ"),21,24+1)="","",INDEX(INDIRECT("'"&amp;$B$2&amp;"月"&amp;"'!A:AZ"),21,24+1)),"")</f>
        <v/>
      </c>
      <c r="E187" s="57" t="str">
        <f ca="1">IFERROR(IF(INDEX(INDIRECT("'"&amp;$B$2&amp;"月"&amp;"'!A:AZ"),21,24+2)="","",INDEX(INDIRECT("'"&amp;$B$2&amp;"月"&amp;"'!A:AZ"),21,24+2)),"")</f>
        <v/>
      </c>
      <c r="F187" s="59" t="str">
        <f ca="1">IFERROR(IF(INDEX(INDIRECT("'"&amp;$B$2&amp;"月"&amp;"'!A:AZ"),21,24+3)="","",INDEX(INDIRECT("'"&amp;$B$2&amp;"月"&amp;"'!A:AZ"),21,24+3)),"")</f>
        <v/>
      </c>
      <c r="G187" s="57" t="str">
        <f ca="1">IFERROR(IF(INDEX(INDIRECT("'"&amp;$B$2&amp;"月"&amp;"'!A:AZ"),21,24+4)="","",INDEX(INDIRECT("'"&amp;$B$2&amp;"月"&amp;"'!A:AZ"),21,24+4)),"")</f>
        <v/>
      </c>
      <c r="H187" s="57"/>
    </row>
    <row r="188" spans="1:8" ht="13.5" customHeight="1">
      <c r="A188" s="57">
        <f>IF(DAY(DATE(対象年度,$B$2,19))&lt;&gt;19,"",19)</f>
        <v>19</v>
      </c>
      <c r="B188" s="57" t="str">
        <f>IF(DAY(DATE(対象年度,$B$2,19))&lt;&gt;19,"",CHOOSE(WEEKDAY(DATE(対象年度,$B$2,19),2),"月","火","水","木","金","土","日"))</f>
        <v>月</v>
      </c>
      <c r="C188" s="57" t="str">
        <f ca="1">IFERROR(IF(INDEX(INDIRECT("'"&amp;$B$2&amp;"月"&amp;"'!A:AZ"),22,24+0)="","",INDEX(INDIRECT("'"&amp;$B$2&amp;"月"&amp;"'!A:AZ"),22,24+0)),"")</f>
        <v/>
      </c>
      <c r="D188" s="58" t="str">
        <f ca="1">IFERROR(IF(INDEX(INDIRECT("'"&amp;$B$2&amp;"月"&amp;"'!A:AZ"),22,24+1)="","",INDEX(INDIRECT("'"&amp;$B$2&amp;"月"&amp;"'!A:AZ"),22,24+1)),"")</f>
        <v/>
      </c>
      <c r="E188" s="57" t="str">
        <f ca="1">IFERROR(IF(INDEX(INDIRECT("'"&amp;$B$2&amp;"月"&amp;"'!A:AZ"),22,24+2)="","",INDEX(INDIRECT("'"&amp;$B$2&amp;"月"&amp;"'!A:AZ"),22,24+2)),"")</f>
        <v/>
      </c>
      <c r="F188" s="59" t="str">
        <f ca="1">IFERROR(IF(INDEX(INDIRECT("'"&amp;$B$2&amp;"月"&amp;"'!A:AZ"),22,24+3)="","",INDEX(INDIRECT("'"&amp;$B$2&amp;"月"&amp;"'!A:AZ"),22,24+3)),"")</f>
        <v/>
      </c>
      <c r="G188" s="57" t="str">
        <f ca="1">IFERROR(IF(INDEX(INDIRECT("'"&amp;$B$2&amp;"月"&amp;"'!A:AZ"),22,24+4)="","",INDEX(INDIRECT("'"&amp;$B$2&amp;"月"&amp;"'!A:AZ"),22,24+4)),"")</f>
        <v/>
      </c>
      <c r="H188" s="57"/>
    </row>
    <row r="189" spans="1:8" ht="13.5" customHeight="1">
      <c r="A189" s="57">
        <f>IF(DAY(DATE(対象年度,$B$2,20))&lt;&gt;20,"",20)</f>
        <v>20</v>
      </c>
      <c r="B189" s="57" t="str">
        <f>IF(DAY(DATE(対象年度,$B$2,20))&lt;&gt;20,"",CHOOSE(WEEKDAY(DATE(対象年度,$B$2,20),2),"月","火","水","木","金","土","日"))</f>
        <v>火</v>
      </c>
      <c r="C189" s="57" t="str">
        <f ca="1">IFERROR(IF(INDEX(INDIRECT("'"&amp;$B$2&amp;"月"&amp;"'!A:AZ"),23,24+0)="","",INDEX(INDIRECT("'"&amp;$B$2&amp;"月"&amp;"'!A:AZ"),23,24+0)),"")</f>
        <v/>
      </c>
      <c r="D189" s="58" t="str">
        <f ca="1">IFERROR(IF(INDEX(INDIRECT("'"&amp;$B$2&amp;"月"&amp;"'!A:AZ"),23,24+1)="","",INDEX(INDIRECT("'"&amp;$B$2&amp;"月"&amp;"'!A:AZ"),23,24+1)),"")</f>
        <v/>
      </c>
      <c r="E189" s="57" t="str">
        <f ca="1">IFERROR(IF(INDEX(INDIRECT("'"&amp;$B$2&amp;"月"&amp;"'!A:AZ"),23,24+2)="","",INDEX(INDIRECT("'"&amp;$B$2&amp;"月"&amp;"'!A:AZ"),23,24+2)),"")</f>
        <v/>
      </c>
      <c r="F189" s="59" t="str">
        <f ca="1">IFERROR(IF(INDEX(INDIRECT("'"&amp;$B$2&amp;"月"&amp;"'!A:AZ"),23,24+3)="","",INDEX(INDIRECT("'"&amp;$B$2&amp;"月"&amp;"'!A:AZ"),23,24+3)),"")</f>
        <v/>
      </c>
      <c r="G189" s="57" t="str">
        <f ca="1">IFERROR(IF(INDEX(INDIRECT("'"&amp;$B$2&amp;"月"&amp;"'!A:AZ"),23,24+4)="","",INDEX(INDIRECT("'"&amp;$B$2&amp;"月"&amp;"'!A:AZ"),23,24+4)),"")</f>
        <v/>
      </c>
      <c r="H189" s="57"/>
    </row>
    <row r="190" spans="1:8" ht="13.5" customHeight="1">
      <c r="A190" s="57">
        <f>IF(DAY(DATE(対象年度,$B$2,21))&lt;&gt;21,"",21)</f>
        <v>21</v>
      </c>
      <c r="B190" s="57" t="str">
        <f>IF(DAY(DATE(対象年度,$B$2,21))&lt;&gt;21,"",CHOOSE(WEEKDAY(DATE(対象年度,$B$2,21),2),"月","火","水","木","金","土","日"))</f>
        <v>水</v>
      </c>
      <c r="C190" s="57" t="str">
        <f ca="1">IFERROR(IF(INDEX(INDIRECT("'"&amp;$B$2&amp;"月"&amp;"'!A:AZ"),24,24+0)="","",INDEX(INDIRECT("'"&amp;$B$2&amp;"月"&amp;"'!A:AZ"),24,24+0)),"")</f>
        <v>新宿</v>
      </c>
      <c r="D190" s="58" t="str">
        <f ca="1">IFERROR(IF(INDEX(INDIRECT("'"&amp;$B$2&amp;"月"&amp;"'!A:AZ"),24,24+1)="","",INDEX(INDIRECT("'"&amp;$B$2&amp;"月"&amp;"'!A:AZ"),24,24+1)),"")</f>
        <v/>
      </c>
      <c r="E190" s="57" t="str">
        <f ca="1">IFERROR(IF(INDEX(INDIRECT("'"&amp;$B$2&amp;"月"&amp;"'!A:AZ"),24,24+2)="","",INDEX(INDIRECT("'"&amp;$B$2&amp;"月"&amp;"'!A:AZ"),24,24+2)),"")</f>
        <v>○</v>
      </c>
      <c r="F190" s="59" t="str">
        <f ca="1">IFERROR(IF(INDEX(INDIRECT("'"&amp;$B$2&amp;"月"&amp;"'!A:AZ"),24,24+3)="","",INDEX(INDIRECT("'"&amp;$B$2&amp;"月"&amp;"'!A:AZ"),24,24+3)),"")</f>
        <v/>
      </c>
      <c r="G190" s="57" t="str">
        <f ca="1">IFERROR(IF(INDEX(INDIRECT("'"&amp;$B$2&amp;"月"&amp;"'!A:AZ"),24,24+4)="","",INDEX(INDIRECT("'"&amp;$B$2&amp;"月"&amp;"'!A:AZ"),24,24+4)),"")</f>
        <v/>
      </c>
      <c r="H190" s="57"/>
    </row>
    <row r="191" spans="1:8" ht="13.5" customHeight="1">
      <c r="A191" s="57">
        <f>IF(DAY(DATE(対象年度,$B$2,22))&lt;&gt;22,"",22)</f>
        <v>22</v>
      </c>
      <c r="B191" s="57" t="str">
        <f>IF(DAY(DATE(対象年度,$B$2,22))&lt;&gt;22,"",CHOOSE(WEEKDAY(DATE(対象年度,$B$2,22),2),"月","火","水","木","金","土","日"))</f>
        <v>木</v>
      </c>
      <c r="C191" s="57" t="str">
        <f ca="1">IFERROR(IF(INDEX(INDIRECT("'"&amp;$B$2&amp;"月"&amp;"'!A:AZ"),25,24+0)="","",INDEX(INDIRECT("'"&amp;$B$2&amp;"月"&amp;"'!A:AZ"),25,24+0)),"")</f>
        <v>新宿</v>
      </c>
      <c r="D191" s="58" t="str">
        <f ca="1">IFERROR(IF(INDEX(INDIRECT("'"&amp;$B$2&amp;"月"&amp;"'!A:AZ"),25,24+1)="","",INDEX(INDIRECT("'"&amp;$B$2&amp;"月"&amp;"'!A:AZ"),25,24+1)),"")</f>
        <v/>
      </c>
      <c r="E191" s="57" t="str">
        <f ca="1">IFERROR(IF(INDEX(INDIRECT("'"&amp;$B$2&amp;"月"&amp;"'!A:AZ"),25,24+2)="","",INDEX(INDIRECT("'"&amp;$B$2&amp;"月"&amp;"'!A:AZ"),25,24+2)),"")</f>
        <v>○</v>
      </c>
      <c r="F191" s="59" t="str">
        <f ca="1">IFERROR(IF(INDEX(INDIRECT("'"&amp;$B$2&amp;"月"&amp;"'!A:AZ"),25,24+3)="","",INDEX(INDIRECT("'"&amp;$B$2&amp;"月"&amp;"'!A:AZ"),25,24+3)),"")</f>
        <v/>
      </c>
      <c r="G191" s="57" t="str">
        <f ca="1">IFERROR(IF(INDEX(INDIRECT("'"&amp;$B$2&amp;"月"&amp;"'!A:AZ"),25,24+4)="","",INDEX(INDIRECT("'"&amp;$B$2&amp;"月"&amp;"'!A:AZ"),25,24+4)),"")</f>
        <v/>
      </c>
      <c r="H191" s="57"/>
    </row>
    <row r="192" spans="1:8" ht="13.5" customHeight="1">
      <c r="A192" s="57">
        <f>IF(DAY(DATE(対象年度,$B$2,23))&lt;&gt;23,"",23)</f>
        <v>23</v>
      </c>
      <c r="B192" s="57" t="str">
        <f>IF(DAY(DATE(対象年度,$B$2,23))&lt;&gt;23,"",CHOOSE(WEEKDAY(DATE(対象年度,$B$2,23),2),"月","火","水","木","金","土","日"))</f>
        <v>金</v>
      </c>
      <c r="C192" s="57" t="str">
        <f ca="1">IFERROR(IF(INDEX(INDIRECT("'"&amp;$B$2&amp;"月"&amp;"'!A:AZ"),26,24+0)="","",INDEX(INDIRECT("'"&amp;$B$2&amp;"月"&amp;"'!A:AZ"),26,24+0)),"")</f>
        <v>新宿</v>
      </c>
      <c r="D192" s="58" t="str">
        <f ca="1">IFERROR(IF(INDEX(INDIRECT("'"&amp;$B$2&amp;"月"&amp;"'!A:AZ"),26,24+1)="","",INDEX(INDIRECT("'"&amp;$B$2&amp;"月"&amp;"'!A:AZ"),26,24+1)),"")</f>
        <v/>
      </c>
      <c r="E192" s="57" t="str">
        <f ca="1">IFERROR(IF(INDEX(INDIRECT("'"&amp;$B$2&amp;"月"&amp;"'!A:AZ"),26,24+2)="","",INDEX(INDIRECT("'"&amp;$B$2&amp;"月"&amp;"'!A:AZ"),26,24+2)),"")</f>
        <v>○</v>
      </c>
      <c r="F192" s="59" t="str">
        <f ca="1">IFERROR(IF(INDEX(INDIRECT("'"&amp;$B$2&amp;"月"&amp;"'!A:AZ"),26,24+3)="","",INDEX(INDIRECT("'"&amp;$B$2&amp;"月"&amp;"'!A:AZ"),26,24+3)),"")</f>
        <v/>
      </c>
      <c r="G192" s="57" t="str">
        <f ca="1">IFERROR(IF(INDEX(INDIRECT("'"&amp;$B$2&amp;"月"&amp;"'!A:AZ"),26,24+4)="","",INDEX(INDIRECT("'"&amp;$B$2&amp;"月"&amp;"'!A:AZ"),26,24+4)),"")</f>
        <v/>
      </c>
      <c r="H192" s="57"/>
    </row>
    <row r="193" spans="1:8" ht="13.5" customHeight="1">
      <c r="A193" s="57">
        <f>IF(DAY(DATE(対象年度,$B$2,24))&lt;&gt;24,"",24)</f>
        <v>24</v>
      </c>
      <c r="B193" s="57" t="str">
        <f>IF(DAY(DATE(対象年度,$B$2,24))&lt;&gt;24,"",CHOOSE(WEEKDAY(DATE(対象年度,$B$2,24),2),"月","火","水","木","金","土","日"))</f>
        <v>土</v>
      </c>
      <c r="C193" s="57" t="str">
        <f ca="1">IFERROR(IF(INDEX(INDIRECT("'"&amp;$B$2&amp;"月"&amp;"'!A:AZ"),27,24+0)="","",INDEX(INDIRECT("'"&amp;$B$2&amp;"月"&amp;"'!A:AZ"),27,24+0)),"")</f>
        <v>新宿</v>
      </c>
      <c r="D193" s="58" t="str">
        <f ca="1">IFERROR(IF(INDEX(INDIRECT("'"&amp;$B$2&amp;"月"&amp;"'!A:AZ"),27,24+1)="","",INDEX(INDIRECT("'"&amp;$B$2&amp;"月"&amp;"'!A:AZ"),27,24+1)),"")</f>
        <v/>
      </c>
      <c r="E193" s="57" t="str">
        <f ca="1">IFERROR(IF(INDEX(INDIRECT("'"&amp;$B$2&amp;"月"&amp;"'!A:AZ"),27,24+2)="","",INDEX(INDIRECT("'"&amp;$B$2&amp;"月"&amp;"'!A:AZ"),27,24+2)),"")</f>
        <v>○</v>
      </c>
      <c r="F193" s="59" t="str">
        <f ca="1">IFERROR(IF(INDEX(INDIRECT("'"&amp;$B$2&amp;"月"&amp;"'!A:AZ"),27,24+3)="","",INDEX(INDIRECT("'"&amp;$B$2&amp;"月"&amp;"'!A:AZ"),27,24+3)),"")</f>
        <v/>
      </c>
      <c r="G193" s="57" t="str">
        <f ca="1">IFERROR(IF(INDEX(INDIRECT("'"&amp;$B$2&amp;"月"&amp;"'!A:AZ"),27,24+4)="","",INDEX(INDIRECT("'"&amp;$B$2&amp;"月"&amp;"'!A:AZ"),27,24+4)),"")</f>
        <v/>
      </c>
      <c r="H193" s="57"/>
    </row>
    <row r="194" spans="1:8" ht="13.5" customHeight="1">
      <c r="A194" s="57">
        <f>IF(DAY(DATE(対象年度,$B$2,25))&lt;&gt;25,"",25)</f>
        <v>25</v>
      </c>
      <c r="B194" s="57" t="str">
        <f>IF(DAY(DATE(対象年度,$B$2,25))&lt;&gt;25,"",CHOOSE(WEEKDAY(DATE(対象年度,$B$2,25),2),"月","火","水","木","金","土","日"))</f>
        <v>日</v>
      </c>
      <c r="C194" s="57" t="str">
        <f ca="1">IFERROR(IF(INDEX(INDIRECT("'"&amp;$B$2&amp;"月"&amp;"'!A:AZ"),28,24+0)="","",INDEX(INDIRECT("'"&amp;$B$2&amp;"月"&amp;"'!A:AZ"),28,24+0)),"")</f>
        <v/>
      </c>
      <c r="D194" s="58" t="str">
        <f ca="1">IFERROR(IF(INDEX(INDIRECT("'"&amp;$B$2&amp;"月"&amp;"'!A:AZ"),28,24+1)="","",INDEX(INDIRECT("'"&amp;$B$2&amp;"月"&amp;"'!A:AZ"),28,24+1)),"")</f>
        <v/>
      </c>
      <c r="E194" s="57" t="str">
        <f ca="1">IFERROR(IF(INDEX(INDIRECT("'"&amp;$B$2&amp;"月"&amp;"'!A:AZ"),28,24+2)="","",INDEX(INDIRECT("'"&amp;$B$2&amp;"月"&amp;"'!A:AZ"),28,24+2)),"")</f>
        <v/>
      </c>
      <c r="F194" s="59" t="str">
        <f ca="1">IFERROR(IF(INDEX(INDIRECT("'"&amp;$B$2&amp;"月"&amp;"'!A:AZ"),28,24+3)="","",INDEX(INDIRECT("'"&amp;$B$2&amp;"月"&amp;"'!A:AZ"),28,24+3)),"")</f>
        <v/>
      </c>
      <c r="G194" s="57" t="str">
        <f ca="1">IFERROR(IF(INDEX(INDIRECT("'"&amp;$B$2&amp;"月"&amp;"'!A:AZ"),28,24+4)="","",INDEX(INDIRECT("'"&amp;$B$2&amp;"月"&amp;"'!A:AZ"),28,24+4)),"")</f>
        <v/>
      </c>
      <c r="H194" s="57"/>
    </row>
    <row r="195" spans="1:8" ht="13.5" customHeight="1">
      <c r="A195" s="57">
        <f>IF(DAY(DATE(対象年度,$B$2,26))&lt;&gt;26,"",26)</f>
        <v>26</v>
      </c>
      <c r="B195" s="57" t="str">
        <f>IF(DAY(DATE(対象年度,$B$2,26))&lt;&gt;26,"",CHOOSE(WEEKDAY(DATE(対象年度,$B$2,26),2),"月","火","水","木","金","土","日"))</f>
        <v>月</v>
      </c>
      <c r="C195" s="57" t="str">
        <f ca="1">IFERROR(IF(INDEX(INDIRECT("'"&amp;$B$2&amp;"月"&amp;"'!A:AZ"),29,24+0)="","",INDEX(INDIRECT("'"&amp;$B$2&amp;"月"&amp;"'!A:AZ"),29,24+0)),"")</f>
        <v>新宿</v>
      </c>
      <c r="D195" s="58" t="str">
        <f ca="1">IFERROR(IF(INDEX(INDIRECT("'"&amp;$B$2&amp;"月"&amp;"'!A:AZ"),29,24+1)="","",INDEX(INDIRECT("'"&amp;$B$2&amp;"月"&amp;"'!A:AZ"),29,24+1)),"")</f>
        <v/>
      </c>
      <c r="E195" s="57" t="str">
        <f ca="1">IFERROR(IF(INDEX(INDIRECT("'"&amp;$B$2&amp;"月"&amp;"'!A:AZ"),29,24+2)="","",INDEX(INDIRECT("'"&amp;$B$2&amp;"月"&amp;"'!A:AZ"),29,24+2)),"")</f>
        <v>○</v>
      </c>
      <c r="F195" s="59" t="str">
        <f ca="1">IFERROR(IF(INDEX(INDIRECT("'"&amp;$B$2&amp;"月"&amp;"'!A:AZ"),29,24+3)="","",INDEX(INDIRECT("'"&amp;$B$2&amp;"月"&amp;"'!A:AZ"),29,24+3)),"")</f>
        <v/>
      </c>
      <c r="G195" s="57" t="str">
        <f ca="1">IFERROR(IF(INDEX(INDIRECT("'"&amp;$B$2&amp;"月"&amp;"'!A:AZ"),29,24+4)="","",INDEX(INDIRECT("'"&amp;$B$2&amp;"月"&amp;"'!A:AZ"),29,24+4)),"")</f>
        <v/>
      </c>
      <c r="H195" s="57"/>
    </row>
    <row r="196" spans="1:8" ht="13.5" customHeight="1">
      <c r="A196" s="57">
        <f>IF(DAY(DATE(対象年度,$B$2,27))&lt;&gt;27,"",27)</f>
        <v>27</v>
      </c>
      <c r="B196" s="57" t="str">
        <f>IF(DAY(DATE(対象年度,$B$2,27))&lt;&gt;27,"",CHOOSE(WEEKDAY(DATE(対象年度,$B$2,27),2),"月","火","水","木","金","土","日"))</f>
        <v>火</v>
      </c>
      <c r="C196" s="57" t="str">
        <f ca="1">IFERROR(IF(INDEX(INDIRECT("'"&amp;$B$2&amp;"月"&amp;"'!A:AZ"),30,24+0)="","",INDEX(INDIRECT("'"&amp;$B$2&amp;"月"&amp;"'!A:AZ"),30,24+0)),"")</f>
        <v>新宿</v>
      </c>
      <c r="D196" s="58" t="str">
        <f ca="1">IFERROR(IF(INDEX(INDIRECT("'"&amp;$B$2&amp;"月"&amp;"'!A:AZ"),30,24+1)="","",INDEX(INDIRECT("'"&amp;$B$2&amp;"月"&amp;"'!A:AZ"),30,24+1)),"")</f>
        <v/>
      </c>
      <c r="E196" s="57" t="str">
        <f ca="1">IFERROR(IF(INDEX(INDIRECT("'"&amp;$B$2&amp;"月"&amp;"'!A:AZ"),30,24+2)="","",INDEX(INDIRECT("'"&amp;$B$2&amp;"月"&amp;"'!A:AZ"),30,24+2)),"")</f>
        <v>○</v>
      </c>
      <c r="F196" s="59" t="str">
        <f ca="1">IFERROR(IF(INDEX(INDIRECT("'"&amp;$B$2&amp;"月"&amp;"'!A:AZ"),30,24+3)="","",INDEX(INDIRECT("'"&amp;$B$2&amp;"月"&amp;"'!A:AZ"),30,24+3)),"")</f>
        <v/>
      </c>
      <c r="G196" s="57" t="str">
        <f ca="1">IFERROR(IF(INDEX(INDIRECT("'"&amp;$B$2&amp;"月"&amp;"'!A:AZ"),30,24+4)="","",INDEX(INDIRECT("'"&amp;$B$2&amp;"月"&amp;"'!A:AZ"),30,24+4)),"")</f>
        <v/>
      </c>
      <c r="H196" s="57"/>
    </row>
    <row r="197" spans="1:8" ht="13.5" customHeight="1">
      <c r="A197" s="57">
        <f>IF(DAY(DATE(対象年度,$B$2,28))&lt;&gt;28,"",28)</f>
        <v>28</v>
      </c>
      <c r="B197" s="57" t="str">
        <f>IF(DAY(DATE(対象年度,$B$2,28))&lt;&gt;28,"",CHOOSE(WEEKDAY(DATE(対象年度,$B$2,28),2),"月","火","水","木","金","土","日"))</f>
        <v>水</v>
      </c>
      <c r="C197" s="57" t="str">
        <f ca="1">IFERROR(IF(INDEX(INDIRECT("'"&amp;$B$2&amp;"月"&amp;"'!A:AZ"),31,24+0)="","",INDEX(INDIRECT("'"&amp;$B$2&amp;"月"&amp;"'!A:AZ"),31,24+0)),"")</f>
        <v>新宿</v>
      </c>
      <c r="D197" s="58" t="str">
        <f ca="1">IFERROR(IF(INDEX(INDIRECT("'"&amp;$B$2&amp;"月"&amp;"'!A:AZ"),31,24+1)="","",INDEX(INDIRECT("'"&amp;$B$2&amp;"月"&amp;"'!A:AZ"),31,24+1)),"")</f>
        <v/>
      </c>
      <c r="E197" s="57" t="str">
        <f ca="1">IFERROR(IF(INDEX(INDIRECT("'"&amp;$B$2&amp;"月"&amp;"'!A:AZ"),31,24+2)="","",INDEX(INDIRECT("'"&amp;$B$2&amp;"月"&amp;"'!A:AZ"),31,24+2)),"")</f>
        <v>○</v>
      </c>
      <c r="F197" s="59" t="str">
        <f ca="1">IFERROR(IF(INDEX(INDIRECT("'"&amp;$B$2&amp;"月"&amp;"'!A:AZ"),31,24+3)="","",INDEX(INDIRECT("'"&amp;$B$2&amp;"月"&amp;"'!A:AZ"),31,24+3)),"")</f>
        <v/>
      </c>
      <c r="G197" s="57" t="str">
        <f ca="1">IFERROR(IF(INDEX(INDIRECT("'"&amp;$B$2&amp;"月"&amp;"'!A:AZ"),31,24+4)="","",INDEX(INDIRECT("'"&amp;$B$2&amp;"月"&amp;"'!A:AZ"),31,24+4)),"")</f>
        <v/>
      </c>
      <c r="H197" s="57"/>
    </row>
    <row r="198" spans="1:8" ht="13.5" customHeight="1">
      <c r="A198" s="57">
        <f>IF(DAY(DATE(対象年度,$B$2,29))&lt;&gt;29,"",29)</f>
        <v>29</v>
      </c>
      <c r="B198" s="57" t="str">
        <f>IF(DAY(DATE(対象年度,$B$2,29))&lt;&gt;29,"",CHOOSE(WEEKDAY(DATE(対象年度,$B$2,29),2),"月","火","水","木","金","土","日"))</f>
        <v>木</v>
      </c>
      <c r="C198" s="57" t="str">
        <f ca="1">IFERROR(IF(INDEX(INDIRECT("'"&amp;$B$2&amp;"月"&amp;"'!A:AZ"),32,24+0)="","",INDEX(INDIRECT("'"&amp;$B$2&amp;"月"&amp;"'!A:AZ"),32,24+0)),"")</f>
        <v>新宿</v>
      </c>
      <c r="D198" s="58" t="str">
        <f ca="1">IFERROR(IF(INDEX(INDIRECT("'"&amp;$B$2&amp;"月"&amp;"'!A:AZ"),32,24+1)="","",INDEX(INDIRECT("'"&amp;$B$2&amp;"月"&amp;"'!A:AZ"),32,24+1)),"")</f>
        <v/>
      </c>
      <c r="E198" s="57" t="str">
        <f ca="1">IFERROR(IF(INDEX(INDIRECT("'"&amp;$B$2&amp;"月"&amp;"'!A:AZ"),32,24+2)="","",INDEX(INDIRECT("'"&amp;$B$2&amp;"月"&amp;"'!A:AZ"),32,24+2)),"")</f>
        <v>○</v>
      </c>
      <c r="F198" s="59" t="str">
        <f ca="1">IFERROR(IF(INDEX(INDIRECT("'"&amp;$B$2&amp;"月"&amp;"'!A:AZ"),32,24+3)="","",INDEX(INDIRECT("'"&amp;$B$2&amp;"月"&amp;"'!A:AZ"),32,24+3)),"")</f>
        <v/>
      </c>
      <c r="G198" s="57" t="str">
        <f ca="1">IFERROR(IF(INDEX(INDIRECT("'"&amp;$B$2&amp;"月"&amp;"'!A:AZ"),32,24+4)="","",INDEX(INDIRECT("'"&amp;$B$2&amp;"月"&amp;"'!A:AZ"),32,24+4)),"")</f>
        <v/>
      </c>
      <c r="H198" s="57"/>
    </row>
    <row r="199" spans="1:8" ht="13.5" customHeight="1">
      <c r="A199" s="57">
        <f>IF(DAY(DATE(対象年度,$B$2,30))&lt;&gt;30,"",30)</f>
        <v>30</v>
      </c>
      <c r="B199" s="57" t="str">
        <f>IF(DAY(DATE(対象年度,$B$2,30))&lt;&gt;30,"",CHOOSE(WEEKDAY(DATE(対象年度,$B$2,30),2),"月","火","水","木","金","土","日"))</f>
        <v>金</v>
      </c>
      <c r="C199" s="57" t="str">
        <f ca="1">IFERROR(IF(INDEX(INDIRECT("'"&amp;$B$2&amp;"月"&amp;"'!A:AZ"),33,24+0)="","",INDEX(INDIRECT("'"&amp;$B$2&amp;"月"&amp;"'!A:AZ"),33,24+0)),"")</f>
        <v>新宿</v>
      </c>
      <c r="D199" s="58" t="str">
        <f ca="1">IFERROR(IF(INDEX(INDIRECT("'"&amp;$B$2&amp;"月"&amp;"'!A:AZ"),33,24+1)="","",INDEX(INDIRECT("'"&amp;$B$2&amp;"月"&amp;"'!A:AZ"),33,24+1)),"")</f>
        <v/>
      </c>
      <c r="E199" s="57" t="str">
        <f ca="1">IFERROR(IF(INDEX(INDIRECT("'"&amp;$B$2&amp;"月"&amp;"'!A:AZ"),33,24+2)="","",INDEX(INDIRECT("'"&amp;$B$2&amp;"月"&amp;"'!A:AZ"),33,24+2)),"")</f>
        <v>○</v>
      </c>
      <c r="F199" s="59" t="str">
        <f ca="1">IFERROR(IF(INDEX(INDIRECT("'"&amp;$B$2&amp;"月"&amp;"'!A:AZ"),33,24+3)="","",INDEX(INDIRECT("'"&amp;$B$2&amp;"月"&amp;"'!A:AZ"),33,24+3)),"")</f>
        <v/>
      </c>
      <c r="G199" s="57" t="str">
        <f ca="1">IFERROR(IF(INDEX(INDIRECT("'"&amp;$B$2&amp;"月"&amp;"'!A:AZ"),33,24+4)="","",INDEX(INDIRECT("'"&amp;$B$2&amp;"月"&amp;"'!A:AZ"),33,24+4)),"")</f>
        <v/>
      </c>
      <c r="H199" s="57"/>
    </row>
    <row r="200" spans="1:8" ht="13.5" customHeight="1">
      <c r="A200" s="57">
        <f>IF(DAY(DATE(対象年度,$B$2,31))&lt;&gt;31,"",31)</f>
        <v>31</v>
      </c>
      <c r="B200" s="57" t="str">
        <f>IF(DAY(DATE(対象年度,$B$2,31))&lt;&gt;31,"",CHOOSE(WEEKDAY(DATE(対象年度,$B$2,31),2),"月","火","水","木","金","土","日"))</f>
        <v>土</v>
      </c>
      <c r="C200" s="57" t="str">
        <f ca="1">IFERROR(IF(INDEX(INDIRECT("'"&amp;$B$2&amp;"月"&amp;"'!A:AZ"),34,24+0)="","",INDEX(INDIRECT("'"&amp;$B$2&amp;"月"&amp;"'!A:AZ"),34,24+0)),"")</f>
        <v>新宿</v>
      </c>
      <c r="D200" s="58" t="str">
        <f ca="1">IFERROR(IF(INDEX(INDIRECT("'"&amp;$B$2&amp;"月"&amp;"'!A:AZ"),34,24+1)="","",INDEX(INDIRECT("'"&amp;$B$2&amp;"月"&amp;"'!A:AZ"),34,24+1)),"")</f>
        <v/>
      </c>
      <c r="E200" s="57" t="str">
        <f ca="1">IFERROR(IF(INDEX(INDIRECT("'"&amp;$B$2&amp;"月"&amp;"'!A:AZ"),34,24+2)="","",INDEX(INDIRECT("'"&amp;$B$2&amp;"月"&amp;"'!A:AZ"),34,24+2)),"")</f>
        <v>○</v>
      </c>
      <c r="F200" s="59" t="str">
        <f ca="1">IFERROR(IF(INDEX(INDIRECT("'"&amp;$B$2&amp;"月"&amp;"'!A:AZ"),34,24+3)="","",INDEX(INDIRECT("'"&amp;$B$2&amp;"月"&amp;"'!A:AZ"),34,24+3)),"")</f>
        <v/>
      </c>
      <c r="G200" s="57" t="str">
        <f ca="1">IFERROR(IF(INDEX(INDIRECT("'"&amp;$B$2&amp;"月"&amp;"'!A:AZ"),34,24+4)="","",INDEX(INDIRECT("'"&amp;$B$2&amp;"月"&amp;"'!A:AZ"),34,24+4)),"")</f>
        <v/>
      </c>
      <c r="H200" s="57"/>
    </row>
    <row r="201" spans="1:8" ht="21.75" customHeight="1">
      <c r="A201" s="111" t="s">
        <v>144</v>
      </c>
      <c r="B201" s="111"/>
      <c r="C201" s="61" t="s">
        <v>113</v>
      </c>
      <c r="D201" s="62">
        <f ca="1">IFERROR(INDEX(INDIRECT("'"&amp;$B$2&amp;"月"&amp;"'!A:AZ"),35,24),0)</f>
        <v>10</v>
      </c>
      <c r="E201" s="63" t="s">
        <v>114</v>
      </c>
      <c r="F201" s="64">
        <f ca="1">IFERROR(INDEX(INDIRECT("'"&amp;$B$2&amp;"月"&amp;"'!A:AZ"),36,24),0)</f>
        <v>0</v>
      </c>
      <c r="G201" s="61" t="s">
        <v>115</v>
      </c>
      <c r="H201" s="62">
        <f ca="1">IFERROR(INDEX(INDIRECT("'"&amp;$B$2&amp;"月"&amp;"'!A:AZ"),38,24),0)</f>
        <v>0</v>
      </c>
    </row>
    <row r="202" spans="1:8" ht="24" customHeight="1">
      <c r="A202" s="112"/>
      <c r="B202" s="112"/>
      <c r="C202" s="65" t="s">
        <v>122</v>
      </c>
      <c r="D202" s="66">
        <f ca="1">IFERROR(INDEX(INDIRECT("'"&amp;$B$2&amp;"月"&amp;"'!A:AZ"),37,24),0)</f>
        <v>10</v>
      </c>
      <c r="E202" s="67" t="s">
        <v>105</v>
      </c>
      <c r="F202" s="68">
        <f ca="1">IFERROR(INDEX(INDIRECT("'"&amp;$B$2&amp;"月"&amp;"'!A:AZ"),39,24),0)</f>
        <v>0</v>
      </c>
      <c r="G202" s="69" t="s">
        <v>106</v>
      </c>
      <c r="H202" s="70">
        <f ca="1">IFERROR(INDEX(INDIRECT("'"&amp;$B$2&amp;"月"&amp;"'!A:AZ"),40,24),0)</f>
        <v>0</v>
      </c>
    </row>
    <row r="204" spans="1:8" ht="27.75" customHeight="1">
      <c r="A204" s="90" t="s">
        <v>133</v>
      </c>
      <c r="B204" s="90"/>
      <c r="C204" s="90"/>
      <c r="D204" s="90"/>
      <c r="E204" s="90"/>
      <c r="F204" s="90"/>
      <c r="G204" s="90"/>
      <c r="H204" s="90"/>
    </row>
    <row r="205" spans="1:8" ht="18" customHeight="1">
      <c r="A205" s="113" t="s">
        <v>134</v>
      </c>
      <c r="B205" s="113"/>
      <c r="C205" s="113"/>
      <c r="D205" s="113"/>
      <c r="E205" s="113"/>
      <c r="F205" s="113"/>
      <c r="G205" s="113"/>
      <c r="H205" s="113"/>
    </row>
    <row r="206" spans="1:8" ht="27.75" customHeight="1">
      <c r="A206" s="49" t="s">
        <v>135</v>
      </c>
      <c r="B206" s="114" t="str">
        <f>対象年度&amp;"年 "&amp;$B$2&amp;"月"</f>
        <v>2026年 1月</v>
      </c>
      <c r="C206" s="114"/>
      <c r="D206" s="49" t="s">
        <v>136</v>
      </c>
      <c r="E206" s="115" t="str">
        <f>IFERROR(従業員マスタ!$C$9,"")</f>
        <v>高橋 四郎</v>
      </c>
      <c r="F206" s="115"/>
      <c r="G206" s="115"/>
      <c r="H206" s="115"/>
    </row>
    <row r="207" spans="1:8" ht="19.5" customHeight="1">
      <c r="A207" s="73" t="s">
        <v>147</v>
      </c>
      <c r="B207" s="53" t="s">
        <v>148</v>
      </c>
      <c r="C207" s="119" t="s">
        <v>141</v>
      </c>
      <c r="D207" s="119"/>
      <c r="E207" s="119" t="s">
        <v>142</v>
      </c>
      <c r="F207" s="119"/>
      <c r="G207" s="116" t="s">
        <v>143</v>
      </c>
      <c r="H207" s="116"/>
    </row>
    <row r="208" spans="1:8" ht="43.5" customHeight="1">
      <c r="A208" s="74"/>
      <c r="B208" s="54"/>
      <c r="C208" s="110"/>
      <c r="D208" s="110"/>
      <c r="E208" s="110"/>
      <c r="F208" s="110"/>
      <c r="G208" s="110"/>
      <c r="H208" s="110"/>
    </row>
    <row r="209" spans="1:8" ht="19.5" customHeight="1">
      <c r="A209" s="55" t="s">
        <v>108</v>
      </c>
      <c r="B209" s="55" t="s">
        <v>109</v>
      </c>
      <c r="C209" s="55" t="s">
        <v>111</v>
      </c>
      <c r="D209" s="56" t="s">
        <v>112</v>
      </c>
      <c r="E209" s="55" t="s">
        <v>113</v>
      </c>
      <c r="F209" s="55" t="s">
        <v>114</v>
      </c>
      <c r="G209" s="55" t="s">
        <v>115</v>
      </c>
      <c r="H209" s="55" t="s">
        <v>75</v>
      </c>
    </row>
    <row r="210" spans="1:8" ht="13.5" customHeight="1">
      <c r="A210" s="57">
        <f>IF(DAY(DATE(対象年度,$B$2,1))&lt;&gt;1,"",1)</f>
        <v>1</v>
      </c>
      <c r="B210" s="57" t="str">
        <f>IF(DAY(DATE(対象年度,$B$2,1))&lt;&gt;1,"",CHOOSE(WEEKDAY(DATE(対象年度,$B$2,1),2),"月","火","水","木","金","土","日"))</f>
        <v>木</v>
      </c>
      <c r="C210" s="57" t="str">
        <f ca="1">IFERROR(IF(INDEX(INDIRECT("'"&amp;$B$2&amp;"月"&amp;"'!A:AZ"),4,29+0)="","",INDEX(INDIRECT("'"&amp;$B$2&amp;"月"&amp;"'!A:AZ"),4,29+0)),"")</f>
        <v/>
      </c>
      <c r="D210" s="58" t="str">
        <f ca="1">IFERROR(IF(INDEX(INDIRECT("'"&amp;$B$2&amp;"月"&amp;"'!A:AZ"),4,29+1)="","",INDEX(INDIRECT("'"&amp;$B$2&amp;"月"&amp;"'!A:AZ"),4,29+1)),"")</f>
        <v/>
      </c>
      <c r="E210" s="57" t="str">
        <f ca="1">IFERROR(IF(INDEX(INDIRECT("'"&amp;$B$2&amp;"月"&amp;"'!A:AZ"),4,29+2)="","",INDEX(INDIRECT("'"&amp;$B$2&amp;"月"&amp;"'!A:AZ"),4,29+2)),"")</f>
        <v/>
      </c>
      <c r="F210" s="59" t="str">
        <f ca="1">IFERROR(IF(INDEX(INDIRECT("'"&amp;$B$2&amp;"月"&amp;"'!A:AZ"),4,29+3)="","",INDEX(INDIRECT("'"&amp;$B$2&amp;"月"&amp;"'!A:AZ"),4,29+3)),"")</f>
        <v/>
      </c>
      <c r="G210" s="57" t="str">
        <f ca="1">IFERROR(IF(INDEX(INDIRECT("'"&amp;$B$2&amp;"月"&amp;"'!A:AZ"),4,29+4)="","",INDEX(INDIRECT("'"&amp;$B$2&amp;"月"&amp;"'!A:AZ"),4,29+4)),"")</f>
        <v/>
      </c>
      <c r="H210" s="57"/>
    </row>
    <row r="211" spans="1:8" ht="13.5" customHeight="1">
      <c r="A211" s="57">
        <f>IF(DAY(DATE(対象年度,$B$2,2))&lt;&gt;2,"",2)</f>
        <v>2</v>
      </c>
      <c r="B211" s="57" t="str">
        <f>IF(DAY(DATE(対象年度,$B$2,2))&lt;&gt;2,"",CHOOSE(WEEKDAY(DATE(対象年度,$B$2,2),2),"月","火","水","木","金","土","日"))</f>
        <v>金</v>
      </c>
      <c r="C211" s="57" t="str">
        <f ca="1">IFERROR(IF(INDEX(INDIRECT("'"&amp;$B$2&amp;"月"&amp;"'!A:AZ"),5,29+0)="","",INDEX(INDIRECT("'"&amp;$B$2&amp;"月"&amp;"'!A:AZ"),5,29+0)),"")</f>
        <v/>
      </c>
      <c r="D211" s="58" t="str">
        <f ca="1">IFERROR(IF(INDEX(INDIRECT("'"&amp;$B$2&amp;"月"&amp;"'!A:AZ"),5,29+1)="","",INDEX(INDIRECT("'"&amp;$B$2&amp;"月"&amp;"'!A:AZ"),5,29+1)),"")</f>
        <v/>
      </c>
      <c r="E211" s="57" t="str">
        <f ca="1">IFERROR(IF(INDEX(INDIRECT("'"&amp;$B$2&amp;"月"&amp;"'!A:AZ"),5,29+2)="","",INDEX(INDIRECT("'"&amp;$B$2&amp;"月"&amp;"'!A:AZ"),5,29+2)),"")</f>
        <v/>
      </c>
      <c r="F211" s="59" t="str">
        <f ca="1">IFERROR(IF(INDEX(INDIRECT("'"&amp;$B$2&amp;"月"&amp;"'!A:AZ"),5,29+3)="","",INDEX(INDIRECT("'"&amp;$B$2&amp;"月"&amp;"'!A:AZ"),5,29+3)),"")</f>
        <v/>
      </c>
      <c r="G211" s="57" t="str">
        <f ca="1">IFERROR(IF(INDEX(INDIRECT("'"&amp;$B$2&amp;"月"&amp;"'!A:AZ"),5,29+4)="","",INDEX(INDIRECT("'"&amp;$B$2&amp;"月"&amp;"'!A:AZ"),5,29+4)),"")</f>
        <v/>
      </c>
      <c r="H211" s="57"/>
    </row>
    <row r="212" spans="1:8" ht="13.5" customHeight="1">
      <c r="A212" s="57">
        <f>IF(DAY(DATE(対象年度,$B$2,3))&lt;&gt;3,"",3)</f>
        <v>3</v>
      </c>
      <c r="B212" s="57" t="str">
        <f>IF(DAY(DATE(対象年度,$B$2,3))&lt;&gt;3,"",CHOOSE(WEEKDAY(DATE(対象年度,$B$2,3),2),"月","火","水","木","金","土","日"))</f>
        <v>土</v>
      </c>
      <c r="C212" s="57" t="str">
        <f ca="1">IFERROR(IF(INDEX(INDIRECT("'"&amp;$B$2&amp;"月"&amp;"'!A:AZ"),6,29+0)="","",INDEX(INDIRECT("'"&amp;$B$2&amp;"月"&amp;"'!A:AZ"),6,29+0)),"")</f>
        <v/>
      </c>
      <c r="D212" s="58" t="str">
        <f ca="1">IFERROR(IF(INDEX(INDIRECT("'"&amp;$B$2&amp;"月"&amp;"'!A:AZ"),6,29+1)="","",INDEX(INDIRECT("'"&amp;$B$2&amp;"月"&amp;"'!A:AZ"),6,29+1)),"")</f>
        <v/>
      </c>
      <c r="E212" s="57" t="str">
        <f ca="1">IFERROR(IF(INDEX(INDIRECT("'"&amp;$B$2&amp;"月"&amp;"'!A:AZ"),6,29+2)="","",INDEX(INDIRECT("'"&amp;$B$2&amp;"月"&amp;"'!A:AZ"),6,29+2)),"")</f>
        <v/>
      </c>
      <c r="F212" s="59" t="str">
        <f ca="1">IFERROR(IF(INDEX(INDIRECT("'"&amp;$B$2&amp;"月"&amp;"'!A:AZ"),6,29+3)="","",INDEX(INDIRECT("'"&amp;$B$2&amp;"月"&amp;"'!A:AZ"),6,29+3)),"")</f>
        <v/>
      </c>
      <c r="G212" s="57" t="str">
        <f ca="1">IFERROR(IF(INDEX(INDIRECT("'"&amp;$B$2&amp;"月"&amp;"'!A:AZ"),6,29+4)="","",INDEX(INDIRECT("'"&amp;$B$2&amp;"月"&amp;"'!A:AZ"),6,29+4)),"")</f>
        <v/>
      </c>
      <c r="H212" s="57"/>
    </row>
    <row r="213" spans="1:8" ht="13.5" customHeight="1">
      <c r="A213" s="57">
        <f>IF(DAY(DATE(対象年度,$B$2,4))&lt;&gt;4,"",4)</f>
        <v>4</v>
      </c>
      <c r="B213" s="57" t="str">
        <f>IF(DAY(DATE(対象年度,$B$2,4))&lt;&gt;4,"",CHOOSE(WEEKDAY(DATE(対象年度,$B$2,4),2),"月","火","水","木","金","土","日"))</f>
        <v>日</v>
      </c>
      <c r="C213" s="57" t="str">
        <f ca="1">IFERROR(IF(INDEX(INDIRECT("'"&amp;$B$2&amp;"月"&amp;"'!A:AZ"),7,29+0)="","",INDEX(INDIRECT("'"&amp;$B$2&amp;"月"&amp;"'!A:AZ"),7,29+0)),"")</f>
        <v/>
      </c>
      <c r="D213" s="58" t="str">
        <f ca="1">IFERROR(IF(INDEX(INDIRECT("'"&amp;$B$2&amp;"月"&amp;"'!A:AZ"),7,29+1)="","",INDEX(INDIRECT("'"&amp;$B$2&amp;"月"&amp;"'!A:AZ"),7,29+1)),"")</f>
        <v/>
      </c>
      <c r="E213" s="57" t="str">
        <f ca="1">IFERROR(IF(INDEX(INDIRECT("'"&amp;$B$2&amp;"月"&amp;"'!A:AZ"),7,29+2)="","",INDEX(INDIRECT("'"&amp;$B$2&amp;"月"&amp;"'!A:AZ"),7,29+2)),"")</f>
        <v/>
      </c>
      <c r="F213" s="59" t="str">
        <f ca="1">IFERROR(IF(INDEX(INDIRECT("'"&amp;$B$2&amp;"月"&amp;"'!A:AZ"),7,29+3)="","",INDEX(INDIRECT("'"&amp;$B$2&amp;"月"&amp;"'!A:AZ"),7,29+3)),"")</f>
        <v/>
      </c>
      <c r="G213" s="57" t="str">
        <f ca="1">IFERROR(IF(INDEX(INDIRECT("'"&amp;$B$2&amp;"月"&amp;"'!A:AZ"),7,29+4)="","",INDEX(INDIRECT("'"&amp;$B$2&amp;"月"&amp;"'!A:AZ"),7,29+4)),"")</f>
        <v/>
      </c>
      <c r="H213" s="57"/>
    </row>
    <row r="214" spans="1:8" ht="13.5" customHeight="1">
      <c r="A214" s="57">
        <f>IF(DAY(DATE(対象年度,$B$2,5))&lt;&gt;5,"",5)</f>
        <v>5</v>
      </c>
      <c r="B214" s="57" t="str">
        <f>IF(DAY(DATE(対象年度,$B$2,5))&lt;&gt;5,"",CHOOSE(WEEKDAY(DATE(対象年度,$B$2,5),2),"月","火","水","木","金","土","日"))</f>
        <v>月</v>
      </c>
      <c r="C214" s="57" t="str">
        <f ca="1">IFERROR(IF(INDEX(INDIRECT("'"&amp;$B$2&amp;"月"&amp;"'!A:AZ"),8,29+0)="","",INDEX(INDIRECT("'"&amp;$B$2&amp;"月"&amp;"'!A:AZ"),8,29+0)),"")</f>
        <v/>
      </c>
      <c r="D214" s="58" t="str">
        <f ca="1">IFERROR(IF(INDEX(INDIRECT("'"&amp;$B$2&amp;"月"&amp;"'!A:AZ"),8,29+1)="","",INDEX(INDIRECT("'"&amp;$B$2&amp;"月"&amp;"'!A:AZ"),8,29+1)),"")</f>
        <v/>
      </c>
      <c r="E214" s="57" t="str">
        <f ca="1">IFERROR(IF(INDEX(INDIRECT("'"&amp;$B$2&amp;"月"&amp;"'!A:AZ"),8,29+2)="","",INDEX(INDIRECT("'"&amp;$B$2&amp;"月"&amp;"'!A:AZ"),8,29+2)),"")</f>
        <v/>
      </c>
      <c r="F214" s="59" t="str">
        <f ca="1">IFERROR(IF(INDEX(INDIRECT("'"&amp;$B$2&amp;"月"&amp;"'!A:AZ"),8,29+3)="","",INDEX(INDIRECT("'"&amp;$B$2&amp;"月"&amp;"'!A:AZ"),8,29+3)),"")</f>
        <v/>
      </c>
      <c r="G214" s="57" t="str">
        <f ca="1">IFERROR(IF(INDEX(INDIRECT("'"&amp;$B$2&amp;"月"&amp;"'!A:AZ"),8,29+4)="","",INDEX(INDIRECT("'"&amp;$B$2&amp;"月"&amp;"'!A:AZ"),8,29+4)),"")</f>
        <v/>
      </c>
      <c r="H214" s="57"/>
    </row>
    <row r="215" spans="1:8" ht="13.5" customHeight="1">
      <c r="A215" s="57">
        <f>IF(DAY(DATE(対象年度,$B$2,6))&lt;&gt;6,"",6)</f>
        <v>6</v>
      </c>
      <c r="B215" s="57" t="str">
        <f>IF(DAY(DATE(対象年度,$B$2,6))&lt;&gt;6,"",CHOOSE(WEEKDAY(DATE(対象年度,$B$2,6),2),"月","火","水","木","金","土","日"))</f>
        <v>火</v>
      </c>
      <c r="C215" s="57" t="str">
        <f ca="1">IFERROR(IF(INDEX(INDIRECT("'"&amp;$B$2&amp;"月"&amp;"'!A:AZ"),9,29+0)="","",INDEX(INDIRECT("'"&amp;$B$2&amp;"月"&amp;"'!A:AZ"),9,29+0)),"")</f>
        <v/>
      </c>
      <c r="D215" s="58" t="str">
        <f ca="1">IFERROR(IF(INDEX(INDIRECT("'"&amp;$B$2&amp;"月"&amp;"'!A:AZ"),9,29+1)="","",INDEX(INDIRECT("'"&amp;$B$2&amp;"月"&amp;"'!A:AZ"),9,29+1)),"")</f>
        <v/>
      </c>
      <c r="E215" s="57" t="str">
        <f ca="1">IFERROR(IF(INDEX(INDIRECT("'"&amp;$B$2&amp;"月"&amp;"'!A:AZ"),9,29+2)="","",INDEX(INDIRECT("'"&amp;$B$2&amp;"月"&amp;"'!A:AZ"),9,29+2)),"")</f>
        <v/>
      </c>
      <c r="F215" s="59" t="str">
        <f ca="1">IFERROR(IF(INDEX(INDIRECT("'"&amp;$B$2&amp;"月"&amp;"'!A:AZ"),9,29+3)="","",INDEX(INDIRECT("'"&amp;$B$2&amp;"月"&amp;"'!A:AZ"),9,29+3)),"")</f>
        <v/>
      </c>
      <c r="G215" s="57" t="str">
        <f ca="1">IFERROR(IF(INDEX(INDIRECT("'"&amp;$B$2&amp;"月"&amp;"'!A:AZ"),9,29+4)="","",INDEX(INDIRECT("'"&amp;$B$2&amp;"月"&amp;"'!A:AZ"),9,29+4)),"")</f>
        <v/>
      </c>
      <c r="H215" s="57"/>
    </row>
    <row r="216" spans="1:8" ht="13.5" customHeight="1">
      <c r="A216" s="57">
        <f>IF(DAY(DATE(対象年度,$B$2,7))&lt;&gt;7,"",7)</f>
        <v>7</v>
      </c>
      <c r="B216" s="57" t="str">
        <f>IF(DAY(DATE(対象年度,$B$2,7))&lt;&gt;7,"",CHOOSE(WEEKDAY(DATE(対象年度,$B$2,7),2),"月","火","水","木","金","土","日"))</f>
        <v>水</v>
      </c>
      <c r="C216" s="57" t="str">
        <f ca="1">IFERROR(IF(INDEX(INDIRECT("'"&amp;$B$2&amp;"月"&amp;"'!A:AZ"),10,29+0)="","",INDEX(INDIRECT("'"&amp;$B$2&amp;"月"&amp;"'!A:AZ"),10,29+0)),"")</f>
        <v/>
      </c>
      <c r="D216" s="58" t="str">
        <f ca="1">IFERROR(IF(INDEX(INDIRECT("'"&amp;$B$2&amp;"月"&amp;"'!A:AZ"),10,29+1)="","",INDEX(INDIRECT("'"&amp;$B$2&amp;"月"&amp;"'!A:AZ"),10,29+1)),"")</f>
        <v/>
      </c>
      <c r="E216" s="57" t="str">
        <f ca="1">IFERROR(IF(INDEX(INDIRECT("'"&amp;$B$2&amp;"月"&amp;"'!A:AZ"),10,29+2)="","",INDEX(INDIRECT("'"&amp;$B$2&amp;"月"&amp;"'!A:AZ"),10,29+2)),"")</f>
        <v/>
      </c>
      <c r="F216" s="59" t="str">
        <f ca="1">IFERROR(IF(INDEX(INDIRECT("'"&amp;$B$2&amp;"月"&amp;"'!A:AZ"),10,29+3)="","",INDEX(INDIRECT("'"&amp;$B$2&amp;"月"&amp;"'!A:AZ"),10,29+3)),"")</f>
        <v/>
      </c>
      <c r="G216" s="57" t="str">
        <f ca="1">IFERROR(IF(INDEX(INDIRECT("'"&amp;$B$2&amp;"月"&amp;"'!A:AZ"),10,29+4)="","",INDEX(INDIRECT("'"&amp;$B$2&amp;"月"&amp;"'!A:AZ"),10,29+4)),"")</f>
        <v/>
      </c>
      <c r="H216" s="57"/>
    </row>
    <row r="217" spans="1:8" ht="13.5" customHeight="1">
      <c r="A217" s="57">
        <f>IF(DAY(DATE(対象年度,$B$2,8))&lt;&gt;8,"",8)</f>
        <v>8</v>
      </c>
      <c r="B217" s="57" t="str">
        <f>IF(DAY(DATE(対象年度,$B$2,8))&lt;&gt;8,"",CHOOSE(WEEKDAY(DATE(対象年度,$B$2,8),2),"月","火","水","木","金","土","日"))</f>
        <v>木</v>
      </c>
      <c r="C217" s="57" t="str">
        <f ca="1">IFERROR(IF(INDEX(INDIRECT("'"&amp;$B$2&amp;"月"&amp;"'!A:AZ"),11,29+0)="","",INDEX(INDIRECT("'"&amp;$B$2&amp;"月"&amp;"'!A:AZ"),11,29+0)),"")</f>
        <v/>
      </c>
      <c r="D217" s="58" t="str">
        <f ca="1">IFERROR(IF(INDEX(INDIRECT("'"&amp;$B$2&amp;"月"&amp;"'!A:AZ"),11,29+1)="","",INDEX(INDIRECT("'"&amp;$B$2&amp;"月"&amp;"'!A:AZ"),11,29+1)),"")</f>
        <v/>
      </c>
      <c r="E217" s="57" t="str">
        <f ca="1">IFERROR(IF(INDEX(INDIRECT("'"&amp;$B$2&amp;"月"&amp;"'!A:AZ"),11,29+2)="","",INDEX(INDIRECT("'"&amp;$B$2&amp;"月"&amp;"'!A:AZ"),11,29+2)),"")</f>
        <v/>
      </c>
      <c r="F217" s="59" t="str">
        <f ca="1">IFERROR(IF(INDEX(INDIRECT("'"&amp;$B$2&amp;"月"&amp;"'!A:AZ"),11,29+3)="","",INDEX(INDIRECT("'"&amp;$B$2&amp;"月"&amp;"'!A:AZ"),11,29+3)),"")</f>
        <v/>
      </c>
      <c r="G217" s="57" t="str">
        <f ca="1">IFERROR(IF(INDEX(INDIRECT("'"&amp;$B$2&amp;"月"&amp;"'!A:AZ"),11,29+4)="","",INDEX(INDIRECT("'"&amp;$B$2&amp;"月"&amp;"'!A:AZ"),11,29+4)),"")</f>
        <v/>
      </c>
      <c r="H217" s="57"/>
    </row>
    <row r="218" spans="1:8" ht="13.5" customHeight="1">
      <c r="A218" s="57">
        <f>IF(DAY(DATE(対象年度,$B$2,9))&lt;&gt;9,"",9)</f>
        <v>9</v>
      </c>
      <c r="B218" s="57" t="str">
        <f>IF(DAY(DATE(対象年度,$B$2,9))&lt;&gt;9,"",CHOOSE(WEEKDAY(DATE(対象年度,$B$2,9),2),"月","火","水","木","金","土","日"))</f>
        <v>金</v>
      </c>
      <c r="C218" s="57" t="str">
        <f ca="1">IFERROR(IF(INDEX(INDIRECT("'"&amp;$B$2&amp;"月"&amp;"'!A:AZ"),12,29+0)="","",INDEX(INDIRECT("'"&amp;$B$2&amp;"月"&amp;"'!A:AZ"),12,29+0)),"")</f>
        <v/>
      </c>
      <c r="D218" s="58" t="str">
        <f ca="1">IFERROR(IF(INDEX(INDIRECT("'"&amp;$B$2&amp;"月"&amp;"'!A:AZ"),12,29+1)="","",INDEX(INDIRECT("'"&amp;$B$2&amp;"月"&amp;"'!A:AZ"),12,29+1)),"")</f>
        <v/>
      </c>
      <c r="E218" s="57" t="str">
        <f ca="1">IFERROR(IF(INDEX(INDIRECT("'"&amp;$B$2&amp;"月"&amp;"'!A:AZ"),12,29+2)="","",INDEX(INDIRECT("'"&amp;$B$2&amp;"月"&amp;"'!A:AZ"),12,29+2)),"")</f>
        <v/>
      </c>
      <c r="F218" s="59" t="str">
        <f ca="1">IFERROR(IF(INDEX(INDIRECT("'"&amp;$B$2&amp;"月"&amp;"'!A:AZ"),12,29+3)="","",INDEX(INDIRECT("'"&amp;$B$2&amp;"月"&amp;"'!A:AZ"),12,29+3)),"")</f>
        <v/>
      </c>
      <c r="G218" s="57" t="str">
        <f ca="1">IFERROR(IF(INDEX(INDIRECT("'"&amp;$B$2&amp;"月"&amp;"'!A:AZ"),12,29+4)="","",INDEX(INDIRECT("'"&amp;$B$2&amp;"月"&amp;"'!A:AZ"),12,29+4)),"")</f>
        <v/>
      </c>
      <c r="H218" s="57"/>
    </row>
    <row r="219" spans="1:8" ht="13.5" customHeight="1">
      <c r="A219" s="57">
        <f>IF(DAY(DATE(対象年度,$B$2,10))&lt;&gt;10,"",10)</f>
        <v>10</v>
      </c>
      <c r="B219" s="57" t="str">
        <f>IF(DAY(DATE(対象年度,$B$2,10))&lt;&gt;10,"",CHOOSE(WEEKDAY(DATE(対象年度,$B$2,10),2),"月","火","水","木","金","土","日"))</f>
        <v>土</v>
      </c>
      <c r="C219" s="57" t="str">
        <f ca="1">IFERROR(IF(INDEX(INDIRECT("'"&amp;$B$2&amp;"月"&amp;"'!A:AZ"),13,29+0)="","",INDEX(INDIRECT("'"&amp;$B$2&amp;"月"&amp;"'!A:AZ"),13,29+0)),"")</f>
        <v/>
      </c>
      <c r="D219" s="58" t="str">
        <f ca="1">IFERROR(IF(INDEX(INDIRECT("'"&amp;$B$2&amp;"月"&amp;"'!A:AZ"),13,29+1)="","",INDEX(INDIRECT("'"&amp;$B$2&amp;"月"&amp;"'!A:AZ"),13,29+1)),"")</f>
        <v/>
      </c>
      <c r="E219" s="57" t="str">
        <f ca="1">IFERROR(IF(INDEX(INDIRECT("'"&amp;$B$2&amp;"月"&amp;"'!A:AZ"),13,29+2)="","",INDEX(INDIRECT("'"&amp;$B$2&amp;"月"&amp;"'!A:AZ"),13,29+2)),"")</f>
        <v/>
      </c>
      <c r="F219" s="59" t="str">
        <f ca="1">IFERROR(IF(INDEX(INDIRECT("'"&amp;$B$2&amp;"月"&amp;"'!A:AZ"),13,29+3)="","",INDEX(INDIRECT("'"&amp;$B$2&amp;"月"&amp;"'!A:AZ"),13,29+3)),"")</f>
        <v/>
      </c>
      <c r="G219" s="57" t="str">
        <f ca="1">IFERROR(IF(INDEX(INDIRECT("'"&amp;$B$2&amp;"月"&amp;"'!A:AZ"),13,29+4)="","",INDEX(INDIRECT("'"&amp;$B$2&amp;"月"&amp;"'!A:AZ"),13,29+4)),"")</f>
        <v/>
      </c>
      <c r="H219" s="57"/>
    </row>
    <row r="220" spans="1:8" ht="13.5" customHeight="1">
      <c r="A220" s="57">
        <f>IF(DAY(DATE(対象年度,$B$2,11))&lt;&gt;11,"",11)</f>
        <v>11</v>
      </c>
      <c r="B220" s="57" t="str">
        <f>IF(DAY(DATE(対象年度,$B$2,11))&lt;&gt;11,"",CHOOSE(WEEKDAY(DATE(対象年度,$B$2,11),2),"月","火","水","木","金","土","日"))</f>
        <v>日</v>
      </c>
      <c r="C220" s="57" t="str">
        <f ca="1">IFERROR(IF(INDEX(INDIRECT("'"&amp;$B$2&amp;"月"&amp;"'!A:AZ"),14,29+0)="","",INDEX(INDIRECT("'"&amp;$B$2&amp;"月"&amp;"'!A:AZ"),14,29+0)),"")</f>
        <v/>
      </c>
      <c r="D220" s="58" t="str">
        <f ca="1">IFERROR(IF(INDEX(INDIRECT("'"&amp;$B$2&amp;"月"&amp;"'!A:AZ"),14,29+1)="","",INDEX(INDIRECT("'"&amp;$B$2&amp;"月"&amp;"'!A:AZ"),14,29+1)),"")</f>
        <v/>
      </c>
      <c r="E220" s="57" t="str">
        <f ca="1">IFERROR(IF(INDEX(INDIRECT("'"&amp;$B$2&amp;"月"&amp;"'!A:AZ"),14,29+2)="","",INDEX(INDIRECT("'"&amp;$B$2&amp;"月"&amp;"'!A:AZ"),14,29+2)),"")</f>
        <v/>
      </c>
      <c r="F220" s="59" t="str">
        <f ca="1">IFERROR(IF(INDEX(INDIRECT("'"&amp;$B$2&amp;"月"&amp;"'!A:AZ"),14,29+3)="","",INDEX(INDIRECT("'"&amp;$B$2&amp;"月"&amp;"'!A:AZ"),14,29+3)),"")</f>
        <v/>
      </c>
      <c r="G220" s="57" t="str">
        <f ca="1">IFERROR(IF(INDEX(INDIRECT("'"&amp;$B$2&amp;"月"&amp;"'!A:AZ"),14,29+4)="","",INDEX(INDIRECT("'"&amp;$B$2&amp;"月"&amp;"'!A:AZ"),14,29+4)),"")</f>
        <v/>
      </c>
      <c r="H220" s="57"/>
    </row>
    <row r="221" spans="1:8" ht="13.5" customHeight="1">
      <c r="A221" s="57">
        <f>IF(DAY(DATE(対象年度,$B$2,12))&lt;&gt;12,"",12)</f>
        <v>12</v>
      </c>
      <c r="B221" s="57" t="str">
        <f>IF(DAY(DATE(対象年度,$B$2,12))&lt;&gt;12,"",CHOOSE(WEEKDAY(DATE(対象年度,$B$2,12),2),"月","火","水","木","金","土","日"))</f>
        <v>月</v>
      </c>
      <c r="C221" s="57" t="str">
        <f ca="1">IFERROR(IF(INDEX(INDIRECT("'"&amp;$B$2&amp;"月"&amp;"'!A:AZ"),15,29+0)="","",INDEX(INDIRECT("'"&amp;$B$2&amp;"月"&amp;"'!A:AZ"),15,29+0)),"")</f>
        <v/>
      </c>
      <c r="D221" s="58" t="str">
        <f ca="1">IFERROR(IF(INDEX(INDIRECT("'"&amp;$B$2&amp;"月"&amp;"'!A:AZ"),15,29+1)="","",INDEX(INDIRECT("'"&amp;$B$2&amp;"月"&amp;"'!A:AZ"),15,29+1)),"")</f>
        <v/>
      </c>
      <c r="E221" s="57" t="str">
        <f ca="1">IFERROR(IF(INDEX(INDIRECT("'"&amp;$B$2&amp;"月"&amp;"'!A:AZ"),15,29+2)="","",INDEX(INDIRECT("'"&amp;$B$2&amp;"月"&amp;"'!A:AZ"),15,29+2)),"")</f>
        <v/>
      </c>
      <c r="F221" s="59" t="str">
        <f ca="1">IFERROR(IF(INDEX(INDIRECT("'"&amp;$B$2&amp;"月"&amp;"'!A:AZ"),15,29+3)="","",INDEX(INDIRECT("'"&amp;$B$2&amp;"月"&amp;"'!A:AZ"),15,29+3)),"")</f>
        <v/>
      </c>
      <c r="G221" s="57" t="str">
        <f ca="1">IFERROR(IF(INDEX(INDIRECT("'"&amp;$B$2&amp;"月"&amp;"'!A:AZ"),15,29+4)="","",INDEX(INDIRECT("'"&amp;$B$2&amp;"月"&amp;"'!A:AZ"),15,29+4)),"")</f>
        <v/>
      </c>
      <c r="H221" s="57"/>
    </row>
    <row r="222" spans="1:8" ht="13.5" customHeight="1">
      <c r="A222" s="57">
        <f>IF(DAY(DATE(対象年度,$B$2,13))&lt;&gt;13,"",13)</f>
        <v>13</v>
      </c>
      <c r="B222" s="57" t="str">
        <f>IF(DAY(DATE(対象年度,$B$2,13))&lt;&gt;13,"",CHOOSE(WEEKDAY(DATE(対象年度,$B$2,13),2),"月","火","水","木","金","土","日"))</f>
        <v>火</v>
      </c>
      <c r="C222" s="57" t="str">
        <f ca="1">IFERROR(IF(INDEX(INDIRECT("'"&amp;$B$2&amp;"月"&amp;"'!A:AZ"),16,29+0)="","",INDEX(INDIRECT("'"&amp;$B$2&amp;"月"&amp;"'!A:AZ"),16,29+0)),"")</f>
        <v/>
      </c>
      <c r="D222" s="58" t="str">
        <f ca="1">IFERROR(IF(INDEX(INDIRECT("'"&amp;$B$2&amp;"月"&amp;"'!A:AZ"),16,29+1)="","",INDEX(INDIRECT("'"&amp;$B$2&amp;"月"&amp;"'!A:AZ"),16,29+1)),"")</f>
        <v/>
      </c>
      <c r="E222" s="57" t="str">
        <f ca="1">IFERROR(IF(INDEX(INDIRECT("'"&amp;$B$2&amp;"月"&amp;"'!A:AZ"),16,29+2)="","",INDEX(INDIRECT("'"&amp;$B$2&amp;"月"&amp;"'!A:AZ"),16,29+2)),"")</f>
        <v/>
      </c>
      <c r="F222" s="59" t="str">
        <f ca="1">IFERROR(IF(INDEX(INDIRECT("'"&amp;$B$2&amp;"月"&amp;"'!A:AZ"),16,29+3)="","",INDEX(INDIRECT("'"&amp;$B$2&amp;"月"&amp;"'!A:AZ"),16,29+3)),"")</f>
        <v/>
      </c>
      <c r="G222" s="57" t="str">
        <f ca="1">IFERROR(IF(INDEX(INDIRECT("'"&amp;$B$2&amp;"月"&amp;"'!A:AZ"),16,29+4)="","",INDEX(INDIRECT("'"&amp;$B$2&amp;"月"&amp;"'!A:AZ"),16,29+4)),"")</f>
        <v/>
      </c>
      <c r="H222" s="57"/>
    </row>
    <row r="223" spans="1:8" ht="13.5" customHeight="1">
      <c r="A223" s="57">
        <f>IF(DAY(DATE(対象年度,$B$2,14))&lt;&gt;14,"",14)</f>
        <v>14</v>
      </c>
      <c r="B223" s="57" t="str">
        <f>IF(DAY(DATE(対象年度,$B$2,14))&lt;&gt;14,"",CHOOSE(WEEKDAY(DATE(対象年度,$B$2,14),2),"月","火","水","木","金","土","日"))</f>
        <v>水</v>
      </c>
      <c r="C223" s="57" t="str">
        <f ca="1">IFERROR(IF(INDEX(INDIRECT("'"&amp;$B$2&amp;"月"&amp;"'!A:AZ"),17,29+0)="","",INDEX(INDIRECT("'"&amp;$B$2&amp;"月"&amp;"'!A:AZ"),17,29+0)),"")</f>
        <v/>
      </c>
      <c r="D223" s="58" t="str">
        <f ca="1">IFERROR(IF(INDEX(INDIRECT("'"&amp;$B$2&amp;"月"&amp;"'!A:AZ"),17,29+1)="","",INDEX(INDIRECT("'"&amp;$B$2&amp;"月"&amp;"'!A:AZ"),17,29+1)),"")</f>
        <v/>
      </c>
      <c r="E223" s="57" t="str">
        <f ca="1">IFERROR(IF(INDEX(INDIRECT("'"&amp;$B$2&amp;"月"&amp;"'!A:AZ"),17,29+2)="","",INDEX(INDIRECT("'"&amp;$B$2&amp;"月"&amp;"'!A:AZ"),17,29+2)),"")</f>
        <v/>
      </c>
      <c r="F223" s="59" t="str">
        <f ca="1">IFERROR(IF(INDEX(INDIRECT("'"&amp;$B$2&amp;"月"&amp;"'!A:AZ"),17,29+3)="","",INDEX(INDIRECT("'"&amp;$B$2&amp;"月"&amp;"'!A:AZ"),17,29+3)),"")</f>
        <v/>
      </c>
      <c r="G223" s="57" t="str">
        <f ca="1">IFERROR(IF(INDEX(INDIRECT("'"&amp;$B$2&amp;"月"&amp;"'!A:AZ"),17,29+4)="","",INDEX(INDIRECT("'"&amp;$B$2&amp;"月"&amp;"'!A:AZ"),17,29+4)),"")</f>
        <v/>
      </c>
      <c r="H223" s="57"/>
    </row>
    <row r="224" spans="1:8" ht="13.5" customHeight="1">
      <c r="A224" s="57">
        <f>IF(DAY(DATE(対象年度,$B$2,15))&lt;&gt;15,"",15)</f>
        <v>15</v>
      </c>
      <c r="B224" s="57" t="str">
        <f>IF(DAY(DATE(対象年度,$B$2,15))&lt;&gt;15,"",CHOOSE(WEEKDAY(DATE(対象年度,$B$2,15),2),"月","火","水","木","金","土","日"))</f>
        <v>木</v>
      </c>
      <c r="C224" s="57" t="str">
        <f ca="1">IFERROR(IF(INDEX(INDIRECT("'"&amp;$B$2&amp;"月"&amp;"'!A:AZ"),18,29+0)="","",INDEX(INDIRECT("'"&amp;$B$2&amp;"月"&amp;"'!A:AZ"),18,29+0)),"")</f>
        <v/>
      </c>
      <c r="D224" s="58" t="str">
        <f ca="1">IFERROR(IF(INDEX(INDIRECT("'"&amp;$B$2&amp;"月"&amp;"'!A:AZ"),18,29+1)="","",INDEX(INDIRECT("'"&amp;$B$2&amp;"月"&amp;"'!A:AZ"),18,29+1)),"")</f>
        <v/>
      </c>
      <c r="E224" s="57" t="str">
        <f ca="1">IFERROR(IF(INDEX(INDIRECT("'"&amp;$B$2&amp;"月"&amp;"'!A:AZ"),18,29+2)="","",INDEX(INDIRECT("'"&amp;$B$2&amp;"月"&amp;"'!A:AZ"),18,29+2)),"")</f>
        <v/>
      </c>
      <c r="F224" s="59" t="str">
        <f ca="1">IFERROR(IF(INDEX(INDIRECT("'"&amp;$B$2&amp;"月"&amp;"'!A:AZ"),18,29+3)="","",INDEX(INDIRECT("'"&amp;$B$2&amp;"月"&amp;"'!A:AZ"),18,29+3)),"")</f>
        <v/>
      </c>
      <c r="G224" s="57" t="str">
        <f ca="1">IFERROR(IF(INDEX(INDIRECT("'"&amp;$B$2&amp;"月"&amp;"'!A:AZ"),18,29+4)="","",INDEX(INDIRECT("'"&amp;$B$2&amp;"月"&amp;"'!A:AZ"),18,29+4)),"")</f>
        <v/>
      </c>
      <c r="H224" s="57"/>
    </row>
    <row r="225" spans="1:8" ht="13.5" customHeight="1">
      <c r="A225" s="57">
        <f>IF(DAY(DATE(対象年度,$B$2,16))&lt;&gt;16,"",16)</f>
        <v>16</v>
      </c>
      <c r="B225" s="57" t="str">
        <f>IF(DAY(DATE(対象年度,$B$2,16))&lt;&gt;16,"",CHOOSE(WEEKDAY(DATE(対象年度,$B$2,16),2),"月","火","水","木","金","土","日"))</f>
        <v>金</v>
      </c>
      <c r="C225" s="57" t="str">
        <f ca="1">IFERROR(IF(INDEX(INDIRECT("'"&amp;$B$2&amp;"月"&amp;"'!A:AZ"),19,29+0)="","",INDEX(INDIRECT("'"&amp;$B$2&amp;"月"&amp;"'!A:AZ"),19,29+0)),"")</f>
        <v/>
      </c>
      <c r="D225" s="58" t="str">
        <f ca="1">IFERROR(IF(INDEX(INDIRECT("'"&amp;$B$2&amp;"月"&amp;"'!A:AZ"),19,29+1)="","",INDEX(INDIRECT("'"&amp;$B$2&amp;"月"&amp;"'!A:AZ"),19,29+1)),"")</f>
        <v/>
      </c>
      <c r="E225" s="57" t="str">
        <f ca="1">IFERROR(IF(INDEX(INDIRECT("'"&amp;$B$2&amp;"月"&amp;"'!A:AZ"),19,29+2)="","",INDEX(INDIRECT("'"&amp;$B$2&amp;"月"&amp;"'!A:AZ"),19,29+2)),"")</f>
        <v/>
      </c>
      <c r="F225" s="59" t="str">
        <f ca="1">IFERROR(IF(INDEX(INDIRECT("'"&amp;$B$2&amp;"月"&amp;"'!A:AZ"),19,29+3)="","",INDEX(INDIRECT("'"&amp;$B$2&amp;"月"&amp;"'!A:AZ"),19,29+3)),"")</f>
        <v/>
      </c>
      <c r="G225" s="57" t="str">
        <f ca="1">IFERROR(IF(INDEX(INDIRECT("'"&amp;$B$2&amp;"月"&amp;"'!A:AZ"),19,29+4)="","",INDEX(INDIRECT("'"&amp;$B$2&amp;"月"&amp;"'!A:AZ"),19,29+4)),"")</f>
        <v/>
      </c>
      <c r="H225" s="57"/>
    </row>
    <row r="226" spans="1:8" ht="13.5" customHeight="1">
      <c r="A226" s="57">
        <f>IF(DAY(DATE(対象年度,$B$2,17))&lt;&gt;17,"",17)</f>
        <v>17</v>
      </c>
      <c r="B226" s="57" t="str">
        <f>IF(DAY(DATE(対象年度,$B$2,17))&lt;&gt;17,"",CHOOSE(WEEKDAY(DATE(対象年度,$B$2,17),2),"月","火","水","木","金","土","日"))</f>
        <v>土</v>
      </c>
      <c r="C226" s="57" t="str">
        <f ca="1">IFERROR(IF(INDEX(INDIRECT("'"&amp;$B$2&amp;"月"&amp;"'!A:AZ"),20,29+0)="","",INDEX(INDIRECT("'"&amp;$B$2&amp;"月"&amp;"'!A:AZ"),20,29+0)),"")</f>
        <v/>
      </c>
      <c r="D226" s="58" t="str">
        <f ca="1">IFERROR(IF(INDEX(INDIRECT("'"&amp;$B$2&amp;"月"&amp;"'!A:AZ"),20,29+1)="","",INDEX(INDIRECT("'"&amp;$B$2&amp;"月"&amp;"'!A:AZ"),20,29+1)),"")</f>
        <v/>
      </c>
      <c r="E226" s="57" t="str">
        <f ca="1">IFERROR(IF(INDEX(INDIRECT("'"&amp;$B$2&amp;"月"&amp;"'!A:AZ"),20,29+2)="","",INDEX(INDIRECT("'"&amp;$B$2&amp;"月"&amp;"'!A:AZ"),20,29+2)),"")</f>
        <v/>
      </c>
      <c r="F226" s="59" t="str">
        <f ca="1">IFERROR(IF(INDEX(INDIRECT("'"&amp;$B$2&amp;"月"&amp;"'!A:AZ"),20,29+3)="","",INDEX(INDIRECT("'"&amp;$B$2&amp;"月"&amp;"'!A:AZ"),20,29+3)),"")</f>
        <v/>
      </c>
      <c r="G226" s="57" t="str">
        <f ca="1">IFERROR(IF(INDEX(INDIRECT("'"&amp;$B$2&amp;"月"&amp;"'!A:AZ"),20,29+4)="","",INDEX(INDIRECT("'"&amp;$B$2&amp;"月"&amp;"'!A:AZ"),20,29+4)),"")</f>
        <v/>
      </c>
      <c r="H226" s="57"/>
    </row>
    <row r="227" spans="1:8" ht="13.5" customHeight="1">
      <c r="A227" s="57">
        <f>IF(DAY(DATE(対象年度,$B$2,18))&lt;&gt;18,"",18)</f>
        <v>18</v>
      </c>
      <c r="B227" s="57" t="str">
        <f>IF(DAY(DATE(対象年度,$B$2,18))&lt;&gt;18,"",CHOOSE(WEEKDAY(DATE(対象年度,$B$2,18),2),"月","火","水","木","金","土","日"))</f>
        <v>日</v>
      </c>
      <c r="C227" s="57" t="str">
        <f ca="1">IFERROR(IF(INDEX(INDIRECT("'"&amp;$B$2&amp;"月"&amp;"'!A:AZ"),21,29+0)="","",INDEX(INDIRECT("'"&amp;$B$2&amp;"月"&amp;"'!A:AZ"),21,29+0)),"")</f>
        <v/>
      </c>
      <c r="D227" s="58" t="str">
        <f ca="1">IFERROR(IF(INDEX(INDIRECT("'"&amp;$B$2&amp;"月"&amp;"'!A:AZ"),21,29+1)="","",INDEX(INDIRECT("'"&amp;$B$2&amp;"月"&amp;"'!A:AZ"),21,29+1)),"")</f>
        <v/>
      </c>
      <c r="E227" s="57" t="str">
        <f ca="1">IFERROR(IF(INDEX(INDIRECT("'"&amp;$B$2&amp;"月"&amp;"'!A:AZ"),21,29+2)="","",INDEX(INDIRECT("'"&amp;$B$2&amp;"月"&amp;"'!A:AZ"),21,29+2)),"")</f>
        <v/>
      </c>
      <c r="F227" s="59" t="str">
        <f ca="1">IFERROR(IF(INDEX(INDIRECT("'"&amp;$B$2&amp;"月"&amp;"'!A:AZ"),21,29+3)="","",INDEX(INDIRECT("'"&amp;$B$2&amp;"月"&amp;"'!A:AZ"),21,29+3)),"")</f>
        <v/>
      </c>
      <c r="G227" s="57" t="str">
        <f ca="1">IFERROR(IF(INDEX(INDIRECT("'"&amp;$B$2&amp;"月"&amp;"'!A:AZ"),21,29+4)="","",INDEX(INDIRECT("'"&amp;$B$2&amp;"月"&amp;"'!A:AZ"),21,29+4)),"")</f>
        <v/>
      </c>
      <c r="H227" s="57"/>
    </row>
    <row r="228" spans="1:8" ht="13.5" customHeight="1">
      <c r="A228" s="57">
        <f>IF(DAY(DATE(対象年度,$B$2,19))&lt;&gt;19,"",19)</f>
        <v>19</v>
      </c>
      <c r="B228" s="57" t="str">
        <f>IF(DAY(DATE(対象年度,$B$2,19))&lt;&gt;19,"",CHOOSE(WEEKDAY(DATE(対象年度,$B$2,19),2),"月","火","水","木","金","土","日"))</f>
        <v>月</v>
      </c>
      <c r="C228" s="57" t="str">
        <f ca="1">IFERROR(IF(INDEX(INDIRECT("'"&amp;$B$2&amp;"月"&amp;"'!A:AZ"),22,29+0)="","",INDEX(INDIRECT("'"&amp;$B$2&amp;"月"&amp;"'!A:AZ"),22,29+0)),"")</f>
        <v/>
      </c>
      <c r="D228" s="58" t="str">
        <f ca="1">IFERROR(IF(INDEX(INDIRECT("'"&amp;$B$2&amp;"月"&amp;"'!A:AZ"),22,29+1)="","",INDEX(INDIRECT("'"&amp;$B$2&amp;"月"&amp;"'!A:AZ"),22,29+1)),"")</f>
        <v/>
      </c>
      <c r="E228" s="57" t="str">
        <f ca="1">IFERROR(IF(INDEX(INDIRECT("'"&amp;$B$2&amp;"月"&amp;"'!A:AZ"),22,29+2)="","",INDEX(INDIRECT("'"&amp;$B$2&amp;"月"&amp;"'!A:AZ"),22,29+2)),"")</f>
        <v/>
      </c>
      <c r="F228" s="59" t="str">
        <f ca="1">IFERROR(IF(INDEX(INDIRECT("'"&amp;$B$2&amp;"月"&amp;"'!A:AZ"),22,29+3)="","",INDEX(INDIRECT("'"&amp;$B$2&amp;"月"&amp;"'!A:AZ"),22,29+3)),"")</f>
        <v/>
      </c>
      <c r="G228" s="57" t="str">
        <f ca="1">IFERROR(IF(INDEX(INDIRECT("'"&amp;$B$2&amp;"月"&amp;"'!A:AZ"),22,29+4)="","",INDEX(INDIRECT("'"&amp;$B$2&amp;"月"&amp;"'!A:AZ"),22,29+4)),"")</f>
        <v/>
      </c>
      <c r="H228" s="57"/>
    </row>
    <row r="229" spans="1:8" ht="13.5" customHeight="1">
      <c r="A229" s="57">
        <f>IF(DAY(DATE(対象年度,$B$2,20))&lt;&gt;20,"",20)</f>
        <v>20</v>
      </c>
      <c r="B229" s="57" t="str">
        <f>IF(DAY(DATE(対象年度,$B$2,20))&lt;&gt;20,"",CHOOSE(WEEKDAY(DATE(対象年度,$B$2,20),2),"月","火","水","木","金","土","日"))</f>
        <v>火</v>
      </c>
      <c r="C229" s="57" t="str">
        <f ca="1">IFERROR(IF(INDEX(INDIRECT("'"&amp;$B$2&amp;"月"&amp;"'!A:AZ"),23,29+0)="","",INDEX(INDIRECT("'"&amp;$B$2&amp;"月"&amp;"'!A:AZ"),23,29+0)),"")</f>
        <v/>
      </c>
      <c r="D229" s="58" t="str">
        <f ca="1">IFERROR(IF(INDEX(INDIRECT("'"&amp;$B$2&amp;"月"&amp;"'!A:AZ"),23,29+1)="","",INDEX(INDIRECT("'"&amp;$B$2&amp;"月"&amp;"'!A:AZ"),23,29+1)),"")</f>
        <v/>
      </c>
      <c r="E229" s="57" t="str">
        <f ca="1">IFERROR(IF(INDEX(INDIRECT("'"&amp;$B$2&amp;"月"&amp;"'!A:AZ"),23,29+2)="","",INDEX(INDIRECT("'"&amp;$B$2&amp;"月"&amp;"'!A:AZ"),23,29+2)),"")</f>
        <v/>
      </c>
      <c r="F229" s="59" t="str">
        <f ca="1">IFERROR(IF(INDEX(INDIRECT("'"&amp;$B$2&amp;"月"&amp;"'!A:AZ"),23,29+3)="","",INDEX(INDIRECT("'"&amp;$B$2&amp;"月"&amp;"'!A:AZ"),23,29+3)),"")</f>
        <v/>
      </c>
      <c r="G229" s="57" t="str">
        <f ca="1">IFERROR(IF(INDEX(INDIRECT("'"&amp;$B$2&amp;"月"&amp;"'!A:AZ"),23,29+4)="","",INDEX(INDIRECT("'"&amp;$B$2&amp;"月"&amp;"'!A:AZ"),23,29+4)),"")</f>
        <v/>
      </c>
      <c r="H229" s="57"/>
    </row>
    <row r="230" spans="1:8" ht="13.5" customHeight="1">
      <c r="A230" s="57">
        <f>IF(DAY(DATE(対象年度,$B$2,21))&lt;&gt;21,"",21)</f>
        <v>21</v>
      </c>
      <c r="B230" s="57" t="str">
        <f>IF(DAY(DATE(対象年度,$B$2,21))&lt;&gt;21,"",CHOOSE(WEEKDAY(DATE(対象年度,$B$2,21),2),"月","火","水","木","金","土","日"))</f>
        <v>水</v>
      </c>
      <c r="C230" s="57" t="str">
        <f ca="1">IFERROR(IF(INDEX(INDIRECT("'"&amp;$B$2&amp;"月"&amp;"'!A:AZ"),24,29+0)="","",INDEX(INDIRECT("'"&amp;$B$2&amp;"月"&amp;"'!A:AZ"),24,29+0)),"")</f>
        <v>新宿</v>
      </c>
      <c r="D230" s="58" t="str">
        <f ca="1">IFERROR(IF(INDEX(INDIRECT("'"&amp;$B$2&amp;"月"&amp;"'!A:AZ"),24,29+1)="","",INDEX(INDIRECT("'"&amp;$B$2&amp;"月"&amp;"'!A:AZ"),24,29+1)),"")</f>
        <v/>
      </c>
      <c r="E230" s="57" t="str">
        <f ca="1">IFERROR(IF(INDEX(INDIRECT("'"&amp;$B$2&amp;"月"&amp;"'!A:AZ"),24,29+2)="","",INDEX(INDIRECT("'"&amp;$B$2&amp;"月"&amp;"'!A:AZ"),24,29+2)),"")</f>
        <v>○</v>
      </c>
      <c r="F230" s="59" t="str">
        <f ca="1">IFERROR(IF(INDEX(INDIRECT("'"&amp;$B$2&amp;"月"&amp;"'!A:AZ"),24,29+3)="","",INDEX(INDIRECT("'"&amp;$B$2&amp;"月"&amp;"'!A:AZ"),24,29+3)),"")</f>
        <v/>
      </c>
      <c r="G230" s="57" t="str">
        <f ca="1">IFERROR(IF(INDEX(INDIRECT("'"&amp;$B$2&amp;"月"&amp;"'!A:AZ"),24,29+4)="","",INDEX(INDIRECT("'"&amp;$B$2&amp;"月"&amp;"'!A:AZ"),24,29+4)),"")</f>
        <v/>
      </c>
      <c r="H230" s="57"/>
    </row>
    <row r="231" spans="1:8" ht="13.5" customHeight="1">
      <c r="A231" s="57">
        <f>IF(DAY(DATE(対象年度,$B$2,22))&lt;&gt;22,"",22)</f>
        <v>22</v>
      </c>
      <c r="B231" s="57" t="str">
        <f>IF(DAY(DATE(対象年度,$B$2,22))&lt;&gt;22,"",CHOOSE(WEEKDAY(DATE(対象年度,$B$2,22),2),"月","火","水","木","金","土","日"))</f>
        <v>木</v>
      </c>
      <c r="C231" s="57" t="str">
        <f ca="1">IFERROR(IF(INDEX(INDIRECT("'"&amp;$B$2&amp;"月"&amp;"'!A:AZ"),25,29+0)="","",INDEX(INDIRECT("'"&amp;$B$2&amp;"月"&amp;"'!A:AZ"),25,29+0)),"")</f>
        <v>新宿</v>
      </c>
      <c r="D231" s="58" t="str">
        <f ca="1">IFERROR(IF(INDEX(INDIRECT("'"&amp;$B$2&amp;"月"&amp;"'!A:AZ"),25,29+1)="","",INDEX(INDIRECT("'"&amp;$B$2&amp;"月"&amp;"'!A:AZ"),25,29+1)),"")</f>
        <v/>
      </c>
      <c r="E231" s="57" t="str">
        <f ca="1">IFERROR(IF(INDEX(INDIRECT("'"&amp;$B$2&amp;"月"&amp;"'!A:AZ"),25,29+2)="","",INDEX(INDIRECT("'"&amp;$B$2&amp;"月"&amp;"'!A:AZ"),25,29+2)),"")</f>
        <v>○</v>
      </c>
      <c r="F231" s="59" t="str">
        <f ca="1">IFERROR(IF(INDEX(INDIRECT("'"&amp;$B$2&amp;"月"&amp;"'!A:AZ"),25,29+3)="","",INDEX(INDIRECT("'"&amp;$B$2&amp;"月"&amp;"'!A:AZ"),25,29+3)),"")</f>
        <v/>
      </c>
      <c r="G231" s="57" t="str">
        <f ca="1">IFERROR(IF(INDEX(INDIRECT("'"&amp;$B$2&amp;"月"&amp;"'!A:AZ"),25,29+4)="","",INDEX(INDIRECT("'"&amp;$B$2&amp;"月"&amp;"'!A:AZ"),25,29+4)),"")</f>
        <v/>
      </c>
      <c r="H231" s="57"/>
    </row>
    <row r="232" spans="1:8" ht="13.5" customHeight="1">
      <c r="A232" s="57">
        <f>IF(DAY(DATE(対象年度,$B$2,23))&lt;&gt;23,"",23)</f>
        <v>23</v>
      </c>
      <c r="B232" s="57" t="str">
        <f>IF(DAY(DATE(対象年度,$B$2,23))&lt;&gt;23,"",CHOOSE(WEEKDAY(DATE(対象年度,$B$2,23),2),"月","火","水","木","金","土","日"))</f>
        <v>金</v>
      </c>
      <c r="C232" s="57" t="str">
        <f ca="1">IFERROR(IF(INDEX(INDIRECT("'"&amp;$B$2&amp;"月"&amp;"'!A:AZ"),26,29+0)="","",INDEX(INDIRECT("'"&amp;$B$2&amp;"月"&amp;"'!A:AZ"),26,29+0)),"")</f>
        <v>新宿</v>
      </c>
      <c r="D232" s="58" t="str">
        <f ca="1">IFERROR(IF(INDEX(INDIRECT("'"&amp;$B$2&amp;"月"&amp;"'!A:AZ"),26,29+1)="","",INDEX(INDIRECT("'"&amp;$B$2&amp;"月"&amp;"'!A:AZ"),26,29+1)),"")</f>
        <v/>
      </c>
      <c r="E232" s="57" t="str">
        <f ca="1">IFERROR(IF(INDEX(INDIRECT("'"&amp;$B$2&amp;"月"&amp;"'!A:AZ"),26,29+2)="","",INDEX(INDIRECT("'"&amp;$B$2&amp;"月"&amp;"'!A:AZ"),26,29+2)),"")</f>
        <v>○</v>
      </c>
      <c r="F232" s="59" t="str">
        <f ca="1">IFERROR(IF(INDEX(INDIRECT("'"&amp;$B$2&amp;"月"&amp;"'!A:AZ"),26,29+3)="","",INDEX(INDIRECT("'"&amp;$B$2&amp;"月"&amp;"'!A:AZ"),26,29+3)),"")</f>
        <v/>
      </c>
      <c r="G232" s="57" t="str">
        <f ca="1">IFERROR(IF(INDEX(INDIRECT("'"&amp;$B$2&amp;"月"&amp;"'!A:AZ"),26,29+4)="","",INDEX(INDIRECT("'"&amp;$B$2&amp;"月"&amp;"'!A:AZ"),26,29+4)),"")</f>
        <v/>
      </c>
      <c r="H232" s="57"/>
    </row>
    <row r="233" spans="1:8" ht="13.5" customHeight="1">
      <c r="A233" s="57">
        <f>IF(DAY(DATE(対象年度,$B$2,24))&lt;&gt;24,"",24)</f>
        <v>24</v>
      </c>
      <c r="B233" s="57" t="str">
        <f>IF(DAY(DATE(対象年度,$B$2,24))&lt;&gt;24,"",CHOOSE(WEEKDAY(DATE(対象年度,$B$2,24),2),"月","火","水","木","金","土","日"))</f>
        <v>土</v>
      </c>
      <c r="C233" s="57" t="str">
        <f ca="1">IFERROR(IF(INDEX(INDIRECT("'"&amp;$B$2&amp;"月"&amp;"'!A:AZ"),27,29+0)="","",INDEX(INDIRECT("'"&amp;$B$2&amp;"月"&amp;"'!A:AZ"),27,29+0)),"")</f>
        <v>新宿</v>
      </c>
      <c r="D233" s="58" t="str">
        <f ca="1">IFERROR(IF(INDEX(INDIRECT("'"&amp;$B$2&amp;"月"&amp;"'!A:AZ"),27,29+1)="","",INDEX(INDIRECT("'"&amp;$B$2&amp;"月"&amp;"'!A:AZ"),27,29+1)),"")</f>
        <v/>
      </c>
      <c r="E233" s="57" t="str">
        <f ca="1">IFERROR(IF(INDEX(INDIRECT("'"&amp;$B$2&amp;"月"&amp;"'!A:AZ"),27,29+2)="","",INDEX(INDIRECT("'"&amp;$B$2&amp;"月"&amp;"'!A:AZ"),27,29+2)),"")</f>
        <v>○</v>
      </c>
      <c r="F233" s="59" t="str">
        <f ca="1">IFERROR(IF(INDEX(INDIRECT("'"&amp;$B$2&amp;"月"&amp;"'!A:AZ"),27,29+3)="","",INDEX(INDIRECT("'"&amp;$B$2&amp;"月"&amp;"'!A:AZ"),27,29+3)),"")</f>
        <v/>
      </c>
      <c r="G233" s="57" t="str">
        <f ca="1">IFERROR(IF(INDEX(INDIRECT("'"&amp;$B$2&amp;"月"&amp;"'!A:AZ"),27,29+4)="","",INDEX(INDIRECT("'"&amp;$B$2&amp;"月"&amp;"'!A:AZ"),27,29+4)),"")</f>
        <v/>
      </c>
      <c r="H233" s="57"/>
    </row>
    <row r="234" spans="1:8" ht="13.5" customHeight="1">
      <c r="A234" s="57">
        <f>IF(DAY(DATE(対象年度,$B$2,25))&lt;&gt;25,"",25)</f>
        <v>25</v>
      </c>
      <c r="B234" s="57" t="str">
        <f>IF(DAY(DATE(対象年度,$B$2,25))&lt;&gt;25,"",CHOOSE(WEEKDAY(DATE(対象年度,$B$2,25),2),"月","火","水","木","金","土","日"))</f>
        <v>日</v>
      </c>
      <c r="C234" s="57" t="str">
        <f ca="1">IFERROR(IF(INDEX(INDIRECT("'"&amp;$B$2&amp;"月"&amp;"'!A:AZ"),28,29+0)="","",INDEX(INDIRECT("'"&amp;$B$2&amp;"月"&amp;"'!A:AZ"),28,29+0)),"")</f>
        <v/>
      </c>
      <c r="D234" s="58" t="str">
        <f ca="1">IFERROR(IF(INDEX(INDIRECT("'"&amp;$B$2&amp;"月"&amp;"'!A:AZ"),28,29+1)="","",INDEX(INDIRECT("'"&amp;$B$2&amp;"月"&amp;"'!A:AZ"),28,29+1)),"")</f>
        <v/>
      </c>
      <c r="E234" s="57" t="str">
        <f ca="1">IFERROR(IF(INDEX(INDIRECT("'"&amp;$B$2&amp;"月"&amp;"'!A:AZ"),28,29+2)="","",INDEX(INDIRECT("'"&amp;$B$2&amp;"月"&amp;"'!A:AZ"),28,29+2)),"")</f>
        <v/>
      </c>
      <c r="F234" s="59" t="str">
        <f ca="1">IFERROR(IF(INDEX(INDIRECT("'"&amp;$B$2&amp;"月"&amp;"'!A:AZ"),28,29+3)="","",INDEX(INDIRECT("'"&amp;$B$2&amp;"月"&amp;"'!A:AZ"),28,29+3)),"")</f>
        <v/>
      </c>
      <c r="G234" s="57" t="str">
        <f ca="1">IFERROR(IF(INDEX(INDIRECT("'"&amp;$B$2&amp;"月"&amp;"'!A:AZ"),28,29+4)="","",INDEX(INDIRECT("'"&amp;$B$2&amp;"月"&amp;"'!A:AZ"),28,29+4)),"")</f>
        <v/>
      </c>
      <c r="H234" s="57"/>
    </row>
    <row r="235" spans="1:8" ht="13.5" customHeight="1">
      <c r="A235" s="57">
        <f>IF(DAY(DATE(対象年度,$B$2,26))&lt;&gt;26,"",26)</f>
        <v>26</v>
      </c>
      <c r="B235" s="57" t="str">
        <f>IF(DAY(DATE(対象年度,$B$2,26))&lt;&gt;26,"",CHOOSE(WEEKDAY(DATE(対象年度,$B$2,26),2),"月","火","水","木","金","土","日"))</f>
        <v>月</v>
      </c>
      <c r="C235" s="57" t="str">
        <f ca="1">IFERROR(IF(INDEX(INDIRECT("'"&amp;$B$2&amp;"月"&amp;"'!A:AZ"),29,29+0)="","",INDEX(INDIRECT("'"&amp;$B$2&amp;"月"&amp;"'!A:AZ"),29,29+0)),"")</f>
        <v>新宿</v>
      </c>
      <c r="D235" s="58" t="str">
        <f ca="1">IFERROR(IF(INDEX(INDIRECT("'"&amp;$B$2&amp;"月"&amp;"'!A:AZ"),29,29+1)="","",INDEX(INDIRECT("'"&amp;$B$2&amp;"月"&amp;"'!A:AZ"),29,29+1)),"")</f>
        <v/>
      </c>
      <c r="E235" s="57" t="str">
        <f ca="1">IFERROR(IF(INDEX(INDIRECT("'"&amp;$B$2&amp;"月"&amp;"'!A:AZ"),29,29+2)="","",INDEX(INDIRECT("'"&amp;$B$2&amp;"月"&amp;"'!A:AZ"),29,29+2)),"")</f>
        <v>○</v>
      </c>
      <c r="F235" s="59" t="str">
        <f ca="1">IFERROR(IF(INDEX(INDIRECT("'"&amp;$B$2&amp;"月"&amp;"'!A:AZ"),29,29+3)="","",INDEX(INDIRECT("'"&amp;$B$2&amp;"月"&amp;"'!A:AZ"),29,29+3)),"")</f>
        <v/>
      </c>
      <c r="G235" s="57" t="str">
        <f ca="1">IFERROR(IF(INDEX(INDIRECT("'"&amp;$B$2&amp;"月"&amp;"'!A:AZ"),29,29+4)="","",INDEX(INDIRECT("'"&amp;$B$2&amp;"月"&amp;"'!A:AZ"),29,29+4)),"")</f>
        <v/>
      </c>
      <c r="H235" s="57"/>
    </row>
    <row r="236" spans="1:8" ht="13.5" customHeight="1">
      <c r="A236" s="57">
        <f>IF(DAY(DATE(対象年度,$B$2,27))&lt;&gt;27,"",27)</f>
        <v>27</v>
      </c>
      <c r="B236" s="57" t="str">
        <f>IF(DAY(DATE(対象年度,$B$2,27))&lt;&gt;27,"",CHOOSE(WEEKDAY(DATE(対象年度,$B$2,27),2),"月","火","水","木","金","土","日"))</f>
        <v>火</v>
      </c>
      <c r="C236" s="57" t="str">
        <f ca="1">IFERROR(IF(INDEX(INDIRECT("'"&amp;$B$2&amp;"月"&amp;"'!A:AZ"),30,29+0)="","",INDEX(INDIRECT("'"&amp;$B$2&amp;"月"&amp;"'!A:AZ"),30,29+0)),"")</f>
        <v>新宿</v>
      </c>
      <c r="D236" s="58" t="str">
        <f ca="1">IFERROR(IF(INDEX(INDIRECT("'"&amp;$B$2&amp;"月"&amp;"'!A:AZ"),30,29+1)="","",INDEX(INDIRECT("'"&amp;$B$2&amp;"月"&amp;"'!A:AZ"),30,29+1)),"")</f>
        <v/>
      </c>
      <c r="E236" s="57" t="str">
        <f ca="1">IFERROR(IF(INDEX(INDIRECT("'"&amp;$B$2&amp;"月"&amp;"'!A:AZ"),30,29+2)="","",INDEX(INDIRECT("'"&amp;$B$2&amp;"月"&amp;"'!A:AZ"),30,29+2)),"")</f>
        <v>○</v>
      </c>
      <c r="F236" s="59" t="str">
        <f ca="1">IFERROR(IF(INDEX(INDIRECT("'"&amp;$B$2&amp;"月"&amp;"'!A:AZ"),30,29+3)="","",INDEX(INDIRECT("'"&amp;$B$2&amp;"月"&amp;"'!A:AZ"),30,29+3)),"")</f>
        <v/>
      </c>
      <c r="G236" s="57" t="str">
        <f ca="1">IFERROR(IF(INDEX(INDIRECT("'"&amp;$B$2&amp;"月"&amp;"'!A:AZ"),30,29+4)="","",INDEX(INDIRECT("'"&amp;$B$2&amp;"月"&amp;"'!A:AZ"),30,29+4)),"")</f>
        <v/>
      </c>
      <c r="H236" s="57"/>
    </row>
    <row r="237" spans="1:8" ht="13.5" customHeight="1">
      <c r="A237" s="57">
        <f>IF(DAY(DATE(対象年度,$B$2,28))&lt;&gt;28,"",28)</f>
        <v>28</v>
      </c>
      <c r="B237" s="57" t="str">
        <f>IF(DAY(DATE(対象年度,$B$2,28))&lt;&gt;28,"",CHOOSE(WEEKDAY(DATE(対象年度,$B$2,28),2),"月","火","水","木","金","土","日"))</f>
        <v>水</v>
      </c>
      <c r="C237" s="57" t="str">
        <f ca="1">IFERROR(IF(INDEX(INDIRECT("'"&amp;$B$2&amp;"月"&amp;"'!A:AZ"),31,29+0)="","",INDEX(INDIRECT("'"&amp;$B$2&amp;"月"&amp;"'!A:AZ"),31,29+0)),"")</f>
        <v>新宿</v>
      </c>
      <c r="D237" s="58" t="str">
        <f ca="1">IFERROR(IF(INDEX(INDIRECT("'"&amp;$B$2&amp;"月"&amp;"'!A:AZ"),31,29+1)="","",INDEX(INDIRECT("'"&amp;$B$2&amp;"月"&amp;"'!A:AZ"),31,29+1)),"")</f>
        <v/>
      </c>
      <c r="E237" s="57" t="str">
        <f ca="1">IFERROR(IF(INDEX(INDIRECT("'"&amp;$B$2&amp;"月"&amp;"'!A:AZ"),31,29+2)="","",INDEX(INDIRECT("'"&amp;$B$2&amp;"月"&amp;"'!A:AZ"),31,29+2)),"")</f>
        <v>○</v>
      </c>
      <c r="F237" s="59" t="str">
        <f ca="1">IFERROR(IF(INDEX(INDIRECT("'"&amp;$B$2&amp;"月"&amp;"'!A:AZ"),31,29+3)="","",INDEX(INDIRECT("'"&amp;$B$2&amp;"月"&amp;"'!A:AZ"),31,29+3)),"")</f>
        <v/>
      </c>
      <c r="G237" s="57" t="str">
        <f ca="1">IFERROR(IF(INDEX(INDIRECT("'"&amp;$B$2&amp;"月"&amp;"'!A:AZ"),31,29+4)="","",INDEX(INDIRECT("'"&amp;$B$2&amp;"月"&amp;"'!A:AZ"),31,29+4)),"")</f>
        <v/>
      </c>
      <c r="H237" s="57"/>
    </row>
    <row r="238" spans="1:8" ht="13.5" customHeight="1">
      <c r="A238" s="57">
        <f>IF(DAY(DATE(対象年度,$B$2,29))&lt;&gt;29,"",29)</f>
        <v>29</v>
      </c>
      <c r="B238" s="57" t="str">
        <f>IF(DAY(DATE(対象年度,$B$2,29))&lt;&gt;29,"",CHOOSE(WEEKDAY(DATE(対象年度,$B$2,29),2),"月","火","水","木","金","土","日"))</f>
        <v>木</v>
      </c>
      <c r="C238" s="57" t="str">
        <f ca="1">IFERROR(IF(INDEX(INDIRECT("'"&amp;$B$2&amp;"月"&amp;"'!A:AZ"),32,29+0)="","",INDEX(INDIRECT("'"&amp;$B$2&amp;"月"&amp;"'!A:AZ"),32,29+0)),"")</f>
        <v>新宿</v>
      </c>
      <c r="D238" s="58" t="str">
        <f ca="1">IFERROR(IF(INDEX(INDIRECT("'"&amp;$B$2&amp;"月"&amp;"'!A:AZ"),32,29+1)="","",INDEX(INDIRECT("'"&amp;$B$2&amp;"月"&amp;"'!A:AZ"),32,29+1)),"")</f>
        <v/>
      </c>
      <c r="E238" s="57" t="str">
        <f ca="1">IFERROR(IF(INDEX(INDIRECT("'"&amp;$B$2&amp;"月"&amp;"'!A:AZ"),32,29+2)="","",INDEX(INDIRECT("'"&amp;$B$2&amp;"月"&amp;"'!A:AZ"),32,29+2)),"")</f>
        <v>○</v>
      </c>
      <c r="F238" s="59" t="str">
        <f ca="1">IFERROR(IF(INDEX(INDIRECT("'"&amp;$B$2&amp;"月"&amp;"'!A:AZ"),32,29+3)="","",INDEX(INDIRECT("'"&amp;$B$2&amp;"月"&amp;"'!A:AZ"),32,29+3)),"")</f>
        <v/>
      </c>
      <c r="G238" s="57" t="str">
        <f ca="1">IFERROR(IF(INDEX(INDIRECT("'"&amp;$B$2&amp;"月"&amp;"'!A:AZ"),32,29+4)="","",INDEX(INDIRECT("'"&amp;$B$2&amp;"月"&amp;"'!A:AZ"),32,29+4)),"")</f>
        <v/>
      </c>
      <c r="H238" s="57"/>
    </row>
    <row r="239" spans="1:8" ht="13.5" customHeight="1">
      <c r="A239" s="57">
        <f>IF(DAY(DATE(対象年度,$B$2,30))&lt;&gt;30,"",30)</f>
        <v>30</v>
      </c>
      <c r="B239" s="57" t="str">
        <f>IF(DAY(DATE(対象年度,$B$2,30))&lt;&gt;30,"",CHOOSE(WEEKDAY(DATE(対象年度,$B$2,30),2),"月","火","水","木","金","土","日"))</f>
        <v>金</v>
      </c>
      <c r="C239" s="57" t="str">
        <f ca="1">IFERROR(IF(INDEX(INDIRECT("'"&amp;$B$2&amp;"月"&amp;"'!A:AZ"),33,29+0)="","",INDEX(INDIRECT("'"&amp;$B$2&amp;"月"&amp;"'!A:AZ"),33,29+0)),"")</f>
        <v>新宿</v>
      </c>
      <c r="D239" s="58" t="str">
        <f ca="1">IFERROR(IF(INDEX(INDIRECT("'"&amp;$B$2&amp;"月"&amp;"'!A:AZ"),33,29+1)="","",INDEX(INDIRECT("'"&amp;$B$2&amp;"月"&amp;"'!A:AZ"),33,29+1)),"")</f>
        <v/>
      </c>
      <c r="E239" s="57" t="str">
        <f ca="1">IFERROR(IF(INDEX(INDIRECT("'"&amp;$B$2&amp;"月"&amp;"'!A:AZ"),33,29+2)="","",INDEX(INDIRECT("'"&amp;$B$2&amp;"月"&amp;"'!A:AZ"),33,29+2)),"")</f>
        <v>○</v>
      </c>
      <c r="F239" s="59" t="str">
        <f ca="1">IFERROR(IF(INDEX(INDIRECT("'"&amp;$B$2&amp;"月"&amp;"'!A:AZ"),33,29+3)="","",INDEX(INDIRECT("'"&amp;$B$2&amp;"月"&amp;"'!A:AZ"),33,29+3)),"")</f>
        <v/>
      </c>
      <c r="G239" s="57" t="str">
        <f ca="1">IFERROR(IF(INDEX(INDIRECT("'"&amp;$B$2&amp;"月"&amp;"'!A:AZ"),33,29+4)="","",INDEX(INDIRECT("'"&amp;$B$2&amp;"月"&amp;"'!A:AZ"),33,29+4)),"")</f>
        <v/>
      </c>
      <c r="H239" s="57"/>
    </row>
    <row r="240" spans="1:8" ht="13.5" customHeight="1">
      <c r="A240" s="57">
        <f>IF(DAY(DATE(対象年度,$B$2,31))&lt;&gt;31,"",31)</f>
        <v>31</v>
      </c>
      <c r="B240" s="57" t="str">
        <f>IF(DAY(DATE(対象年度,$B$2,31))&lt;&gt;31,"",CHOOSE(WEEKDAY(DATE(対象年度,$B$2,31),2),"月","火","水","木","金","土","日"))</f>
        <v>土</v>
      </c>
      <c r="C240" s="57" t="str">
        <f ca="1">IFERROR(IF(INDEX(INDIRECT("'"&amp;$B$2&amp;"月"&amp;"'!A:AZ"),34,29+0)="","",INDEX(INDIRECT("'"&amp;$B$2&amp;"月"&amp;"'!A:AZ"),34,29+0)),"")</f>
        <v>新宿</v>
      </c>
      <c r="D240" s="58" t="str">
        <f ca="1">IFERROR(IF(INDEX(INDIRECT("'"&amp;$B$2&amp;"月"&amp;"'!A:AZ"),34,29+1)="","",INDEX(INDIRECT("'"&amp;$B$2&amp;"月"&amp;"'!A:AZ"),34,29+1)),"")</f>
        <v/>
      </c>
      <c r="E240" s="57" t="str">
        <f ca="1">IFERROR(IF(INDEX(INDIRECT("'"&amp;$B$2&amp;"月"&amp;"'!A:AZ"),34,29+2)="","",INDEX(INDIRECT("'"&amp;$B$2&amp;"月"&amp;"'!A:AZ"),34,29+2)),"")</f>
        <v>○</v>
      </c>
      <c r="F240" s="59" t="str">
        <f ca="1">IFERROR(IF(INDEX(INDIRECT("'"&amp;$B$2&amp;"月"&amp;"'!A:AZ"),34,29+3)="","",INDEX(INDIRECT("'"&amp;$B$2&amp;"月"&amp;"'!A:AZ"),34,29+3)),"")</f>
        <v/>
      </c>
      <c r="G240" s="57" t="str">
        <f ca="1">IFERROR(IF(INDEX(INDIRECT("'"&amp;$B$2&amp;"月"&amp;"'!A:AZ"),34,29+4)="","",INDEX(INDIRECT("'"&amp;$B$2&amp;"月"&amp;"'!A:AZ"),34,29+4)),"")</f>
        <v/>
      </c>
      <c r="H240" s="57"/>
    </row>
    <row r="241" spans="1:8" ht="21.75" customHeight="1">
      <c r="A241" s="111" t="s">
        <v>144</v>
      </c>
      <c r="B241" s="111"/>
      <c r="C241" s="61" t="s">
        <v>113</v>
      </c>
      <c r="D241" s="62">
        <f ca="1">IFERROR(INDEX(INDIRECT("'"&amp;$B$2&amp;"月"&amp;"'!A:AZ"),35,29),0)</f>
        <v>10</v>
      </c>
      <c r="E241" s="63" t="s">
        <v>114</v>
      </c>
      <c r="F241" s="64">
        <f ca="1">IFERROR(INDEX(INDIRECT("'"&amp;$B$2&amp;"月"&amp;"'!A:AZ"),36,29),0)</f>
        <v>0</v>
      </c>
      <c r="G241" s="61" t="s">
        <v>115</v>
      </c>
      <c r="H241" s="62">
        <f ca="1">IFERROR(INDEX(INDIRECT("'"&amp;$B$2&amp;"月"&amp;"'!A:AZ"),38,29),0)</f>
        <v>0</v>
      </c>
    </row>
    <row r="242" spans="1:8" ht="24" customHeight="1">
      <c r="A242" s="112"/>
      <c r="B242" s="112"/>
      <c r="C242" s="65" t="s">
        <v>122</v>
      </c>
      <c r="D242" s="66">
        <f ca="1">IFERROR(INDEX(INDIRECT("'"&amp;$B$2&amp;"月"&amp;"'!A:AZ"),37,29),0)</f>
        <v>10</v>
      </c>
      <c r="E242" s="67" t="s">
        <v>105</v>
      </c>
      <c r="F242" s="68">
        <f ca="1">IFERROR(INDEX(INDIRECT("'"&amp;$B$2&amp;"月"&amp;"'!A:AZ"),39,29),0)</f>
        <v>0</v>
      </c>
      <c r="G242" s="69" t="s">
        <v>106</v>
      </c>
      <c r="H242" s="70">
        <f ca="1">IFERROR(INDEX(INDIRECT("'"&amp;$B$2&amp;"月"&amp;"'!A:AZ"),40,29),0)</f>
        <v>0</v>
      </c>
    </row>
    <row r="244" spans="1:8" ht="27.75" customHeight="1">
      <c r="A244" s="90" t="s">
        <v>133</v>
      </c>
      <c r="B244" s="90"/>
      <c r="C244" s="90"/>
      <c r="D244" s="90"/>
      <c r="E244" s="90"/>
      <c r="F244" s="90"/>
      <c r="G244" s="90"/>
      <c r="H244" s="90"/>
    </row>
    <row r="245" spans="1:8" ht="18" customHeight="1">
      <c r="A245" s="113" t="s">
        <v>134</v>
      </c>
      <c r="B245" s="113"/>
      <c r="C245" s="113"/>
      <c r="D245" s="113"/>
      <c r="E245" s="113"/>
      <c r="F245" s="113"/>
      <c r="G245" s="113"/>
      <c r="H245" s="113"/>
    </row>
    <row r="246" spans="1:8" ht="27.75" customHeight="1">
      <c r="A246" s="49" t="s">
        <v>135</v>
      </c>
      <c r="B246" s="114" t="str">
        <f>対象年度&amp;"年 "&amp;$B$2&amp;"月"</f>
        <v>2026年 1月</v>
      </c>
      <c r="C246" s="114"/>
      <c r="D246" s="49" t="s">
        <v>136</v>
      </c>
      <c r="E246" s="115" t="str">
        <f>IFERROR(従業員マスタ!$C$10,"")</f>
        <v>田中 五郎</v>
      </c>
      <c r="F246" s="115"/>
      <c r="G246" s="115"/>
      <c r="H246" s="115"/>
    </row>
    <row r="247" spans="1:8" ht="19.5" customHeight="1">
      <c r="A247" s="73" t="s">
        <v>147</v>
      </c>
      <c r="B247" s="53" t="s">
        <v>148</v>
      </c>
      <c r="C247" s="119" t="s">
        <v>141</v>
      </c>
      <c r="D247" s="119"/>
      <c r="E247" s="119" t="s">
        <v>142</v>
      </c>
      <c r="F247" s="119"/>
      <c r="G247" s="116" t="s">
        <v>143</v>
      </c>
      <c r="H247" s="116"/>
    </row>
    <row r="248" spans="1:8" ht="43.5" customHeight="1">
      <c r="A248" s="74"/>
      <c r="B248" s="54"/>
      <c r="C248" s="110"/>
      <c r="D248" s="110"/>
      <c r="E248" s="110"/>
      <c r="F248" s="110"/>
      <c r="G248" s="110"/>
      <c r="H248" s="110"/>
    </row>
    <row r="249" spans="1:8" ht="19.5" customHeight="1">
      <c r="A249" s="55" t="s">
        <v>108</v>
      </c>
      <c r="B249" s="55" t="s">
        <v>109</v>
      </c>
      <c r="C249" s="55" t="s">
        <v>111</v>
      </c>
      <c r="D249" s="56" t="s">
        <v>112</v>
      </c>
      <c r="E249" s="55" t="s">
        <v>113</v>
      </c>
      <c r="F249" s="55" t="s">
        <v>114</v>
      </c>
      <c r="G249" s="55" t="s">
        <v>115</v>
      </c>
      <c r="H249" s="55" t="s">
        <v>75</v>
      </c>
    </row>
    <row r="250" spans="1:8" ht="13.5" customHeight="1">
      <c r="A250" s="57">
        <f>IF(DAY(DATE(対象年度,$B$2,1))&lt;&gt;1,"",1)</f>
        <v>1</v>
      </c>
      <c r="B250" s="57" t="str">
        <f>IF(DAY(DATE(対象年度,$B$2,1))&lt;&gt;1,"",CHOOSE(WEEKDAY(DATE(対象年度,$B$2,1),2),"月","火","水","木","金","土","日"))</f>
        <v>木</v>
      </c>
      <c r="C250" s="57" t="str">
        <f ca="1">IFERROR(IF(INDEX(INDIRECT("'"&amp;$B$2&amp;"月"&amp;"'!A:AZ"),4,34+0)="","",INDEX(INDIRECT("'"&amp;$B$2&amp;"月"&amp;"'!A:AZ"),4,34+0)),"")</f>
        <v/>
      </c>
      <c r="D250" s="58" t="str">
        <f ca="1">IFERROR(IF(INDEX(INDIRECT("'"&amp;$B$2&amp;"月"&amp;"'!A:AZ"),4,34+1)="","",INDEX(INDIRECT("'"&amp;$B$2&amp;"月"&amp;"'!A:AZ"),4,34+1)),"")</f>
        <v/>
      </c>
      <c r="E250" s="57" t="str">
        <f ca="1">IFERROR(IF(INDEX(INDIRECT("'"&amp;$B$2&amp;"月"&amp;"'!A:AZ"),4,34+2)="","",INDEX(INDIRECT("'"&amp;$B$2&amp;"月"&amp;"'!A:AZ"),4,34+2)),"")</f>
        <v/>
      </c>
      <c r="F250" s="59" t="str">
        <f ca="1">IFERROR(IF(INDEX(INDIRECT("'"&amp;$B$2&amp;"月"&amp;"'!A:AZ"),4,34+3)="","",INDEX(INDIRECT("'"&amp;$B$2&amp;"月"&amp;"'!A:AZ"),4,34+3)),"")</f>
        <v/>
      </c>
      <c r="G250" s="57" t="str">
        <f ca="1">IFERROR(IF(INDEX(INDIRECT("'"&amp;$B$2&amp;"月"&amp;"'!A:AZ"),4,34+4)="","",INDEX(INDIRECT("'"&amp;$B$2&amp;"月"&amp;"'!A:AZ"),4,34+4)),"")</f>
        <v/>
      </c>
      <c r="H250" s="57"/>
    </row>
    <row r="251" spans="1:8" ht="13.5" customHeight="1">
      <c r="A251" s="57">
        <f>IF(DAY(DATE(対象年度,$B$2,2))&lt;&gt;2,"",2)</f>
        <v>2</v>
      </c>
      <c r="B251" s="57" t="str">
        <f>IF(DAY(DATE(対象年度,$B$2,2))&lt;&gt;2,"",CHOOSE(WEEKDAY(DATE(対象年度,$B$2,2),2),"月","火","水","木","金","土","日"))</f>
        <v>金</v>
      </c>
      <c r="C251" s="57" t="str">
        <f ca="1">IFERROR(IF(INDEX(INDIRECT("'"&amp;$B$2&amp;"月"&amp;"'!A:AZ"),5,34+0)="","",INDEX(INDIRECT("'"&amp;$B$2&amp;"月"&amp;"'!A:AZ"),5,34+0)),"")</f>
        <v/>
      </c>
      <c r="D251" s="58" t="str">
        <f ca="1">IFERROR(IF(INDEX(INDIRECT("'"&amp;$B$2&amp;"月"&amp;"'!A:AZ"),5,34+1)="","",INDEX(INDIRECT("'"&amp;$B$2&amp;"月"&amp;"'!A:AZ"),5,34+1)),"")</f>
        <v/>
      </c>
      <c r="E251" s="57" t="str">
        <f ca="1">IFERROR(IF(INDEX(INDIRECT("'"&amp;$B$2&amp;"月"&amp;"'!A:AZ"),5,34+2)="","",INDEX(INDIRECT("'"&amp;$B$2&amp;"月"&amp;"'!A:AZ"),5,34+2)),"")</f>
        <v/>
      </c>
      <c r="F251" s="59" t="str">
        <f ca="1">IFERROR(IF(INDEX(INDIRECT("'"&amp;$B$2&amp;"月"&amp;"'!A:AZ"),5,34+3)="","",INDEX(INDIRECT("'"&amp;$B$2&amp;"月"&amp;"'!A:AZ"),5,34+3)),"")</f>
        <v/>
      </c>
      <c r="G251" s="57" t="str">
        <f ca="1">IFERROR(IF(INDEX(INDIRECT("'"&amp;$B$2&amp;"月"&amp;"'!A:AZ"),5,34+4)="","",INDEX(INDIRECT("'"&amp;$B$2&amp;"月"&amp;"'!A:AZ"),5,34+4)),"")</f>
        <v/>
      </c>
      <c r="H251" s="57"/>
    </row>
    <row r="252" spans="1:8" ht="13.5" customHeight="1">
      <c r="A252" s="57">
        <f>IF(DAY(DATE(対象年度,$B$2,3))&lt;&gt;3,"",3)</f>
        <v>3</v>
      </c>
      <c r="B252" s="57" t="str">
        <f>IF(DAY(DATE(対象年度,$B$2,3))&lt;&gt;3,"",CHOOSE(WEEKDAY(DATE(対象年度,$B$2,3),2),"月","火","水","木","金","土","日"))</f>
        <v>土</v>
      </c>
      <c r="C252" s="57" t="str">
        <f ca="1">IFERROR(IF(INDEX(INDIRECT("'"&amp;$B$2&amp;"月"&amp;"'!A:AZ"),6,34+0)="","",INDEX(INDIRECT("'"&amp;$B$2&amp;"月"&amp;"'!A:AZ"),6,34+0)),"")</f>
        <v/>
      </c>
      <c r="D252" s="58" t="str">
        <f ca="1">IFERROR(IF(INDEX(INDIRECT("'"&amp;$B$2&amp;"月"&amp;"'!A:AZ"),6,34+1)="","",INDEX(INDIRECT("'"&amp;$B$2&amp;"月"&amp;"'!A:AZ"),6,34+1)),"")</f>
        <v/>
      </c>
      <c r="E252" s="57" t="str">
        <f ca="1">IFERROR(IF(INDEX(INDIRECT("'"&amp;$B$2&amp;"月"&amp;"'!A:AZ"),6,34+2)="","",INDEX(INDIRECT("'"&amp;$B$2&amp;"月"&amp;"'!A:AZ"),6,34+2)),"")</f>
        <v/>
      </c>
      <c r="F252" s="59" t="str">
        <f ca="1">IFERROR(IF(INDEX(INDIRECT("'"&amp;$B$2&amp;"月"&amp;"'!A:AZ"),6,34+3)="","",INDEX(INDIRECT("'"&amp;$B$2&amp;"月"&amp;"'!A:AZ"),6,34+3)),"")</f>
        <v/>
      </c>
      <c r="G252" s="57" t="str">
        <f ca="1">IFERROR(IF(INDEX(INDIRECT("'"&amp;$B$2&amp;"月"&amp;"'!A:AZ"),6,34+4)="","",INDEX(INDIRECT("'"&amp;$B$2&amp;"月"&amp;"'!A:AZ"),6,34+4)),"")</f>
        <v/>
      </c>
      <c r="H252" s="57"/>
    </row>
    <row r="253" spans="1:8" ht="13.5" customHeight="1">
      <c r="A253" s="57">
        <f>IF(DAY(DATE(対象年度,$B$2,4))&lt;&gt;4,"",4)</f>
        <v>4</v>
      </c>
      <c r="B253" s="57" t="str">
        <f>IF(DAY(DATE(対象年度,$B$2,4))&lt;&gt;4,"",CHOOSE(WEEKDAY(DATE(対象年度,$B$2,4),2),"月","火","水","木","金","土","日"))</f>
        <v>日</v>
      </c>
      <c r="C253" s="57" t="str">
        <f ca="1">IFERROR(IF(INDEX(INDIRECT("'"&amp;$B$2&amp;"月"&amp;"'!A:AZ"),7,34+0)="","",INDEX(INDIRECT("'"&amp;$B$2&amp;"月"&amp;"'!A:AZ"),7,34+0)),"")</f>
        <v/>
      </c>
      <c r="D253" s="58" t="str">
        <f ca="1">IFERROR(IF(INDEX(INDIRECT("'"&amp;$B$2&amp;"月"&amp;"'!A:AZ"),7,34+1)="","",INDEX(INDIRECT("'"&amp;$B$2&amp;"月"&amp;"'!A:AZ"),7,34+1)),"")</f>
        <v/>
      </c>
      <c r="E253" s="57" t="str">
        <f ca="1">IFERROR(IF(INDEX(INDIRECT("'"&amp;$B$2&amp;"月"&amp;"'!A:AZ"),7,34+2)="","",INDEX(INDIRECT("'"&amp;$B$2&amp;"月"&amp;"'!A:AZ"),7,34+2)),"")</f>
        <v/>
      </c>
      <c r="F253" s="59" t="str">
        <f ca="1">IFERROR(IF(INDEX(INDIRECT("'"&amp;$B$2&amp;"月"&amp;"'!A:AZ"),7,34+3)="","",INDEX(INDIRECT("'"&amp;$B$2&amp;"月"&amp;"'!A:AZ"),7,34+3)),"")</f>
        <v/>
      </c>
      <c r="G253" s="57" t="str">
        <f ca="1">IFERROR(IF(INDEX(INDIRECT("'"&amp;$B$2&amp;"月"&amp;"'!A:AZ"),7,34+4)="","",INDEX(INDIRECT("'"&amp;$B$2&amp;"月"&amp;"'!A:AZ"),7,34+4)),"")</f>
        <v/>
      </c>
      <c r="H253" s="57"/>
    </row>
    <row r="254" spans="1:8" ht="13.5" customHeight="1">
      <c r="A254" s="57">
        <f>IF(DAY(DATE(対象年度,$B$2,5))&lt;&gt;5,"",5)</f>
        <v>5</v>
      </c>
      <c r="B254" s="57" t="str">
        <f>IF(DAY(DATE(対象年度,$B$2,5))&lt;&gt;5,"",CHOOSE(WEEKDAY(DATE(対象年度,$B$2,5),2),"月","火","水","木","金","土","日"))</f>
        <v>月</v>
      </c>
      <c r="C254" s="57" t="str">
        <f ca="1">IFERROR(IF(INDEX(INDIRECT("'"&amp;$B$2&amp;"月"&amp;"'!A:AZ"),8,34+0)="","",INDEX(INDIRECT("'"&amp;$B$2&amp;"月"&amp;"'!A:AZ"),8,34+0)),"")</f>
        <v/>
      </c>
      <c r="D254" s="58" t="str">
        <f ca="1">IFERROR(IF(INDEX(INDIRECT("'"&amp;$B$2&amp;"月"&amp;"'!A:AZ"),8,34+1)="","",INDEX(INDIRECT("'"&amp;$B$2&amp;"月"&amp;"'!A:AZ"),8,34+1)),"")</f>
        <v/>
      </c>
      <c r="E254" s="57" t="str">
        <f ca="1">IFERROR(IF(INDEX(INDIRECT("'"&amp;$B$2&amp;"月"&amp;"'!A:AZ"),8,34+2)="","",INDEX(INDIRECT("'"&amp;$B$2&amp;"月"&amp;"'!A:AZ"),8,34+2)),"")</f>
        <v/>
      </c>
      <c r="F254" s="59" t="str">
        <f ca="1">IFERROR(IF(INDEX(INDIRECT("'"&amp;$B$2&amp;"月"&amp;"'!A:AZ"),8,34+3)="","",INDEX(INDIRECT("'"&amp;$B$2&amp;"月"&amp;"'!A:AZ"),8,34+3)),"")</f>
        <v/>
      </c>
      <c r="G254" s="57" t="str">
        <f ca="1">IFERROR(IF(INDEX(INDIRECT("'"&amp;$B$2&amp;"月"&amp;"'!A:AZ"),8,34+4)="","",INDEX(INDIRECT("'"&amp;$B$2&amp;"月"&amp;"'!A:AZ"),8,34+4)),"")</f>
        <v/>
      </c>
      <c r="H254" s="57"/>
    </row>
    <row r="255" spans="1:8" ht="13.5" customHeight="1">
      <c r="A255" s="57">
        <f>IF(DAY(DATE(対象年度,$B$2,6))&lt;&gt;6,"",6)</f>
        <v>6</v>
      </c>
      <c r="B255" s="57" t="str">
        <f>IF(DAY(DATE(対象年度,$B$2,6))&lt;&gt;6,"",CHOOSE(WEEKDAY(DATE(対象年度,$B$2,6),2),"月","火","水","木","金","土","日"))</f>
        <v>火</v>
      </c>
      <c r="C255" s="57" t="str">
        <f ca="1">IFERROR(IF(INDEX(INDIRECT("'"&amp;$B$2&amp;"月"&amp;"'!A:AZ"),9,34+0)="","",INDEX(INDIRECT("'"&amp;$B$2&amp;"月"&amp;"'!A:AZ"),9,34+0)),"")</f>
        <v/>
      </c>
      <c r="D255" s="58" t="str">
        <f ca="1">IFERROR(IF(INDEX(INDIRECT("'"&amp;$B$2&amp;"月"&amp;"'!A:AZ"),9,34+1)="","",INDEX(INDIRECT("'"&amp;$B$2&amp;"月"&amp;"'!A:AZ"),9,34+1)),"")</f>
        <v/>
      </c>
      <c r="E255" s="57" t="str">
        <f ca="1">IFERROR(IF(INDEX(INDIRECT("'"&amp;$B$2&amp;"月"&amp;"'!A:AZ"),9,34+2)="","",INDEX(INDIRECT("'"&amp;$B$2&amp;"月"&amp;"'!A:AZ"),9,34+2)),"")</f>
        <v/>
      </c>
      <c r="F255" s="59" t="str">
        <f ca="1">IFERROR(IF(INDEX(INDIRECT("'"&amp;$B$2&amp;"月"&amp;"'!A:AZ"),9,34+3)="","",INDEX(INDIRECT("'"&amp;$B$2&amp;"月"&amp;"'!A:AZ"),9,34+3)),"")</f>
        <v/>
      </c>
      <c r="G255" s="57" t="str">
        <f ca="1">IFERROR(IF(INDEX(INDIRECT("'"&amp;$B$2&amp;"月"&amp;"'!A:AZ"),9,34+4)="","",INDEX(INDIRECT("'"&amp;$B$2&amp;"月"&amp;"'!A:AZ"),9,34+4)),"")</f>
        <v/>
      </c>
      <c r="H255" s="57"/>
    </row>
    <row r="256" spans="1:8" ht="13.5" customHeight="1">
      <c r="A256" s="57">
        <f>IF(DAY(DATE(対象年度,$B$2,7))&lt;&gt;7,"",7)</f>
        <v>7</v>
      </c>
      <c r="B256" s="57" t="str">
        <f>IF(DAY(DATE(対象年度,$B$2,7))&lt;&gt;7,"",CHOOSE(WEEKDAY(DATE(対象年度,$B$2,7),2),"月","火","水","木","金","土","日"))</f>
        <v>水</v>
      </c>
      <c r="C256" s="57" t="str">
        <f ca="1">IFERROR(IF(INDEX(INDIRECT("'"&amp;$B$2&amp;"月"&amp;"'!A:AZ"),10,34+0)="","",INDEX(INDIRECT("'"&amp;$B$2&amp;"月"&amp;"'!A:AZ"),10,34+0)),"")</f>
        <v/>
      </c>
      <c r="D256" s="58" t="str">
        <f ca="1">IFERROR(IF(INDEX(INDIRECT("'"&amp;$B$2&amp;"月"&amp;"'!A:AZ"),10,34+1)="","",INDEX(INDIRECT("'"&amp;$B$2&amp;"月"&amp;"'!A:AZ"),10,34+1)),"")</f>
        <v/>
      </c>
      <c r="E256" s="57" t="str">
        <f ca="1">IFERROR(IF(INDEX(INDIRECT("'"&amp;$B$2&amp;"月"&amp;"'!A:AZ"),10,34+2)="","",INDEX(INDIRECT("'"&amp;$B$2&amp;"月"&amp;"'!A:AZ"),10,34+2)),"")</f>
        <v/>
      </c>
      <c r="F256" s="59" t="str">
        <f ca="1">IFERROR(IF(INDEX(INDIRECT("'"&amp;$B$2&amp;"月"&amp;"'!A:AZ"),10,34+3)="","",INDEX(INDIRECT("'"&amp;$B$2&amp;"月"&amp;"'!A:AZ"),10,34+3)),"")</f>
        <v/>
      </c>
      <c r="G256" s="57" t="str">
        <f ca="1">IFERROR(IF(INDEX(INDIRECT("'"&amp;$B$2&amp;"月"&amp;"'!A:AZ"),10,34+4)="","",INDEX(INDIRECT("'"&amp;$B$2&amp;"月"&amp;"'!A:AZ"),10,34+4)),"")</f>
        <v/>
      </c>
      <c r="H256" s="57"/>
    </row>
    <row r="257" spans="1:8" ht="13.5" customHeight="1">
      <c r="A257" s="57">
        <f>IF(DAY(DATE(対象年度,$B$2,8))&lt;&gt;8,"",8)</f>
        <v>8</v>
      </c>
      <c r="B257" s="57" t="str">
        <f>IF(DAY(DATE(対象年度,$B$2,8))&lt;&gt;8,"",CHOOSE(WEEKDAY(DATE(対象年度,$B$2,8),2),"月","火","水","木","金","土","日"))</f>
        <v>木</v>
      </c>
      <c r="C257" s="57" t="str">
        <f ca="1">IFERROR(IF(INDEX(INDIRECT("'"&amp;$B$2&amp;"月"&amp;"'!A:AZ"),11,34+0)="","",INDEX(INDIRECT("'"&amp;$B$2&amp;"月"&amp;"'!A:AZ"),11,34+0)),"")</f>
        <v/>
      </c>
      <c r="D257" s="58" t="str">
        <f ca="1">IFERROR(IF(INDEX(INDIRECT("'"&amp;$B$2&amp;"月"&amp;"'!A:AZ"),11,34+1)="","",INDEX(INDIRECT("'"&amp;$B$2&amp;"月"&amp;"'!A:AZ"),11,34+1)),"")</f>
        <v/>
      </c>
      <c r="E257" s="57" t="str">
        <f ca="1">IFERROR(IF(INDEX(INDIRECT("'"&amp;$B$2&amp;"月"&amp;"'!A:AZ"),11,34+2)="","",INDEX(INDIRECT("'"&amp;$B$2&amp;"月"&amp;"'!A:AZ"),11,34+2)),"")</f>
        <v/>
      </c>
      <c r="F257" s="59" t="str">
        <f ca="1">IFERROR(IF(INDEX(INDIRECT("'"&amp;$B$2&amp;"月"&amp;"'!A:AZ"),11,34+3)="","",INDEX(INDIRECT("'"&amp;$B$2&amp;"月"&amp;"'!A:AZ"),11,34+3)),"")</f>
        <v/>
      </c>
      <c r="G257" s="57" t="str">
        <f ca="1">IFERROR(IF(INDEX(INDIRECT("'"&amp;$B$2&amp;"月"&amp;"'!A:AZ"),11,34+4)="","",INDEX(INDIRECT("'"&amp;$B$2&amp;"月"&amp;"'!A:AZ"),11,34+4)),"")</f>
        <v/>
      </c>
      <c r="H257" s="57"/>
    </row>
    <row r="258" spans="1:8" ht="13.5" customHeight="1">
      <c r="A258" s="57">
        <f>IF(DAY(DATE(対象年度,$B$2,9))&lt;&gt;9,"",9)</f>
        <v>9</v>
      </c>
      <c r="B258" s="57" t="str">
        <f>IF(DAY(DATE(対象年度,$B$2,9))&lt;&gt;9,"",CHOOSE(WEEKDAY(DATE(対象年度,$B$2,9),2),"月","火","水","木","金","土","日"))</f>
        <v>金</v>
      </c>
      <c r="C258" s="57" t="str">
        <f ca="1">IFERROR(IF(INDEX(INDIRECT("'"&amp;$B$2&amp;"月"&amp;"'!A:AZ"),12,34+0)="","",INDEX(INDIRECT("'"&amp;$B$2&amp;"月"&amp;"'!A:AZ"),12,34+0)),"")</f>
        <v/>
      </c>
      <c r="D258" s="58" t="str">
        <f ca="1">IFERROR(IF(INDEX(INDIRECT("'"&amp;$B$2&amp;"月"&amp;"'!A:AZ"),12,34+1)="","",INDEX(INDIRECT("'"&amp;$B$2&amp;"月"&amp;"'!A:AZ"),12,34+1)),"")</f>
        <v/>
      </c>
      <c r="E258" s="57" t="str">
        <f ca="1">IFERROR(IF(INDEX(INDIRECT("'"&amp;$B$2&amp;"月"&amp;"'!A:AZ"),12,34+2)="","",INDEX(INDIRECT("'"&amp;$B$2&amp;"月"&amp;"'!A:AZ"),12,34+2)),"")</f>
        <v/>
      </c>
      <c r="F258" s="59" t="str">
        <f ca="1">IFERROR(IF(INDEX(INDIRECT("'"&amp;$B$2&amp;"月"&amp;"'!A:AZ"),12,34+3)="","",INDEX(INDIRECT("'"&amp;$B$2&amp;"月"&amp;"'!A:AZ"),12,34+3)),"")</f>
        <v/>
      </c>
      <c r="G258" s="57" t="str">
        <f ca="1">IFERROR(IF(INDEX(INDIRECT("'"&amp;$B$2&amp;"月"&amp;"'!A:AZ"),12,34+4)="","",INDEX(INDIRECT("'"&amp;$B$2&amp;"月"&amp;"'!A:AZ"),12,34+4)),"")</f>
        <v/>
      </c>
      <c r="H258" s="57"/>
    </row>
    <row r="259" spans="1:8" ht="13.5" customHeight="1">
      <c r="A259" s="57">
        <f>IF(DAY(DATE(対象年度,$B$2,10))&lt;&gt;10,"",10)</f>
        <v>10</v>
      </c>
      <c r="B259" s="57" t="str">
        <f>IF(DAY(DATE(対象年度,$B$2,10))&lt;&gt;10,"",CHOOSE(WEEKDAY(DATE(対象年度,$B$2,10),2),"月","火","水","木","金","土","日"))</f>
        <v>土</v>
      </c>
      <c r="C259" s="57" t="str">
        <f ca="1">IFERROR(IF(INDEX(INDIRECT("'"&amp;$B$2&amp;"月"&amp;"'!A:AZ"),13,34+0)="","",INDEX(INDIRECT("'"&amp;$B$2&amp;"月"&amp;"'!A:AZ"),13,34+0)),"")</f>
        <v/>
      </c>
      <c r="D259" s="58" t="str">
        <f ca="1">IFERROR(IF(INDEX(INDIRECT("'"&amp;$B$2&amp;"月"&amp;"'!A:AZ"),13,34+1)="","",INDEX(INDIRECT("'"&amp;$B$2&amp;"月"&amp;"'!A:AZ"),13,34+1)),"")</f>
        <v/>
      </c>
      <c r="E259" s="57" t="str">
        <f ca="1">IFERROR(IF(INDEX(INDIRECT("'"&amp;$B$2&amp;"月"&amp;"'!A:AZ"),13,34+2)="","",INDEX(INDIRECT("'"&amp;$B$2&amp;"月"&amp;"'!A:AZ"),13,34+2)),"")</f>
        <v/>
      </c>
      <c r="F259" s="59" t="str">
        <f ca="1">IFERROR(IF(INDEX(INDIRECT("'"&amp;$B$2&amp;"月"&amp;"'!A:AZ"),13,34+3)="","",INDEX(INDIRECT("'"&amp;$B$2&amp;"月"&amp;"'!A:AZ"),13,34+3)),"")</f>
        <v/>
      </c>
      <c r="G259" s="57" t="str">
        <f ca="1">IFERROR(IF(INDEX(INDIRECT("'"&amp;$B$2&amp;"月"&amp;"'!A:AZ"),13,34+4)="","",INDEX(INDIRECT("'"&amp;$B$2&amp;"月"&amp;"'!A:AZ"),13,34+4)),"")</f>
        <v/>
      </c>
      <c r="H259" s="57"/>
    </row>
    <row r="260" spans="1:8" ht="13.5" customHeight="1">
      <c r="A260" s="57">
        <f>IF(DAY(DATE(対象年度,$B$2,11))&lt;&gt;11,"",11)</f>
        <v>11</v>
      </c>
      <c r="B260" s="57" t="str">
        <f>IF(DAY(DATE(対象年度,$B$2,11))&lt;&gt;11,"",CHOOSE(WEEKDAY(DATE(対象年度,$B$2,11),2),"月","火","水","木","金","土","日"))</f>
        <v>日</v>
      </c>
      <c r="C260" s="57" t="str">
        <f ca="1">IFERROR(IF(INDEX(INDIRECT("'"&amp;$B$2&amp;"月"&amp;"'!A:AZ"),14,34+0)="","",INDEX(INDIRECT("'"&amp;$B$2&amp;"月"&amp;"'!A:AZ"),14,34+0)),"")</f>
        <v/>
      </c>
      <c r="D260" s="58" t="str">
        <f ca="1">IFERROR(IF(INDEX(INDIRECT("'"&amp;$B$2&amp;"月"&amp;"'!A:AZ"),14,34+1)="","",INDEX(INDIRECT("'"&amp;$B$2&amp;"月"&amp;"'!A:AZ"),14,34+1)),"")</f>
        <v/>
      </c>
      <c r="E260" s="57" t="str">
        <f ca="1">IFERROR(IF(INDEX(INDIRECT("'"&amp;$B$2&amp;"月"&amp;"'!A:AZ"),14,34+2)="","",INDEX(INDIRECT("'"&amp;$B$2&amp;"月"&amp;"'!A:AZ"),14,34+2)),"")</f>
        <v/>
      </c>
      <c r="F260" s="59" t="str">
        <f ca="1">IFERROR(IF(INDEX(INDIRECT("'"&amp;$B$2&amp;"月"&amp;"'!A:AZ"),14,34+3)="","",INDEX(INDIRECT("'"&amp;$B$2&amp;"月"&amp;"'!A:AZ"),14,34+3)),"")</f>
        <v/>
      </c>
      <c r="G260" s="57" t="str">
        <f ca="1">IFERROR(IF(INDEX(INDIRECT("'"&amp;$B$2&amp;"月"&amp;"'!A:AZ"),14,34+4)="","",INDEX(INDIRECT("'"&amp;$B$2&amp;"月"&amp;"'!A:AZ"),14,34+4)),"")</f>
        <v/>
      </c>
      <c r="H260" s="57"/>
    </row>
    <row r="261" spans="1:8" ht="13.5" customHeight="1">
      <c r="A261" s="57">
        <f>IF(DAY(DATE(対象年度,$B$2,12))&lt;&gt;12,"",12)</f>
        <v>12</v>
      </c>
      <c r="B261" s="57" t="str">
        <f>IF(DAY(DATE(対象年度,$B$2,12))&lt;&gt;12,"",CHOOSE(WEEKDAY(DATE(対象年度,$B$2,12),2),"月","火","水","木","金","土","日"))</f>
        <v>月</v>
      </c>
      <c r="C261" s="57" t="str">
        <f ca="1">IFERROR(IF(INDEX(INDIRECT("'"&amp;$B$2&amp;"月"&amp;"'!A:AZ"),15,34+0)="","",INDEX(INDIRECT("'"&amp;$B$2&amp;"月"&amp;"'!A:AZ"),15,34+0)),"")</f>
        <v/>
      </c>
      <c r="D261" s="58" t="str">
        <f ca="1">IFERROR(IF(INDEX(INDIRECT("'"&amp;$B$2&amp;"月"&amp;"'!A:AZ"),15,34+1)="","",INDEX(INDIRECT("'"&amp;$B$2&amp;"月"&amp;"'!A:AZ"),15,34+1)),"")</f>
        <v/>
      </c>
      <c r="E261" s="57" t="str">
        <f ca="1">IFERROR(IF(INDEX(INDIRECT("'"&amp;$B$2&amp;"月"&amp;"'!A:AZ"),15,34+2)="","",INDEX(INDIRECT("'"&amp;$B$2&amp;"月"&amp;"'!A:AZ"),15,34+2)),"")</f>
        <v/>
      </c>
      <c r="F261" s="59" t="str">
        <f ca="1">IFERROR(IF(INDEX(INDIRECT("'"&amp;$B$2&amp;"月"&amp;"'!A:AZ"),15,34+3)="","",INDEX(INDIRECT("'"&amp;$B$2&amp;"月"&amp;"'!A:AZ"),15,34+3)),"")</f>
        <v/>
      </c>
      <c r="G261" s="57" t="str">
        <f ca="1">IFERROR(IF(INDEX(INDIRECT("'"&amp;$B$2&amp;"月"&amp;"'!A:AZ"),15,34+4)="","",INDEX(INDIRECT("'"&amp;$B$2&amp;"月"&amp;"'!A:AZ"),15,34+4)),"")</f>
        <v/>
      </c>
      <c r="H261" s="57"/>
    </row>
    <row r="262" spans="1:8" ht="13.5" customHeight="1">
      <c r="A262" s="57">
        <f>IF(DAY(DATE(対象年度,$B$2,13))&lt;&gt;13,"",13)</f>
        <v>13</v>
      </c>
      <c r="B262" s="57" t="str">
        <f>IF(DAY(DATE(対象年度,$B$2,13))&lt;&gt;13,"",CHOOSE(WEEKDAY(DATE(対象年度,$B$2,13),2),"月","火","水","木","金","土","日"))</f>
        <v>火</v>
      </c>
      <c r="C262" s="57" t="str">
        <f ca="1">IFERROR(IF(INDEX(INDIRECT("'"&amp;$B$2&amp;"月"&amp;"'!A:AZ"),16,34+0)="","",INDEX(INDIRECT("'"&amp;$B$2&amp;"月"&amp;"'!A:AZ"),16,34+0)),"")</f>
        <v/>
      </c>
      <c r="D262" s="58" t="str">
        <f ca="1">IFERROR(IF(INDEX(INDIRECT("'"&amp;$B$2&amp;"月"&amp;"'!A:AZ"),16,34+1)="","",INDEX(INDIRECT("'"&amp;$B$2&amp;"月"&amp;"'!A:AZ"),16,34+1)),"")</f>
        <v/>
      </c>
      <c r="E262" s="57" t="str">
        <f ca="1">IFERROR(IF(INDEX(INDIRECT("'"&amp;$B$2&amp;"月"&amp;"'!A:AZ"),16,34+2)="","",INDEX(INDIRECT("'"&amp;$B$2&amp;"月"&amp;"'!A:AZ"),16,34+2)),"")</f>
        <v/>
      </c>
      <c r="F262" s="59" t="str">
        <f ca="1">IFERROR(IF(INDEX(INDIRECT("'"&amp;$B$2&amp;"月"&amp;"'!A:AZ"),16,34+3)="","",INDEX(INDIRECT("'"&amp;$B$2&amp;"月"&amp;"'!A:AZ"),16,34+3)),"")</f>
        <v/>
      </c>
      <c r="G262" s="57" t="str">
        <f ca="1">IFERROR(IF(INDEX(INDIRECT("'"&amp;$B$2&amp;"月"&amp;"'!A:AZ"),16,34+4)="","",INDEX(INDIRECT("'"&amp;$B$2&amp;"月"&amp;"'!A:AZ"),16,34+4)),"")</f>
        <v/>
      </c>
      <c r="H262" s="57"/>
    </row>
    <row r="263" spans="1:8" ht="13.5" customHeight="1">
      <c r="A263" s="57">
        <f>IF(DAY(DATE(対象年度,$B$2,14))&lt;&gt;14,"",14)</f>
        <v>14</v>
      </c>
      <c r="B263" s="57" t="str">
        <f>IF(DAY(DATE(対象年度,$B$2,14))&lt;&gt;14,"",CHOOSE(WEEKDAY(DATE(対象年度,$B$2,14),2),"月","火","水","木","金","土","日"))</f>
        <v>水</v>
      </c>
      <c r="C263" s="57" t="str">
        <f ca="1">IFERROR(IF(INDEX(INDIRECT("'"&amp;$B$2&amp;"月"&amp;"'!A:AZ"),17,34+0)="","",INDEX(INDIRECT("'"&amp;$B$2&amp;"月"&amp;"'!A:AZ"),17,34+0)),"")</f>
        <v/>
      </c>
      <c r="D263" s="58" t="str">
        <f ca="1">IFERROR(IF(INDEX(INDIRECT("'"&amp;$B$2&amp;"月"&amp;"'!A:AZ"),17,34+1)="","",INDEX(INDIRECT("'"&amp;$B$2&amp;"月"&amp;"'!A:AZ"),17,34+1)),"")</f>
        <v/>
      </c>
      <c r="E263" s="57" t="str">
        <f ca="1">IFERROR(IF(INDEX(INDIRECT("'"&amp;$B$2&amp;"月"&amp;"'!A:AZ"),17,34+2)="","",INDEX(INDIRECT("'"&amp;$B$2&amp;"月"&amp;"'!A:AZ"),17,34+2)),"")</f>
        <v/>
      </c>
      <c r="F263" s="59" t="str">
        <f ca="1">IFERROR(IF(INDEX(INDIRECT("'"&amp;$B$2&amp;"月"&amp;"'!A:AZ"),17,34+3)="","",INDEX(INDIRECT("'"&amp;$B$2&amp;"月"&amp;"'!A:AZ"),17,34+3)),"")</f>
        <v/>
      </c>
      <c r="G263" s="57" t="str">
        <f ca="1">IFERROR(IF(INDEX(INDIRECT("'"&amp;$B$2&amp;"月"&amp;"'!A:AZ"),17,34+4)="","",INDEX(INDIRECT("'"&amp;$B$2&amp;"月"&amp;"'!A:AZ"),17,34+4)),"")</f>
        <v/>
      </c>
      <c r="H263" s="57"/>
    </row>
    <row r="264" spans="1:8" ht="13.5" customHeight="1">
      <c r="A264" s="57">
        <f>IF(DAY(DATE(対象年度,$B$2,15))&lt;&gt;15,"",15)</f>
        <v>15</v>
      </c>
      <c r="B264" s="57" t="str">
        <f>IF(DAY(DATE(対象年度,$B$2,15))&lt;&gt;15,"",CHOOSE(WEEKDAY(DATE(対象年度,$B$2,15),2),"月","火","水","木","金","土","日"))</f>
        <v>木</v>
      </c>
      <c r="C264" s="57" t="str">
        <f ca="1">IFERROR(IF(INDEX(INDIRECT("'"&amp;$B$2&amp;"月"&amp;"'!A:AZ"),18,34+0)="","",INDEX(INDIRECT("'"&amp;$B$2&amp;"月"&amp;"'!A:AZ"),18,34+0)),"")</f>
        <v/>
      </c>
      <c r="D264" s="58" t="str">
        <f ca="1">IFERROR(IF(INDEX(INDIRECT("'"&amp;$B$2&amp;"月"&amp;"'!A:AZ"),18,34+1)="","",INDEX(INDIRECT("'"&amp;$B$2&amp;"月"&amp;"'!A:AZ"),18,34+1)),"")</f>
        <v/>
      </c>
      <c r="E264" s="57" t="str">
        <f ca="1">IFERROR(IF(INDEX(INDIRECT("'"&amp;$B$2&amp;"月"&amp;"'!A:AZ"),18,34+2)="","",INDEX(INDIRECT("'"&amp;$B$2&amp;"月"&amp;"'!A:AZ"),18,34+2)),"")</f>
        <v/>
      </c>
      <c r="F264" s="59" t="str">
        <f ca="1">IFERROR(IF(INDEX(INDIRECT("'"&amp;$B$2&amp;"月"&amp;"'!A:AZ"),18,34+3)="","",INDEX(INDIRECT("'"&amp;$B$2&amp;"月"&amp;"'!A:AZ"),18,34+3)),"")</f>
        <v/>
      </c>
      <c r="G264" s="57" t="str">
        <f ca="1">IFERROR(IF(INDEX(INDIRECT("'"&amp;$B$2&amp;"月"&amp;"'!A:AZ"),18,34+4)="","",INDEX(INDIRECT("'"&amp;$B$2&amp;"月"&amp;"'!A:AZ"),18,34+4)),"")</f>
        <v/>
      </c>
      <c r="H264" s="57"/>
    </row>
    <row r="265" spans="1:8" ht="13.5" customHeight="1">
      <c r="A265" s="57">
        <f>IF(DAY(DATE(対象年度,$B$2,16))&lt;&gt;16,"",16)</f>
        <v>16</v>
      </c>
      <c r="B265" s="57" t="str">
        <f>IF(DAY(DATE(対象年度,$B$2,16))&lt;&gt;16,"",CHOOSE(WEEKDAY(DATE(対象年度,$B$2,16),2),"月","火","水","木","金","土","日"))</f>
        <v>金</v>
      </c>
      <c r="C265" s="57" t="str">
        <f ca="1">IFERROR(IF(INDEX(INDIRECT("'"&amp;$B$2&amp;"月"&amp;"'!A:AZ"),19,34+0)="","",INDEX(INDIRECT("'"&amp;$B$2&amp;"月"&amp;"'!A:AZ"),19,34+0)),"")</f>
        <v/>
      </c>
      <c r="D265" s="58" t="str">
        <f ca="1">IFERROR(IF(INDEX(INDIRECT("'"&amp;$B$2&amp;"月"&amp;"'!A:AZ"),19,34+1)="","",INDEX(INDIRECT("'"&amp;$B$2&amp;"月"&amp;"'!A:AZ"),19,34+1)),"")</f>
        <v/>
      </c>
      <c r="E265" s="57" t="str">
        <f ca="1">IFERROR(IF(INDEX(INDIRECT("'"&amp;$B$2&amp;"月"&amp;"'!A:AZ"),19,34+2)="","",INDEX(INDIRECT("'"&amp;$B$2&amp;"月"&amp;"'!A:AZ"),19,34+2)),"")</f>
        <v/>
      </c>
      <c r="F265" s="59" t="str">
        <f ca="1">IFERROR(IF(INDEX(INDIRECT("'"&amp;$B$2&amp;"月"&amp;"'!A:AZ"),19,34+3)="","",INDEX(INDIRECT("'"&amp;$B$2&amp;"月"&amp;"'!A:AZ"),19,34+3)),"")</f>
        <v/>
      </c>
      <c r="G265" s="57" t="str">
        <f ca="1">IFERROR(IF(INDEX(INDIRECT("'"&amp;$B$2&amp;"月"&amp;"'!A:AZ"),19,34+4)="","",INDEX(INDIRECT("'"&amp;$B$2&amp;"月"&amp;"'!A:AZ"),19,34+4)),"")</f>
        <v/>
      </c>
      <c r="H265" s="57"/>
    </row>
    <row r="266" spans="1:8" ht="13.5" customHeight="1">
      <c r="A266" s="57">
        <f>IF(DAY(DATE(対象年度,$B$2,17))&lt;&gt;17,"",17)</f>
        <v>17</v>
      </c>
      <c r="B266" s="57" t="str">
        <f>IF(DAY(DATE(対象年度,$B$2,17))&lt;&gt;17,"",CHOOSE(WEEKDAY(DATE(対象年度,$B$2,17),2),"月","火","水","木","金","土","日"))</f>
        <v>土</v>
      </c>
      <c r="C266" s="57" t="str">
        <f ca="1">IFERROR(IF(INDEX(INDIRECT("'"&amp;$B$2&amp;"月"&amp;"'!A:AZ"),20,34+0)="","",INDEX(INDIRECT("'"&amp;$B$2&amp;"月"&amp;"'!A:AZ"),20,34+0)),"")</f>
        <v/>
      </c>
      <c r="D266" s="58" t="str">
        <f ca="1">IFERROR(IF(INDEX(INDIRECT("'"&amp;$B$2&amp;"月"&amp;"'!A:AZ"),20,34+1)="","",INDEX(INDIRECT("'"&amp;$B$2&amp;"月"&amp;"'!A:AZ"),20,34+1)),"")</f>
        <v/>
      </c>
      <c r="E266" s="57" t="str">
        <f ca="1">IFERROR(IF(INDEX(INDIRECT("'"&amp;$B$2&amp;"月"&amp;"'!A:AZ"),20,34+2)="","",INDEX(INDIRECT("'"&amp;$B$2&amp;"月"&amp;"'!A:AZ"),20,34+2)),"")</f>
        <v/>
      </c>
      <c r="F266" s="59" t="str">
        <f ca="1">IFERROR(IF(INDEX(INDIRECT("'"&amp;$B$2&amp;"月"&amp;"'!A:AZ"),20,34+3)="","",INDEX(INDIRECT("'"&amp;$B$2&amp;"月"&amp;"'!A:AZ"),20,34+3)),"")</f>
        <v/>
      </c>
      <c r="G266" s="57" t="str">
        <f ca="1">IFERROR(IF(INDEX(INDIRECT("'"&amp;$B$2&amp;"月"&amp;"'!A:AZ"),20,34+4)="","",INDEX(INDIRECT("'"&amp;$B$2&amp;"月"&amp;"'!A:AZ"),20,34+4)),"")</f>
        <v/>
      </c>
      <c r="H266" s="57"/>
    </row>
    <row r="267" spans="1:8" ht="13.5" customHeight="1">
      <c r="A267" s="57">
        <f>IF(DAY(DATE(対象年度,$B$2,18))&lt;&gt;18,"",18)</f>
        <v>18</v>
      </c>
      <c r="B267" s="57" t="str">
        <f>IF(DAY(DATE(対象年度,$B$2,18))&lt;&gt;18,"",CHOOSE(WEEKDAY(DATE(対象年度,$B$2,18),2),"月","火","水","木","金","土","日"))</f>
        <v>日</v>
      </c>
      <c r="C267" s="57" t="str">
        <f ca="1">IFERROR(IF(INDEX(INDIRECT("'"&amp;$B$2&amp;"月"&amp;"'!A:AZ"),21,34+0)="","",INDEX(INDIRECT("'"&amp;$B$2&amp;"月"&amp;"'!A:AZ"),21,34+0)),"")</f>
        <v/>
      </c>
      <c r="D267" s="58" t="str">
        <f ca="1">IFERROR(IF(INDEX(INDIRECT("'"&amp;$B$2&amp;"月"&amp;"'!A:AZ"),21,34+1)="","",INDEX(INDIRECT("'"&amp;$B$2&amp;"月"&amp;"'!A:AZ"),21,34+1)),"")</f>
        <v/>
      </c>
      <c r="E267" s="57" t="str">
        <f ca="1">IFERROR(IF(INDEX(INDIRECT("'"&amp;$B$2&amp;"月"&amp;"'!A:AZ"),21,34+2)="","",INDEX(INDIRECT("'"&amp;$B$2&amp;"月"&amp;"'!A:AZ"),21,34+2)),"")</f>
        <v/>
      </c>
      <c r="F267" s="59" t="str">
        <f ca="1">IFERROR(IF(INDEX(INDIRECT("'"&amp;$B$2&amp;"月"&amp;"'!A:AZ"),21,34+3)="","",INDEX(INDIRECT("'"&amp;$B$2&amp;"月"&amp;"'!A:AZ"),21,34+3)),"")</f>
        <v/>
      </c>
      <c r="G267" s="57" t="str">
        <f ca="1">IFERROR(IF(INDEX(INDIRECT("'"&amp;$B$2&amp;"月"&amp;"'!A:AZ"),21,34+4)="","",INDEX(INDIRECT("'"&amp;$B$2&amp;"月"&amp;"'!A:AZ"),21,34+4)),"")</f>
        <v/>
      </c>
      <c r="H267" s="57"/>
    </row>
    <row r="268" spans="1:8" ht="13.5" customHeight="1">
      <c r="A268" s="57">
        <f>IF(DAY(DATE(対象年度,$B$2,19))&lt;&gt;19,"",19)</f>
        <v>19</v>
      </c>
      <c r="B268" s="57" t="str">
        <f>IF(DAY(DATE(対象年度,$B$2,19))&lt;&gt;19,"",CHOOSE(WEEKDAY(DATE(対象年度,$B$2,19),2),"月","火","水","木","金","土","日"))</f>
        <v>月</v>
      </c>
      <c r="C268" s="57" t="str">
        <f ca="1">IFERROR(IF(INDEX(INDIRECT("'"&amp;$B$2&amp;"月"&amp;"'!A:AZ"),22,34+0)="","",INDEX(INDIRECT("'"&amp;$B$2&amp;"月"&amp;"'!A:AZ"),22,34+0)),"")</f>
        <v/>
      </c>
      <c r="D268" s="58" t="str">
        <f ca="1">IFERROR(IF(INDEX(INDIRECT("'"&amp;$B$2&amp;"月"&amp;"'!A:AZ"),22,34+1)="","",INDEX(INDIRECT("'"&amp;$B$2&amp;"月"&amp;"'!A:AZ"),22,34+1)),"")</f>
        <v/>
      </c>
      <c r="E268" s="57" t="str">
        <f ca="1">IFERROR(IF(INDEX(INDIRECT("'"&amp;$B$2&amp;"月"&amp;"'!A:AZ"),22,34+2)="","",INDEX(INDIRECT("'"&amp;$B$2&amp;"月"&amp;"'!A:AZ"),22,34+2)),"")</f>
        <v/>
      </c>
      <c r="F268" s="59" t="str">
        <f ca="1">IFERROR(IF(INDEX(INDIRECT("'"&amp;$B$2&amp;"月"&amp;"'!A:AZ"),22,34+3)="","",INDEX(INDIRECT("'"&amp;$B$2&amp;"月"&amp;"'!A:AZ"),22,34+3)),"")</f>
        <v/>
      </c>
      <c r="G268" s="57" t="str">
        <f ca="1">IFERROR(IF(INDEX(INDIRECT("'"&amp;$B$2&amp;"月"&amp;"'!A:AZ"),22,34+4)="","",INDEX(INDIRECT("'"&amp;$B$2&amp;"月"&amp;"'!A:AZ"),22,34+4)),"")</f>
        <v/>
      </c>
      <c r="H268" s="57"/>
    </row>
    <row r="269" spans="1:8" ht="13.5" customHeight="1">
      <c r="A269" s="57">
        <f>IF(DAY(DATE(対象年度,$B$2,20))&lt;&gt;20,"",20)</f>
        <v>20</v>
      </c>
      <c r="B269" s="57" t="str">
        <f>IF(DAY(DATE(対象年度,$B$2,20))&lt;&gt;20,"",CHOOSE(WEEKDAY(DATE(対象年度,$B$2,20),2),"月","火","水","木","金","土","日"))</f>
        <v>火</v>
      </c>
      <c r="C269" s="57" t="str">
        <f ca="1">IFERROR(IF(INDEX(INDIRECT("'"&amp;$B$2&amp;"月"&amp;"'!A:AZ"),23,34+0)="","",INDEX(INDIRECT("'"&amp;$B$2&amp;"月"&amp;"'!A:AZ"),23,34+0)),"")</f>
        <v/>
      </c>
      <c r="D269" s="58" t="str">
        <f ca="1">IFERROR(IF(INDEX(INDIRECT("'"&amp;$B$2&amp;"月"&amp;"'!A:AZ"),23,34+1)="","",INDEX(INDIRECT("'"&amp;$B$2&amp;"月"&amp;"'!A:AZ"),23,34+1)),"")</f>
        <v/>
      </c>
      <c r="E269" s="57" t="str">
        <f ca="1">IFERROR(IF(INDEX(INDIRECT("'"&amp;$B$2&amp;"月"&amp;"'!A:AZ"),23,34+2)="","",INDEX(INDIRECT("'"&amp;$B$2&amp;"月"&amp;"'!A:AZ"),23,34+2)),"")</f>
        <v/>
      </c>
      <c r="F269" s="59" t="str">
        <f ca="1">IFERROR(IF(INDEX(INDIRECT("'"&amp;$B$2&amp;"月"&amp;"'!A:AZ"),23,34+3)="","",INDEX(INDIRECT("'"&amp;$B$2&amp;"月"&amp;"'!A:AZ"),23,34+3)),"")</f>
        <v/>
      </c>
      <c r="G269" s="57" t="str">
        <f ca="1">IFERROR(IF(INDEX(INDIRECT("'"&amp;$B$2&amp;"月"&amp;"'!A:AZ"),23,34+4)="","",INDEX(INDIRECT("'"&amp;$B$2&amp;"月"&amp;"'!A:AZ"),23,34+4)),"")</f>
        <v/>
      </c>
      <c r="H269" s="57"/>
    </row>
    <row r="270" spans="1:8" ht="13.5" customHeight="1">
      <c r="A270" s="57">
        <f>IF(DAY(DATE(対象年度,$B$2,21))&lt;&gt;21,"",21)</f>
        <v>21</v>
      </c>
      <c r="B270" s="57" t="str">
        <f>IF(DAY(DATE(対象年度,$B$2,21))&lt;&gt;21,"",CHOOSE(WEEKDAY(DATE(対象年度,$B$2,21),2),"月","火","水","木","金","土","日"))</f>
        <v>水</v>
      </c>
      <c r="C270" s="57" t="str">
        <f ca="1">IFERROR(IF(INDEX(INDIRECT("'"&amp;$B$2&amp;"月"&amp;"'!A:AZ"),24,34+0)="","",INDEX(INDIRECT("'"&amp;$B$2&amp;"月"&amp;"'!A:AZ"),24,34+0)),"")</f>
        <v/>
      </c>
      <c r="D270" s="58" t="str">
        <f ca="1">IFERROR(IF(INDEX(INDIRECT("'"&amp;$B$2&amp;"月"&amp;"'!A:AZ"),24,34+1)="","",INDEX(INDIRECT("'"&amp;$B$2&amp;"月"&amp;"'!A:AZ"),24,34+1)),"")</f>
        <v/>
      </c>
      <c r="E270" s="57" t="str">
        <f ca="1">IFERROR(IF(INDEX(INDIRECT("'"&amp;$B$2&amp;"月"&amp;"'!A:AZ"),24,34+2)="","",INDEX(INDIRECT("'"&amp;$B$2&amp;"月"&amp;"'!A:AZ"),24,34+2)),"")</f>
        <v/>
      </c>
      <c r="F270" s="59" t="str">
        <f ca="1">IFERROR(IF(INDEX(INDIRECT("'"&amp;$B$2&amp;"月"&amp;"'!A:AZ"),24,34+3)="","",INDEX(INDIRECT("'"&amp;$B$2&amp;"月"&amp;"'!A:AZ"),24,34+3)),"")</f>
        <v/>
      </c>
      <c r="G270" s="57" t="str">
        <f ca="1">IFERROR(IF(INDEX(INDIRECT("'"&amp;$B$2&amp;"月"&amp;"'!A:AZ"),24,34+4)="","",INDEX(INDIRECT("'"&amp;$B$2&amp;"月"&amp;"'!A:AZ"),24,34+4)),"")</f>
        <v/>
      </c>
      <c r="H270" s="57"/>
    </row>
    <row r="271" spans="1:8" ht="13.5" customHeight="1">
      <c r="A271" s="57">
        <f>IF(DAY(DATE(対象年度,$B$2,22))&lt;&gt;22,"",22)</f>
        <v>22</v>
      </c>
      <c r="B271" s="57" t="str">
        <f>IF(DAY(DATE(対象年度,$B$2,22))&lt;&gt;22,"",CHOOSE(WEEKDAY(DATE(対象年度,$B$2,22),2),"月","火","水","木","金","土","日"))</f>
        <v>木</v>
      </c>
      <c r="C271" s="57" t="str">
        <f ca="1">IFERROR(IF(INDEX(INDIRECT("'"&amp;$B$2&amp;"月"&amp;"'!A:AZ"),25,34+0)="","",INDEX(INDIRECT("'"&amp;$B$2&amp;"月"&amp;"'!A:AZ"),25,34+0)),"")</f>
        <v/>
      </c>
      <c r="D271" s="58" t="str">
        <f ca="1">IFERROR(IF(INDEX(INDIRECT("'"&amp;$B$2&amp;"月"&amp;"'!A:AZ"),25,34+1)="","",INDEX(INDIRECT("'"&amp;$B$2&amp;"月"&amp;"'!A:AZ"),25,34+1)),"")</f>
        <v/>
      </c>
      <c r="E271" s="57" t="str">
        <f ca="1">IFERROR(IF(INDEX(INDIRECT("'"&amp;$B$2&amp;"月"&amp;"'!A:AZ"),25,34+2)="","",INDEX(INDIRECT("'"&amp;$B$2&amp;"月"&amp;"'!A:AZ"),25,34+2)),"")</f>
        <v/>
      </c>
      <c r="F271" s="59" t="str">
        <f ca="1">IFERROR(IF(INDEX(INDIRECT("'"&amp;$B$2&amp;"月"&amp;"'!A:AZ"),25,34+3)="","",INDEX(INDIRECT("'"&amp;$B$2&amp;"月"&amp;"'!A:AZ"),25,34+3)),"")</f>
        <v/>
      </c>
      <c r="G271" s="57" t="str">
        <f ca="1">IFERROR(IF(INDEX(INDIRECT("'"&amp;$B$2&amp;"月"&amp;"'!A:AZ"),25,34+4)="","",INDEX(INDIRECT("'"&amp;$B$2&amp;"月"&amp;"'!A:AZ"),25,34+4)),"")</f>
        <v/>
      </c>
      <c r="H271" s="57"/>
    </row>
    <row r="272" spans="1:8" ht="13.5" customHeight="1">
      <c r="A272" s="57">
        <f>IF(DAY(DATE(対象年度,$B$2,23))&lt;&gt;23,"",23)</f>
        <v>23</v>
      </c>
      <c r="B272" s="57" t="str">
        <f>IF(DAY(DATE(対象年度,$B$2,23))&lt;&gt;23,"",CHOOSE(WEEKDAY(DATE(対象年度,$B$2,23),2),"月","火","水","木","金","土","日"))</f>
        <v>金</v>
      </c>
      <c r="C272" s="57" t="str">
        <f ca="1">IFERROR(IF(INDEX(INDIRECT("'"&amp;$B$2&amp;"月"&amp;"'!A:AZ"),26,34+0)="","",INDEX(INDIRECT("'"&amp;$B$2&amp;"月"&amp;"'!A:AZ"),26,34+0)),"")</f>
        <v>新宿-大貫</v>
      </c>
      <c r="D272" s="58" t="str">
        <f ca="1">IFERROR(IF(INDEX(INDIRECT("'"&amp;$B$2&amp;"月"&amp;"'!A:AZ"),26,34+1)="","",INDEX(INDIRECT("'"&amp;$B$2&amp;"月"&amp;"'!A:AZ"),26,34+1)),"")</f>
        <v/>
      </c>
      <c r="E272" s="57" t="str">
        <f ca="1">IFERROR(IF(INDEX(INDIRECT("'"&amp;$B$2&amp;"月"&amp;"'!A:AZ"),26,34+2)="","",INDEX(INDIRECT("'"&amp;$B$2&amp;"月"&amp;"'!A:AZ"),26,34+2)),"")</f>
        <v>○</v>
      </c>
      <c r="F272" s="59" t="str">
        <f ca="1">IFERROR(IF(INDEX(INDIRECT("'"&amp;$B$2&amp;"月"&amp;"'!A:AZ"),26,34+3)="","",INDEX(INDIRECT("'"&amp;$B$2&amp;"月"&amp;"'!A:AZ"),26,34+3)),"")</f>
        <v/>
      </c>
      <c r="G272" s="57" t="str">
        <f ca="1">IFERROR(IF(INDEX(INDIRECT("'"&amp;$B$2&amp;"月"&amp;"'!A:AZ"),26,34+4)="","",INDEX(INDIRECT("'"&amp;$B$2&amp;"月"&amp;"'!A:AZ"),26,34+4)),"")</f>
        <v/>
      </c>
      <c r="H272" s="57"/>
    </row>
    <row r="273" spans="1:8" ht="13.5" customHeight="1">
      <c r="A273" s="57">
        <f>IF(DAY(DATE(対象年度,$B$2,24))&lt;&gt;24,"",24)</f>
        <v>24</v>
      </c>
      <c r="B273" s="57" t="str">
        <f>IF(DAY(DATE(対象年度,$B$2,24))&lt;&gt;24,"",CHOOSE(WEEKDAY(DATE(対象年度,$B$2,24),2),"月","火","水","木","金","土","日"))</f>
        <v>土</v>
      </c>
      <c r="C273" s="57" t="str">
        <f ca="1">IFERROR(IF(INDEX(INDIRECT("'"&amp;$B$2&amp;"月"&amp;"'!A:AZ"),27,34+0)="","",INDEX(INDIRECT("'"&amp;$B$2&amp;"月"&amp;"'!A:AZ"),27,34+0)),"")</f>
        <v/>
      </c>
      <c r="D273" s="58" t="str">
        <f ca="1">IFERROR(IF(INDEX(INDIRECT("'"&amp;$B$2&amp;"月"&amp;"'!A:AZ"),27,34+1)="","",INDEX(INDIRECT("'"&amp;$B$2&amp;"月"&amp;"'!A:AZ"),27,34+1)),"")</f>
        <v/>
      </c>
      <c r="E273" s="57" t="str">
        <f ca="1">IFERROR(IF(INDEX(INDIRECT("'"&amp;$B$2&amp;"月"&amp;"'!A:AZ"),27,34+2)="","",INDEX(INDIRECT("'"&amp;$B$2&amp;"月"&amp;"'!A:AZ"),27,34+2)),"")</f>
        <v/>
      </c>
      <c r="F273" s="59" t="str">
        <f ca="1">IFERROR(IF(INDEX(INDIRECT("'"&amp;$B$2&amp;"月"&amp;"'!A:AZ"),27,34+3)="","",INDEX(INDIRECT("'"&amp;$B$2&amp;"月"&amp;"'!A:AZ"),27,34+3)),"")</f>
        <v/>
      </c>
      <c r="G273" s="57" t="str">
        <f ca="1">IFERROR(IF(INDEX(INDIRECT("'"&amp;$B$2&amp;"月"&amp;"'!A:AZ"),27,34+4)="","",INDEX(INDIRECT("'"&amp;$B$2&amp;"月"&amp;"'!A:AZ"),27,34+4)),"")</f>
        <v/>
      </c>
      <c r="H273" s="57"/>
    </row>
    <row r="274" spans="1:8" ht="13.5" customHeight="1">
      <c r="A274" s="57">
        <f>IF(DAY(DATE(対象年度,$B$2,25))&lt;&gt;25,"",25)</f>
        <v>25</v>
      </c>
      <c r="B274" s="57" t="str">
        <f>IF(DAY(DATE(対象年度,$B$2,25))&lt;&gt;25,"",CHOOSE(WEEKDAY(DATE(対象年度,$B$2,25),2),"月","火","水","木","金","土","日"))</f>
        <v>日</v>
      </c>
      <c r="C274" s="57" t="str">
        <f ca="1">IFERROR(IF(INDEX(INDIRECT("'"&amp;$B$2&amp;"月"&amp;"'!A:AZ"),28,34+0)="","",INDEX(INDIRECT("'"&amp;$B$2&amp;"月"&amp;"'!A:AZ"),28,34+0)),"")</f>
        <v/>
      </c>
      <c r="D274" s="58" t="str">
        <f ca="1">IFERROR(IF(INDEX(INDIRECT("'"&amp;$B$2&amp;"月"&amp;"'!A:AZ"),28,34+1)="","",INDEX(INDIRECT("'"&amp;$B$2&amp;"月"&amp;"'!A:AZ"),28,34+1)),"")</f>
        <v/>
      </c>
      <c r="E274" s="57" t="str">
        <f ca="1">IFERROR(IF(INDEX(INDIRECT("'"&amp;$B$2&amp;"月"&amp;"'!A:AZ"),28,34+2)="","",INDEX(INDIRECT("'"&amp;$B$2&amp;"月"&amp;"'!A:AZ"),28,34+2)),"")</f>
        <v/>
      </c>
      <c r="F274" s="59" t="str">
        <f ca="1">IFERROR(IF(INDEX(INDIRECT("'"&amp;$B$2&amp;"月"&amp;"'!A:AZ"),28,34+3)="","",INDEX(INDIRECT("'"&amp;$B$2&amp;"月"&amp;"'!A:AZ"),28,34+3)),"")</f>
        <v/>
      </c>
      <c r="G274" s="57" t="str">
        <f ca="1">IFERROR(IF(INDEX(INDIRECT("'"&amp;$B$2&amp;"月"&amp;"'!A:AZ"),28,34+4)="","",INDEX(INDIRECT("'"&amp;$B$2&amp;"月"&amp;"'!A:AZ"),28,34+4)),"")</f>
        <v/>
      </c>
      <c r="H274" s="57"/>
    </row>
    <row r="275" spans="1:8" ht="13.5" customHeight="1">
      <c r="A275" s="57">
        <f>IF(DAY(DATE(対象年度,$B$2,26))&lt;&gt;26,"",26)</f>
        <v>26</v>
      </c>
      <c r="B275" s="57" t="str">
        <f>IF(DAY(DATE(対象年度,$B$2,26))&lt;&gt;26,"",CHOOSE(WEEKDAY(DATE(対象年度,$B$2,26),2),"月","火","水","木","金","土","日"))</f>
        <v>月</v>
      </c>
      <c r="C275" s="57" t="str">
        <f ca="1">IFERROR(IF(INDEX(INDIRECT("'"&amp;$B$2&amp;"月"&amp;"'!A:AZ"),29,34+0)="","",INDEX(INDIRECT("'"&amp;$B$2&amp;"月"&amp;"'!A:AZ"),29,34+0)),"")</f>
        <v>新宿-大貫</v>
      </c>
      <c r="D275" s="58" t="str">
        <f ca="1">IFERROR(IF(INDEX(INDIRECT("'"&amp;$B$2&amp;"月"&amp;"'!A:AZ"),29,34+1)="","",INDEX(INDIRECT("'"&amp;$B$2&amp;"月"&amp;"'!A:AZ"),29,34+1)),"")</f>
        <v/>
      </c>
      <c r="E275" s="57" t="str">
        <f ca="1">IFERROR(IF(INDEX(INDIRECT("'"&amp;$B$2&amp;"月"&amp;"'!A:AZ"),29,34+2)="","",INDEX(INDIRECT("'"&amp;$B$2&amp;"月"&amp;"'!A:AZ"),29,34+2)),"")</f>
        <v>○</v>
      </c>
      <c r="F275" s="59" t="str">
        <f ca="1">IFERROR(IF(INDEX(INDIRECT("'"&amp;$B$2&amp;"月"&amp;"'!A:AZ"),29,34+3)="","",INDEX(INDIRECT("'"&amp;$B$2&amp;"月"&amp;"'!A:AZ"),29,34+3)),"")</f>
        <v/>
      </c>
      <c r="G275" s="57" t="str">
        <f ca="1">IFERROR(IF(INDEX(INDIRECT("'"&amp;$B$2&amp;"月"&amp;"'!A:AZ"),29,34+4)="","",INDEX(INDIRECT("'"&amp;$B$2&amp;"月"&amp;"'!A:AZ"),29,34+4)),"")</f>
        <v/>
      </c>
      <c r="H275" s="57"/>
    </row>
    <row r="276" spans="1:8" ht="13.5" customHeight="1">
      <c r="A276" s="57">
        <f>IF(DAY(DATE(対象年度,$B$2,27))&lt;&gt;27,"",27)</f>
        <v>27</v>
      </c>
      <c r="B276" s="57" t="str">
        <f>IF(DAY(DATE(対象年度,$B$2,27))&lt;&gt;27,"",CHOOSE(WEEKDAY(DATE(対象年度,$B$2,27),2),"月","火","水","木","金","土","日"))</f>
        <v>火</v>
      </c>
      <c r="C276" s="57" t="str">
        <f ca="1">IFERROR(IF(INDEX(INDIRECT("'"&amp;$B$2&amp;"月"&amp;"'!A:AZ"),30,34+0)="","",INDEX(INDIRECT("'"&amp;$B$2&amp;"月"&amp;"'!A:AZ"),30,34+0)),"")</f>
        <v/>
      </c>
      <c r="D276" s="58" t="str">
        <f ca="1">IFERROR(IF(INDEX(INDIRECT("'"&amp;$B$2&amp;"月"&amp;"'!A:AZ"),30,34+1)="","",INDEX(INDIRECT("'"&amp;$B$2&amp;"月"&amp;"'!A:AZ"),30,34+1)),"")</f>
        <v/>
      </c>
      <c r="E276" s="57" t="str">
        <f ca="1">IFERROR(IF(INDEX(INDIRECT("'"&amp;$B$2&amp;"月"&amp;"'!A:AZ"),30,34+2)="","",INDEX(INDIRECT("'"&amp;$B$2&amp;"月"&amp;"'!A:AZ"),30,34+2)),"")</f>
        <v/>
      </c>
      <c r="F276" s="59" t="str">
        <f ca="1">IFERROR(IF(INDEX(INDIRECT("'"&amp;$B$2&amp;"月"&amp;"'!A:AZ"),30,34+3)="","",INDEX(INDIRECT("'"&amp;$B$2&amp;"月"&amp;"'!A:AZ"),30,34+3)),"")</f>
        <v/>
      </c>
      <c r="G276" s="57" t="str">
        <f ca="1">IFERROR(IF(INDEX(INDIRECT("'"&amp;$B$2&amp;"月"&amp;"'!A:AZ"),30,34+4)="","",INDEX(INDIRECT("'"&amp;$B$2&amp;"月"&amp;"'!A:AZ"),30,34+4)),"")</f>
        <v/>
      </c>
      <c r="H276" s="57"/>
    </row>
    <row r="277" spans="1:8" ht="13.5" customHeight="1">
      <c r="A277" s="57">
        <f>IF(DAY(DATE(対象年度,$B$2,28))&lt;&gt;28,"",28)</f>
        <v>28</v>
      </c>
      <c r="B277" s="57" t="str">
        <f>IF(DAY(DATE(対象年度,$B$2,28))&lt;&gt;28,"",CHOOSE(WEEKDAY(DATE(対象年度,$B$2,28),2),"月","火","水","木","金","土","日"))</f>
        <v>水</v>
      </c>
      <c r="C277" s="57" t="str">
        <f ca="1">IFERROR(IF(INDEX(INDIRECT("'"&amp;$B$2&amp;"月"&amp;"'!A:AZ"),31,34+0)="","",INDEX(INDIRECT("'"&amp;$B$2&amp;"月"&amp;"'!A:AZ"),31,34+0)),"")</f>
        <v>新宿-大貫</v>
      </c>
      <c r="D277" s="58" t="str">
        <f ca="1">IFERROR(IF(INDEX(INDIRECT("'"&amp;$B$2&amp;"月"&amp;"'!A:AZ"),31,34+1)="","",INDEX(INDIRECT("'"&amp;$B$2&amp;"月"&amp;"'!A:AZ"),31,34+1)),"")</f>
        <v/>
      </c>
      <c r="E277" s="57" t="str">
        <f ca="1">IFERROR(IF(INDEX(INDIRECT("'"&amp;$B$2&amp;"月"&amp;"'!A:AZ"),31,34+2)="","",INDEX(INDIRECT("'"&amp;$B$2&amp;"月"&amp;"'!A:AZ"),31,34+2)),"")</f>
        <v>○</v>
      </c>
      <c r="F277" s="59" t="str">
        <f ca="1">IFERROR(IF(INDEX(INDIRECT("'"&amp;$B$2&amp;"月"&amp;"'!A:AZ"),31,34+3)="","",INDEX(INDIRECT("'"&amp;$B$2&amp;"月"&amp;"'!A:AZ"),31,34+3)),"")</f>
        <v/>
      </c>
      <c r="G277" s="57" t="str">
        <f ca="1">IFERROR(IF(INDEX(INDIRECT("'"&amp;$B$2&amp;"月"&amp;"'!A:AZ"),31,34+4)="","",INDEX(INDIRECT("'"&amp;$B$2&amp;"月"&amp;"'!A:AZ"),31,34+4)),"")</f>
        <v/>
      </c>
      <c r="H277" s="57"/>
    </row>
    <row r="278" spans="1:8" ht="13.5" customHeight="1">
      <c r="A278" s="57">
        <f>IF(DAY(DATE(対象年度,$B$2,29))&lt;&gt;29,"",29)</f>
        <v>29</v>
      </c>
      <c r="B278" s="57" t="str">
        <f>IF(DAY(DATE(対象年度,$B$2,29))&lt;&gt;29,"",CHOOSE(WEEKDAY(DATE(対象年度,$B$2,29),2),"月","火","水","木","金","土","日"))</f>
        <v>木</v>
      </c>
      <c r="C278" s="57" t="str">
        <f ca="1">IFERROR(IF(INDEX(INDIRECT("'"&amp;$B$2&amp;"月"&amp;"'!A:AZ"),32,34+0)="","",INDEX(INDIRECT("'"&amp;$B$2&amp;"月"&amp;"'!A:AZ"),32,34+0)),"")</f>
        <v>新宿-大貫</v>
      </c>
      <c r="D278" s="58" t="str">
        <f ca="1">IFERROR(IF(INDEX(INDIRECT("'"&amp;$B$2&amp;"月"&amp;"'!A:AZ"),32,34+1)="","",INDEX(INDIRECT("'"&amp;$B$2&amp;"月"&amp;"'!A:AZ"),32,34+1)),"")</f>
        <v/>
      </c>
      <c r="E278" s="57" t="str">
        <f ca="1">IFERROR(IF(INDEX(INDIRECT("'"&amp;$B$2&amp;"月"&amp;"'!A:AZ"),32,34+2)="","",INDEX(INDIRECT("'"&amp;$B$2&amp;"月"&amp;"'!A:AZ"),32,34+2)),"")</f>
        <v>○</v>
      </c>
      <c r="F278" s="59" t="str">
        <f ca="1">IFERROR(IF(INDEX(INDIRECT("'"&amp;$B$2&amp;"月"&amp;"'!A:AZ"),32,34+3)="","",INDEX(INDIRECT("'"&amp;$B$2&amp;"月"&amp;"'!A:AZ"),32,34+3)),"")</f>
        <v/>
      </c>
      <c r="G278" s="57" t="str">
        <f ca="1">IFERROR(IF(INDEX(INDIRECT("'"&amp;$B$2&amp;"月"&amp;"'!A:AZ"),32,34+4)="","",INDEX(INDIRECT("'"&amp;$B$2&amp;"月"&amp;"'!A:AZ"),32,34+4)),"")</f>
        <v/>
      </c>
      <c r="H278" s="57"/>
    </row>
    <row r="279" spans="1:8" ht="13.5" customHeight="1">
      <c r="A279" s="57">
        <f>IF(DAY(DATE(対象年度,$B$2,30))&lt;&gt;30,"",30)</f>
        <v>30</v>
      </c>
      <c r="B279" s="57" t="str">
        <f>IF(DAY(DATE(対象年度,$B$2,30))&lt;&gt;30,"",CHOOSE(WEEKDAY(DATE(対象年度,$B$2,30),2),"月","火","水","木","金","土","日"))</f>
        <v>金</v>
      </c>
      <c r="C279" s="57" t="str">
        <f ca="1">IFERROR(IF(INDEX(INDIRECT("'"&amp;$B$2&amp;"月"&amp;"'!A:AZ"),33,34+0)="","",INDEX(INDIRECT("'"&amp;$B$2&amp;"月"&amp;"'!A:AZ"),33,34+0)),"")</f>
        <v>新宿-大貫</v>
      </c>
      <c r="D279" s="58" t="str">
        <f ca="1">IFERROR(IF(INDEX(INDIRECT("'"&amp;$B$2&amp;"月"&amp;"'!A:AZ"),33,34+1)="","",INDEX(INDIRECT("'"&amp;$B$2&amp;"月"&amp;"'!A:AZ"),33,34+1)),"")</f>
        <v/>
      </c>
      <c r="E279" s="57" t="str">
        <f ca="1">IFERROR(IF(INDEX(INDIRECT("'"&amp;$B$2&amp;"月"&amp;"'!A:AZ"),33,34+2)="","",INDEX(INDIRECT("'"&amp;$B$2&amp;"月"&amp;"'!A:AZ"),33,34+2)),"")</f>
        <v>○</v>
      </c>
      <c r="F279" s="59" t="str">
        <f ca="1">IFERROR(IF(INDEX(INDIRECT("'"&amp;$B$2&amp;"月"&amp;"'!A:AZ"),33,34+3)="","",INDEX(INDIRECT("'"&amp;$B$2&amp;"月"&amp;"'!A:AZ"),33,34+3)),"")</f>
        <v/>
      </c>
      <c r="G279" s="57" t="str">
        <f ca="1">IFERROR(IF(INDEX(INDIRECT("'"&amp;$B$2&amp;"月"&amp;"'!A:AZ"),33,34+4)="","",INDEX(INDIRECT("'"&amp;$B$2&amp;"月"&amp;"'!A:AZ"),33,34+4)),"")</f>
        <v/>
      </c>
      <c r="H279" s="57"/>
    </row>
    <row r="280" spans="1:8" ht="13.5" customHeight="1">
      <c r="A280" s="57">
        <f>IF(DAY(DATE(対象年度,$B$2,31))&lt;&gt;31,"",31)</f>
        <v>31</v>
      </c>
      <c r="B280" s="57" t="str">
        <f>IF(DAY(DATE(対象年度,$B$2,31))&lt;&gt;31,"",CHOOSE(WEEKDAY(DATE(対象年度,$B$2,31),2),"月","火","水","木","金","土","日"))</f>
        <v>土</v>
      </c>
      <c r="C280" s="57" t="str">
        <f ca="1">IFERROR(IF(INDEX(INDIRECT("'"&amp;$B$2&amp;"月"&amp;"'!A:AZ"),34,34+0)="","",INDEX(INDIRECT("'"&amp;$B$2&amp;"月"&amp;"'!A:AZ"),34,34+0)),"")</f>
        <v/>
      </c>
      <c r="D280" s="58" t="str">
        <f ca="1">IFERROR(IF(INDEX(INDIRECT("'"&amp;$B$2&amp;"月"&amp;"'!A:AZ"),34,34+1)="","",INDEX(INDIRECT("'"&amp;$B$2&amp;"月"&amp;"'!A:AZ"),34,34+1)),"")</f>
        <v/>
      </c>
      <c r="E280" s="57" t="str">
        <f ca="1">IFERROR(IF(INDEX(INDIRECT("'"&amp;$B$2&amp;"月"&amp;"'!A:AZ"),34,34+2)="","",INDEX(INDIRECT("'"&amp;$B$2&amp;"月"&amp;"'!A:AZ"),34,34+2)),"")</f>
        <v/>
      </c>
      <c r="F280" s="59" t="str">
        <f ca="1">IFERROR(IF(INDEX(INDIRECT("'"&amp;$B$2&amp;"月"&amp;"'!A:AZ"),34,34+3)="","",INDEX(INDIRECT("'"&amp;$B$2&amp;"月"&amp;"'!A:AZ"),34,34+3)),"")</f>
        <v/>
      </c>
      <c r="G280" s="57" t="str">
        <f ca="1">IFERROR(IF(INDEX(INDIRECT("'"&amp;$B$2&amp;"月"&amp;"'!A:AZ"),34,34+4)="","",INDEX(INDIRECT("'"&amp;$B$2&amp;"月"&amp;"'!A:AZ"),34,34+4)),"")</f>
        <v/>
      </c>
      <c r="H280" s="57"/>
    </row>
    <row r="281" spans="1:8" ht="21.75" customHeight="1">
      <c r="A281" s="111" t="s">
        <v>144</v>
      </c>
      <c r="B281" s="111"/>
      <c r="C281" s="61" t="s">
        <v>113</v>
      </c>
      <c r="D281" s="62">
        <f ca="1">IFERROR(INDEX(INDIRECT("'"&amp;$B$2&amp;"月"&amp;"'!A:AZ"),35,34),0)</f>
        <v>5</v>
      </c>
      <c r="E281" s="63" t="s">
        <v>114</v>
      </c>
      <c r="F281" s="64">
        <f ca="1">IFERROR(INDEX(INDIRECT("'"&amp;$B$2&amp;"月"&amp;"'!A:AZ"),36,34),0)</f>
        <v>0</v>
      </c>
      <c r="G281" s="61" t="s">
        <v>115</v>
      </c>
      <c r="H281" s="62">
        <f ca="1">IFERROR(INDEX(INDIRECT("'"&amp;$B$2&amp;"月"&amp;"'!A:AZ"),38,34),0)</f>
        <v>0</v>
      </c>
    </row>
    <row r="282" spans="1:8" ht="24" customHeight="1">
      <c r="A282" s="112"/>
      <c r="B282" s="112"/>
      <c r="C282" s="65" t="s">
        <v>122</v>
      </c>
      <c r="D282" s="66">
        <f ca="1">IFERROR(INDEX(INDIRECT("'"&amp;$B$2&amp;"月"&amp;"'!A:AZ"),37,34),0)</f>
        <v>5</v>
      </c>
      <c r="E282" s="67" t="s">
        <v>105</v>
      </c>
      <c r="F282" s="68">
        <f ca="1">IFERROR(INDEX(INDIRECT("'"&amp;$B$2&amp;"月"&amp;"'!A:AZ"),39,34),0)</f>
        <v>0</v>
      </c>
      <c r="G282" s="69" t="s">
        <v>106</v>
      </c>
      <c r="H282" s="70">
        <f ca="1">IFERROR(INDEX(INDIRECT("'"&amp;$B$2&amp;"月"&amp;"'!A:AZ"),40,34),0)</f>
        <v>0</v>
      </c>
    </row>
    <row r="284" spans="1:8" ht="27.75" customHeight="1">
      <c r="A284" s="90" t="s">
        <v>133</v>
      </c>
      <c r="B284" s="90"/>
      <c r="C284" s="90"/>
      <c r="D284" s="90"/>
      <c r="E284" s="90"/>
      <c r="F284" s="90"/>
      <c r="G284" s="90"/>
      <c r="H284" s="90"/>
    </row>
    <row r="285" spans="1:8" ht="18" customHeight="1">
      <c r="A285" s="113" t="s">
        <v>134</v>
      </c>
      <c r="B285" s="113"/>
      <c r="C285" s="113"/>
      <c r="D285" s="113"/>
      <c r="E285" s="113"/>
      <c r="F285" s="113"/>
      <c r="G285" s="113"/>
      <c r="H285" s="113"/>
    </row>
    <row r="286" spans="1:8" ht="27.75" customHeight="1">
      <c r="A286" s="49" t="s">
        <v>135</v>
      </c>
      <c r="B286" s="114" t="str">
        <f>対象年度&amp;"年 "&amp;$B$2&amp;"月"</f>
        <v>2026年 1月</v>
      </c>
      <c r="C286" s="114"/>
      <c r="D286" s="49" t="s">
        <v>136</v>
      </c>
      <c r="E286" s="115" t="str">
        <f>IFERROR(従業員マスタ!$C$11,"")</f>
        <v>伊藤 六郎</v>
      </c>
      <c r="F286" s="115"/>
      <c r="G286" s="115"/>
      <c r="H286" s="115"/>
    </row>
    <row r="287" spans="1:8" ht="19.5" customHeight="1">
      <c r="A287" s="73" t="s">
        <v>147</v>
      </c>
      <c r="B287" s="53" t="s">
        <v>148</v>
      </c>
      <c r="C287" s="119" t="s">
        <v>141</v>
      </c>
      <c r="D287" s="119"/>
      <c r="E287" s="119" t="s">
        <v>142</v>
      </c>
      <c r="F287" s="119"/>
      <c r="G287" s="116" t="s">
        <v>143</v>
      </c>
      <c r="H287" s="116"/>
    </row>
    <row r="288" spans="1:8" ht="43.5" customHeight="1">
      <c r="A288" s="74"/>
      <c r="B288" s="54"/>
      <c r="C288" s="110"/>
      <c r="D288" s="110"/>
      <c r="E288" s="110"/>
      <c r="F288" s="110"/>
      <c r="G288" s="110"/>
      <c r="H288" s="110"/>
    </row>
    <row r="289" spans="1:8" ht="19.5" customHeight="1">
      <c r="A289" s="55" t="s">
        <v>108</v>
      </c>
      <c r="B289" s="55" t="s">
        <v>109</v>
      </c>
      <c r="C289" s="55" t="s">
        <v>111</v>
      </c>
      <c r="D289" s="56" t="s">
        <v>112</v>
      </c>
      <c r="E289" s="55" t="s">
        <v>113</v>
      </c>
      <c r="F289" s="55" t="s">
        <v>114</v>
      </c>
      <c r="G289" s="55" t="s">
        <v>115</v>
      </c>
      <c r="H289" s="55" t="s">
        <v>75</v>
      </c>
    </row>
    <row r="290" spans="1:8" ht="13.5" customHeight="1">
      <c r="A290" s="57">
        <f>IF(DAY(DATE(対象年度,$B$2,1))&lt;&gt;1,"",1)</f>
        <v>1</v>
      </c>
      <c r="B290" s="57" t="str">
        <f>IF(DAY(DATE(対象年度,$B$2,1))&lt;&gt;1,"",CHOOSE(WEEKDAY(DATE(対象年度,$B$2,1),2),"月","火","水","木","金","土","日"))</f>
        <v>木</v>
      </c>
      <c r="C290" s="57" t="str">
        <f ca="1">IFERROR(IF(INDEX(INDIRECT("'"&amp;$B$2&amp;"月"&amp;"'!A:AZ"),4,39+0)="","",INDEX(INDIRECT("'"&amp;$B$2&amp;"月"&amp;"'!A:AZ"),4,39+0)),"")</f>
        <v/>
      </c>
      <c r="D290" s="58" t="str">
        <f ca="1">IFERROR(IF(INDEX(INDIRECT("'"&amp;$B$2&amp;"月"&amp;"'!A:AZ"),4,39+1)="","",INDEX(INDIRECT("'"&amp;$B$2&amp;"月"&amp;"'!A:AZ"),4,39+1)),"")</f>
        <v/>
      </c>
      <c r="E290" s="57" t="str">
        <f ca="1">IFERROR(IF(INDEX(INDIRECT("'"&amp;$B$2&amp;"月"&amp;"'!A:AZ"),4,39+2)="","",INDEX(INDIRECT("'"&amp;$B$2&amp;"月"&amp;"'!A:AZ"),4,39+2)),"")</f>
        <v/>
      </c>
      <c r="F290" s="59" t="str">
        <f ca="1">IFERROR(IF(INDEX(INDIRECT("'"&amp;$B$2&amp;"月"&amp;"'!A:AZ"),4,39+3)="","",INDEX(INDIRECT("'"&amp;$B$2&amp;"月"&amp;"'!A:AZ"),4,39+3)),"")</f>
        <v/>
      </c>
      <c r="G290" s="57" t="str">
        <f ca="1">IFERROR(IF(INDEX(INDIRECT("'"&amp;$B$2&amp;"月"&amp;"'!A:AZ"),4,39+4)="","",INDEX(INDIRECT("'"&amp;$B$2&amp;"月"&amp;"'!A:AZ"),4,39+4)),"")</f>
        <v/>
      </c>
      <c r="H290" s="57"/>
    </row>
    <row r="291" spans="1:8" ht="13.5" customHeight="1">
      <c r="A291" s="57">
        <f>IF(DAY(DATE(対象年度,$B$2,2))&lt;&gt;2,"",2)</f>
        <v>2</v>
      </c>
      <c r="B291" s="57" t="str">
        <f>IF(DAY(DATE(対象年度,$B$2,2))&lt;&gt;2,"",CHOOSE(WEEKDAY(DATE(対象年度,$B$2,2),2),"月","火","水","木","金","土","日"))</f>
        <v>金</v>
      </c>
      <c r="C291" s="57" t="str">
        <f ca="1">IFERROR(IF(INDEX(INDIRECT("'"&amp;$B$2&amp;"月"&amp;"'!A:AZ"),5,39+0)="","",INDEX(INDIRECT("'"&amp;$B$2&amp;"月"&amp;"'!A:AZ"),5,39+0)),"")</f>
        <v/>
      </c>
      <c r="D291" s="58" t="str">
        <f ca="1">IFERROR(IF(INDEX(INDIRECT("'"&amp;$B$2&amp;"月"&amp;"'!A:AZ"),5,39+1)="","",INDEX(INDIRECT("'"&amp;$B$2&amp;"月"&amp;"'!A:AZ"),5,39+1)),"")</f>
        <v/>
      </c>
      <c r="E291" s="57" t="str">
        <f ca="1">IFERROR(IF(INDEX(INDIRECT("'"&amp;$B$2&amp;"月"&amp;"'!A:AZ"),5,39+2)="","",INDEX(INDIRECT("'"&amp;$B$2&amp;"月"&amp;"'!A:AZ"),5,39+2)),"")</f>
        <v/>
      </c>
      <c r="F291" s="59" t="str">
        <f ca="1">IFERROR(IF(INDEX(INDIRECT("'"&amp;$B$2&amp;"月"&amp;"'!A:AZ"),5,39+3)="","",INDEX(INDIRECT("'"&amp;$B$2&amp;"月"&amp;"'!A:AZ"),5,39+3)),"")</f>
        <v/>
      </c>
      <c r="G291" s="57" t="str">
        <f ca="1">IFERROR(IF(INDEX(INDIRECT("'"&amp;$B$2&amp;"月"&amp;"'!A:AZ"),5,39+4)="","",INDEX(INDIRECT("'"&amp;$B$2&amp;"月"&amp;"'!A:AZ"),5,39+4)),"")</f>
        <v/>
      </c>
      <c r="H291" s="57"/>
    </row>
    <row r="292" spans="1:8" ht="13.5" customHeight="1">
      <c r="A292" s="57">
        <f>IF(DAY(DATE(対象年度,$B$2,3))&lt;&gt;3,"",3)</f>
        <v>3</v>
      </c>
      <c r="B292" s="57" t="str">
        <f>IF(DAY(DATE(対象年度,$B$2,3))&lt;&gt;3,"",CHOOSE(WEEKDAY(DATE(対象年度,$B$2,3),2),"月","火","水","木","金","土","日"))</f>
        <v>土</v>
      </c>
      <c r="C292" s="57" t="str">
        <f ca="1">IFERROR(IF(INDEX(INDIRECT("'"&amp;$B$2&amp;"月"&amp;"'!A:AZ"),6,39+0)="","",INDEX(INDIRECT("'"&amp;$B$2&amp;"月"&amp;"'!A:AZ"),6,39+0)),"")</f>
        <v/>
      </c>
      <c r="D292" s="58" t="str">
        <f ca="1">IFERROR(IF(INDEX(INDIRECT("'"&amp;$B$2&amp;"月"&amp;"'!A:AZ"),6,39+1)="","",INDEX(INDIRECT("'"&amp;$B$2&amp;"月"&amp;"'!A:AZ"),6,39+1)),"")</f>
        <v/>
      </c>
      <c r="E292" s="57" t="str">
        <f ca="1">IFERROR(IF(INDEX(INDIRECT("'"&amp;$B$2&amp;"月"&amp;"'!A:AZ"),6,39+2)="","",INDEX(INDIRECT("'"&amp;$B$2&amp;"月"&amp;"'!A:AZ"),6,39+2)),"")</f>
        <v/>
      </c>
      <c r="F292" s="59" t="str">
        <f ca="1">IFERROR(IF(INDEX(INDIRECT("'"&amp;$B$2&amp;"月"&amp;"'!A:AZ"),6,39+3)="","",INDEX(INDIRECT("'"&amp;$B$2&amp;"月"&amp;"'!A:AZ"),6,39+3)),"")</f>
        <v/>
      </c>
      <c r="G292" s="57" t="str">
        <f ca="1">IFERROR(IF(INDEX(INDIRECT("'"&amp;$B$2&amp;"月"&amp;"'!A:AZ"),6,39+4)="","",INDEX(INDIRECT("'"&amp;$B$2&amp;"月"&amp;"'!A:AZ"),6,39+4)),"")</f>
        <v/>
      </c>
      <c r="H292" s="57"/>
    </row>
    <row r="293" spans="1:8" ht="13.5" customHeight="1">
      <c r="A293" s="57">
        <f>IF(DAY(DATE(対象年度,$B$2,4))&lt;&gt;4,"",4)</f>
        <v>4</v>
      </c>
      <c r="B293" s="57" t="str">
        <f>IF(DAY(DATE(対象年度,$B$2,4))&lt;&gt;4,"",CHOOSE(WEEKDAY(DATE(対象年度,$B$2,4),2),"月","火","水","木","金","土","日"))</f>
        <v>日</v>
      </c>
      <c r="C293" s="57" t="str">
        <f ca="1">IFERROR(IF(INDEX(INDIRECT("'"&amp;$B$2&amp;"月"&amp;"'!A:AZ"),7,39+0)="","",INDEX(INDIRECT("'"&amp;$B$2&amp;"月"&amp;"'!A:AZ"),7,39+0)),"")</f>
        <v/>
      </c>
      <c r="D293" s="58" t="str">
        <f ca="1">IFERROR(IF(INDEX(INDIRECT("'"&amp;$B$2&amp;"月"&amp;"'!A:AZ"),7,39+1)="","",INDEX(INDIRECT("'"&amp;$B$2&amp;"月"&amp;"'!A:AZ"),7,39+1)),"")</f>
        <v/>
      </c>
      <c r="E293" s="57" t="str">
        <f ca="1">IFERROR(IF(INDEX(INDIRECT("'"&amp;$B$2&amp;"月"&amp;"'!A:AZ"),7,39+2)="","",INDEX(INDIRECT("'"&amp;$B$2&amp;"月"&amp;"'!A:AZ"),7,39+2)),"")</f>
        <v/>
      </c>
      <c r="F293" s="59" t="str">
        <f ca="1">IFERROR(IF(INDEX(INDIRECT("'"&amp;$B$2&amp;"月"&amp;"'!A:AZ"),7,39+3)="","",INDEX(INDIRECT("'"&amp;$B$2&amp;"月"&amp;"'!A:AZ"),7,39+3)),"")</f>
        <v/>
      </c>
      <c r="G293" s="57" t="str">
        <f ca="1">IFERROR(IF(INDEX(INDIRECT("'"&amp;$B$2&amp;"月"&amp;"'!A:AZ"),7,39+4)="","",INDEX(INDIRECT("'"&amp;$B$2&amp;"月"&amp;"'!A:AZ"),7,39+4)),"")</f>
        <v/>
      </c>
      <c r="H293" s="57"/>
    </row>
    <row r="294" spans="1:8" ht="13.5" customHeight="1">
      <c r="A294" s="57">
        <f>IF(DAY(DATE(対象年度,$B$2,5))&lt;&gt;5,"",5)</f>
        <v>5</v>
      </c>
      <c r="B294" s="57" t="str">
        <f>IF(DAY(DATE(対象年度,$B$2,5))&lt;&gt;5,"",CHOOSE(WEEKDAY(DATE(対象年度,$B$2,5),2),"月","火","水","木","金","土","日"))</f>
        <v>月</v>
      </c>
      <c r="C294" s="57" t="str">
        <f ca="1">IFERROR(IF(INDEX(INDIRECT("'"&amp;$B$2&amp;"月"&amp;"'!A:AZ"),8,39+0)="","",INDEX(INDIRECT("'"&amp;$B$2&amp;"月"&amp;"'!A:AZ"),8,39+0)),"")</f>
        <v/>
      </c>
      <c r="D294" s="58" t="str">
        <f ca="1">IFERROR(IF(INDEX(INDIRECT("'"&amp;$B$2&amp;"月"&amp;"'!A:AZ"),8,39+1)="","",INDEX(INDIRECT("'"&amp;$B$2&amp;"月"&amp;"'!A:AZ"),8,39+1)),"")</f>
        <v/>
      </c>
      <c r="E294" s="57" t="str">
        <f ca="1">IFERROR(IF(INDEX(INDIRECT("'"&amp;$B$2&amp;"月"&amp;"'!A:AZ"),8,39+2)="","",INDEX(INDIRECT("'"&amp;$B$2&amp;"月"&amp;"'!A:AZ"),8,39+2)),"")</f>
        <v/>
      </c>
      <c r="F294" s="59" t="str">
        <f ca="1">IFERROR(IF(INDEX(INDIRECT("'"&amp;$B$2&amp;"月"&amp;"'!A:AZ"),8,39+3)="","",INDEX(INDIRECT("'"&amp;$B$2&amp;"月"&amp;"'!A:AZ"),8,39+3)),"")</f>
        <v/>
      </c>
      <c r="G294" s="57" t="str">
        <f ca="1">IFERROR(IF(INDEX(INDIRECT("'"&amp;$B$2&amp;"月"&amp;"'!A:AZ"),8,39+4)="","",INDEX(INDIRECT("'"&amp;$B$2&amp;"月"&amp;"'!A:AZ"),8,39+4)),"")</f>
        <v/>
      </c>
      <c r="H294" s="57"/>
    </row>
    <row r="295" spans="1:8" ht="13.5" customHeight="1">
      <c r="A295" s="57">
        <f>IF(DAY(DATE(対象年度,$B$2,6))&lt;&gt;6,"",6)</f>
        <v>6</v>
      </c>
      <c r="B295" s="57" t="str">
        <f>IF(DAY(DATE(対象年度,$B$2,6))&lt;&gt;6,"",CHOOSE(WEEKDAY(DATE(対象年度,$B$2,6),2),"月","火","水","木","金","土","日"))</f>
        <v>火</v>
      </c>
      <c r="C295" s="57" t="str">
        <f ca="1">IFERROR(IF(INDEX(INDIRECT("'"&amp;$B$2&amp;"月"&amp;"'!A:AZ"),9,39+0)="","",INDEX(INDIRECT("'"&amp;$B$2&amp;"月"&amp;"'!A:AZ"),9,39+0)),"")</f>
        <v/>
      </c>
      <c r="D295" s="58" t="str">
        <f ca="1">IFERROR(IF(INDEX(INDIRECT("'"&amp;$B$2&amp;"月"&amp;"'!A:AZ"),9,39+1)="","",INDEX(INDIRECT("'"&amp;$B$2&amp;"月"&amp;"'!A:AZ"),9,39+1)),"")</f>
        <v/>
      </c>
      <c r="E295" s="57" t="str">
        <f ca="1">IFERROR(IF(INDEX(INDIRECT("'"&amp;$B$2&amp;"月"&amp;"'!A:AZ"),9,39+2)="","",INDEX(INDIRECT("'"&amp;$B$2&amp;"月"&amp;"'!A:AZ"),9,39+2)),"")</f>
        <v/>
      </c>
      <c r="F295" s="59" t="str">
        <f ca="1">IFERROR(IF(INDEX(INDIRECT("'"&amp;$B$2&amp;"月"&amp;"'!A:AZ"),9,39+3)="","",INDEX(INDIRECT("'"&amp;$B$2&amp;"月"&amp;"'!A:AZ"),9,39+3)),"")</f>
        <v/>
      </c>
      <c r="G295" s="57" t="str">
        <f ca="1">IFERROR(IF(INDEX(INDIRECT("'"&amp;$B$2&amp;"月"&amp;"'!A:AZ"),9,39+4)="","",INDEX(INDIRECT("'"&amp;$B$2&amp;"月"&amp;"'!A:AZ"),9,39+4)),"")</f>
        <v/>
      </c>
      <c r="H295" s="57"/>
    </row>
    <row r="296" spans="1:8" ht="13.5" customHeight="1">
      <c r="A296" s="57">
        <f>IF(DAY(DATE(対象年度,$B$2,7))&lt;&gt;7,"",7)</f>
        <v>7</v>
      </c>
      <c r="B296" s="57" t="str">
        <f>IF(DAY(DATE(対象年度,$B$2,7))&lt;&gt;7,"",CHOOSE(WEEKDAY(DATE(対象年度,$B$2,7),2),"月","火","水","木","金","土","日"))</f>
        <v>水</v>
      </c>
      <c r="C296" s="57" t="str">
        <f ca="1">IFERROR(IF(INDEX(INDIRECT("'"&amp;$B$2&amp;"月"&amp;"'!A:AZ"),10,39+0)="","",INDEX(INDIRECT("'"&amp;$B$2&amp;"月"&amp;"'!A:AZ"),10,39+0)),"")</f>
        <v/>
      </c>
      <c r="D296" s="58" t="str">
        <f ca="1">IFERROR(IF(INDEX(INDIRECT("'"&amp;$B$2&amp;"月"&amp;"'!A:AZ"),10,39+1)="","",INDEX(INDIRECT("'"&amp;$B$2&amp;"月"&amp;"'!A:AZ"),10,39+1)),"")</f>
        <v/>
      </c>
      <c r="E296" s="57" t="str">
        <f ca="1">IFERROR(IF(INDEX(INDIRECT("'"&amp;$B$2&amp;"月"&amp;"'!A:AZ"),10,39+2)="","",INDEX(INDIRECT("'"&amp;$B$2&amp;"月"&amp;"'!A:AZ"),10,39+2)),"")</f>
        <v/>
      </c>
      <c r="F296" s="59" t="str">
        <f ca="1">IFERROR(IF(INDEX(INDIRECT("'"&amp;$B$2&amp;"月"&amp;"'!A:AZ"),10,39+3)="","",INDEX(INDIRECT("'"&amp;$B$2&amp;"月"&amp;"'!A:AZ"),10,39+3)),"")</f>
        <v/>
      </c>
      <c r="G296" s="57" t="str">
        <f ca="1">IFERROR(IF(INDEX(INDIRECT("'"&amp;$B$2&amp;"月"&amp;"'!A:AZ"),10,39+4)="","",INDEX(INDIRECT("'"&amp;$B$2&amp;"月"&amp;"'!A:AZ"),10,39+4)),"")</f>
        <v/>
      </c>
      <c r="H296" s="57"/>
    </row>
    <row r="297" spans="1:8" ht="13.5" customHeight="1">
      <c r="A297" s="57">
        <f>IF(DAY(DATE(対象年度,$B$2,8))&lt;&gt;8,"",8)</f>
        <v>8</v>
      </c>
      <c r="B297" s="57" t="str">
        <f>IF(DAY(DATE(対象年度,$B$2,8))&lt;&gt;8,"",CHOOSE(WEEKDAY(DATE(対象年度,$B$2,8),2),"月","火","水","木","金","土","日"))</f>
        <v>木</v>
      </c>
      <c r="C297" s="57" t="str">
        <f ca="1">IFERROR(IF(INDEX(INDIRECT("'"&amp;$B$2&amp;"月"&amp;"'!A:AZ"),11,39+0)="","",INDEX(INDIRECT("'"&amp;$B$2&amp;"月"&amp;"'!A:AZ"),11,39+0)),"")</f>
        <v/>
      </c>
      <c r="D297" s="58" t="str">
        <f ca="1">IFERROR(IF(INDEX(INDIRECT("'"&amp;$B$2&amp;"月"&amp;"'!A:AZ"),11,39+1)="","",INDEX(INDIRECT("'"&amp;$B$2&amp;"月"&amp;"'!A:AZ"),11,39+1)),"")</f>
        <v/>
      </c>
      <c r="E297" s="57" t="str">
        <f ca="1">IFERROR(IF(INDEX(INDIRECT("'"&amp;$B$2&amp;"月"&amp;"'!A:AZ"),11,39+2)="","",INDEX(INDIRECT("'"&amp;$B$2&amp;"月"&amp;"'!A:AZ"),11,39+2)),"")</f>
        <v/>
      </c>
      <c r="F297" s="59" t="str">
        <f ca="1">IFERROR(IF(INDEX(INDIRECT("'"&amp;$B$2&amp;"月"&amp;"'!A:AZ"),11,39+3)="","",INDEX(INDIRECT("'"&amp;$B$2&amp;"月"&amp;"'!A:AZ"),11,39+3)),"")</f>
        <v/>
      </c>
      <c r="G297" s="57" t="str">
        <f ca="1">IFERROR(IF(INDEX(INDIRECT("'"&amp;$B$2&amp;"月"&amp;"'!A:AZ"),11,39+4)="","",INDEX(INDIRECT("'"&amp;$B$2&amp;"月"&amp;"'!A:AZ"),11,39+4)),"")</f>
        <v/>
      </c>
      <c r="H297" s="57"/>
    </row>
    <row r="298" spans="1:8" ht="13.5" customHeight="1">
      <c r="A298" s="57">
        <f>IF(DAY(DATE(対象年度,$B$2,9))&lt;&gt;9,"",9)</f>
        <v>9</v>
      </c>
      <c r="B298" s="57" t="str">
        <f>IF(DAY(DATE(対象年度,$B$2,9))&lt;&gt;9,"",CHOOSE(WEEKDAY(DATE(対象年度,$B$2,9),2),"月","火","水","木","金","土","日"))</f>
        <v>金</v>
      </c>
      <c r="C298" s="57" t="str">
        <f ca="1">IFERROR(IF(INDEX(INDIRECT("'"&amp;$B$2&amp;"月"&amp;"'!A:AZ"),12,39+0)="","",INDEX(INDIRECT("'"&amp;$B$2&amp;"月"&amp;"'!A:AZ"),12,39+0)),"")</f>
        <v/>
      </c>
      <c r="D298" s="58" t="str">
        <f ca="1">IFERROR(IF(INDEX(INDIRECT("'"&amp;$B$2&amp;"月"&amp;"'!A:AZ"),12,39+1)="","",INDEX(INDIRECT("'"&amp;$B$2&amp;"月"&amp;"'!A:AZ"),12,39+1)),"")</f>
        <v/>
      </c>
      <c r="E298" s="57" t="str">
        <f ca="1">IFERROR(IF(INDEX(INDIRECT("'"&amp;$B$2&amp;"月"&amp;"'!A:AZ"),12,39+2)="","",INDEX(INDIRECT("'"&amp;$B$2&amp;"月"&amp;"'!A:AZ"),12,39+2)),"")</f>
        <v/>
      </c>
      <c r="F298" s="59" t="str">
        <f ca="1">IFERROR(IF(INDEX(INDIRECT("'"&amp;$B$2&amp;"月"&amp;"'!A:AZ"),12,39+3)="","",INDEX(INDIRECT("'"&amp;$B$2&amp;"月"&amp;"'!A:AZ"),12,39+3)),"")</f>
        <v/>
      </c>
      <c r="G298" s="57" t="str">
        <f ca="1">IFERROR(IF(INDEX(INDIRECT("'"&amp;$B$2&amp;"月"&amp;"'!A:AZ"),12,39+4)="","",INDEX(INDIRECT("'"&amp;$B$2&amp;"月"&amp;"'!A:AZ"),12,39+4)),"")</f>
        <v/>
      </c>
      <c r="H298" s="57"/>
    </row>
    <row r="299" spans="1:8" ht="13.5" customHeight="1">
      <c r="A299" s="57">
        <f>IF(DAY(DATE(対象年度,$B$2,10))&lt;&gt;10,"",10)</f>
        <v>10</v>
      </c>
      <c r="B299" s="57" t="str">
        <f>IF(DAY(DATE(対象年度,$B$2,10))&lt;&gt;10,"",CHOOSE(WEEKDAY(DATE(対象年度,$B$2,10),2),"月","火","水","木","金","土","日"))</f>
        <v>土</v>
      </c>
      <c r="C299" s="57" t="str">
        <f ca="1">IFERROR(IF(INDEX(INDIRECT("'"&amp;$B$2&amp;"月"&amp;"'!A:AZ"),13,39+0)="","",INDEX(INDIRECT("'"&amp;$B$2&amp;"月"&amp;"'!A:AZ"),13,39+0)),"")</f>
        <v/>
      </c>
      <c r="D299" s="58" t="str">
        <f ca="1">IFERROR(IF(INDEX(INDIRECT("'"&amp;$B$2&amp;"月"&amp;"'!A:AZ"),13,39+1)="","",INDEX(INDIRECT("'"&amp;$B$2&amp;"月"&amp;"'!A:AZ"),13,39+1)),"")</f>
        <v/>
      </c>
      <c r="E299" s="57" t="str">
        <f ca="1">IFERROR(IF(INDEX(INDIRECT("'"&amp;$B$2&amp;"月"&amp;"'!A:AZ"),13,39+2)="","",INDEX(INDIRECT("'"&amp;$B$2&amp;"月"&amp;"'!A:AZ"),13,39+2)),"")</f>
        <v/>
      </c>
      <c r="F299" s="59" t="str">
        <f ca="1">IFERROR(IF(INDEX(INDIRECT("'"&amp;$B$2&amp;"月"&amp;"'!A:AZ"),13,39+3)="","",INDEX(INDIRECT("'"&amp;$B$2&amp;"月"&amp;"'!A:AZ"),13,39+3)),"")</f>
        <v/>
      </c>
      <c r="G299" s="57" t="str">
        <f ca="1">IFERROR(IF(INDEX(INDIRECT("'"&amp;$B$2&amp;"月"&amp;"'!A:AZ"),13,39+4)="","",INDEX(INDIRECT("'"&amp;$B$2&amp;"月"&amp;"'!A:AZ"),13,39+4)),"")</f>
        <v/>
      </c>
      <c r="H299" s="57"/>
    </row>
    <row r="300" spans="1:8" ht="13.5" customHeight="1">
      <c r="A300" s="57">
        <f>IF(DAY(DATE(対象年度,$B$2,11))&lt;&gt;11,"",11)</f>
        <v>11</v>
      </c>
      <c r="B300" s="57" t="str">
        <f>IF(DAY(DATE(対象年度,$B$2,11))&lt;&gt;11,"",CHOOSE(WEEKDAY(DATE(対象年度,$B$2,11),2),"月","火","水","木","金","土","日"))</f>
        <v>日</v>
      </c>
      <c r="C300" s="57" t="str">
        <f ca="1">IFERROR(IF(INDEX(INDIRECT("'"&amp;$B$2&amp;"月"&amp;"'!A:AZ"),14,39+0)="","",INDEX(INDIRECT("'"&amp;$B$2&amp;"月"&amp;"'!A:AZ"),14,39+0)),"")</f>
        <v/>
      </c>
      <c r="D300" s="58" t="str">
        <f ca="1">IFERROR(IF(INDEX(INDIRECT("'"&amp;$B$2&amp;"月"&amp;"'!A:AZ"),14,39+1)="","",INDEX(INDIRECT("'"&amp;$B$2&amp;"月"&amp;"'!A:AZ"),14,39+1)),"")</f>
        <v/>
      </c>
      <c r="E300" s="57" t="str">
        <f ca="1">IFERROR(IF(INDEX(INDIRECT("'"&amp;$B$2&amp;"月"&amp;"'!A:AZ"),14,39+2)="","",INDEX(INDIRECT("'"&amp;$B$2&amp;"月"&amp;"'!A:AZ"),14,39+2)),"")</f>
        <v/>
      </c>
      <c r="F300" s="59" t="str">
        <f ca="1">IFERROR(IF(INDEX(INDIRECT("'"&amp;$B$2&amp;"月"&amp;"'!A:AZ"),14,39+3)="","",INDEX(INDIRECT("'"&amp;$B$2&amp;"月"&amp;"'!A:AZ"),14,39+3)),"")</f>
        <v/>
      </c>
      <c r="G300" s="57" t="str">
        <f ca="1">IFERROR(IF(INDEX(INDIRECT("'"&amp;$B$2&amp;"月"&amp;"'!A:AZ"),14,39+4)="","",INDEX(INDIRECT("'"&amp;$B$2&amp;"月"&amp;"'!A:AZ"),14,39+4)),"")</f>
        <v/>
      </c>
      <c r="H300" s="57"/>
    </row>
    <row r="301" spans="1:8" ht="13.5" customHeight="1">
      <c r="A301" s="57">
        <f>IF(DAY(DATE(対象年度,$B$2,12))&lt;&gt;12,"",12)</f>
        <v>12</v>
      </c>
      <c r="B301" s="57" t="str">
        <f>IF(DAY(DATE(対象年度,$B$2,12))&lt;&gt;12,"",CHOOSE(WEEKDAY(DATE(対象年度,$B$2,12),2),"月","火","水","木","金","土","日"))</f>
        <v>月</v>
      </c>
      <c r="C301" s="57" t="str">
        <f ca="1">IFERROR(IF(INDEX(INDIRECT("'"&amp;$B$2&amp;"月"&amp;"'!A:AZ"),15,39+0)="","",INDEX(INDIRECT("'"&amp;$B$2&amp;"月"&amp;"'!A:AZ"),15,39+0)),"")</f>
        <v/>
      </c>
      <c r="D301" s="58" t="str">
        <f ca="1">IFERROR(IF(INDEX(INDIRECT("'"&amp;$B$2&amp;"月"&amp;"'!A:AZ"),15,39+1)="","",INDEX(INDIRECT("'"&amp;$B$2&amp;"月"&amp;"'!A:AZ"),15,39+1)),"")</f>
        <v/>
      </c>
      <c r="E301" s="57" t="str">
        <f ca="1">IFERROR(IF(INDEX(INDIRECT("'"&amp;$B$2&amp;"月"&amp;"'!A:AZ"),15,39+2)="","",INDEX(INDIRECT("'"&amp;$B$2&amp;"月"&amp;"'!A:AZ"),15,39+2)),"")</f>
        <v/>
      </c>
      <c r="F301" s="59" t="str">
        <f ca="1">IFERROR(IF(INDEX(INDIRECT("'"&amp;$B$2&amp;"月"&amp;"'!A:AZ"),15,39+3)="","",INDEX(INDIRECT("'"&amp;$B$2&amp;"月"&amp;"'!A:AZ"),15,39+3)),"")</f>
        <v/>
      </c>
      <c r="G301" s="57" t="str">
        <f ca="1">IFERROR(IF(INDEX(INDIRECT("'"&amp;$B$2&amp;"月"&amp;"'!A:AZ"),15,39+4)="","",INDEX(INDIRECT("'"&amp;$B$2&amp;"月"&amp;"'!A:AZ"),15,39+4)),"")</f>
        <v/>
      </c>
      <c r="H301" s="57"/>
    </row>
    <row r="302" spans="1:8" ht="13.5" customHeight="1">
      <c r="A302" s="57">
        <f>IF(DAY(DATE(対象年度,$B$2,13))&lt;&gt;13,"",13)</f>
        <v>13</v>
      </c>
      <c r="B302" s="57" t="str">
        <f>IF(DAY(DATE(対象年度,$B$2,13))&lt;&gt;13,"",CHOOSE(WEEKDAY(DATE(対象年度,$B$2,13),2),"月","火","水","木","金","土","日"))</f>
        <v>火</v>
      </c>
      <c r="C302" s="57" t="str">
        <f ca="1">IFERROR(IF(INDEX(INDIRECT("'"&amp;$B$2&amp;"月"&amp;"'!A:AZ"),16,39+0)="","",INDEX(INDIRECT("'"&amp;$B$2&amp;"月"&amp;"'!A:AZ"),16,39+0)),"")</f>
        <v/>
      </c>
      <c r="D302" s="58" t="str">
        <f ca="1">IFERROR(IF(INDEX(INDIRECT("'"&amp;$B$2&amp;"月"&amp;"'!A:AZ"),16,39+1)="","",INDEX(INDIRECT("'"&amp;$B$2&amp;"月"&amp;"'!A:AZ"),16,39+1)),"")</f>
        <v/>
      </c>
      <c r="E302" s="57" t="str">
        <f ca="1">IFERROR(IF(INDEX(INDIRECT("'"&amp;$B$2&amp;"月"&amp;"'!A:AZ"),16,39+2)="","",INDEX(INDIRECT("'"&amp;$B$2&amp;"月"&amp;"'!A:AZ"),16,39+2)),"")</f>
        <v/>
      </c>
      <c r="F302" s="59" t="str">
        <f ca="1">IFERROR(IF(INDEX(INDIRECT("'"&amp;$B$2&amp;"月"&amp;"'!A:AZ"),16,39+3)="","",INDEX(INDIRECT("'"&amp;$B$2&amp;"月"&amp;"'!A:AZ"),16,39+3)),"")</f>
        <v/>
      </c>
      <c r="G302" s="57" t="str">
        <f ca="1">IFERROR(IF(INDEX(INDIRECT("'"&amp;$B$2&amp;"月"&amp;"'!A:AZ"),16,39+4)="","",INDEX(INDIRECT("'"&amp;$B$2&amp;"月"&amp;"'!A:AZ"),16,39+4)),"")</f>
        <v/>
      </c>
      <c r="H302" s="57"/>
    </row>
    <row r="303" spans="1:8" ht="13.5" customHeight="1">
      <c r="A303" s="57">
        <f>IF(DAY(DATE(対象年度,$B$2,14))&lt;&gt;14,"",14)</f>
        <v>14</v>
      </c>
      <c r="B303" s="57" t="str">
        <f>IF(DAY(DATE(対象年度,$B$2,14))&lt;&gt;14,"",CHOOSE(WEEKDAY(DATE(対象年度,$B$2,14),2),"月","火","水","木","金","土","日"))</f>
        <v>水</v>
      </c>
      <c r="C303" s="57" t="str">
        <f ca="1">IFERROR(IF(INDEX(INDIRECT("'"&amp;$B$2&amp;"月"&amp;"'!A:AZ"),17,39+0)="","",INDEX(INDIRECT("'"&amp;$B$2&amp;"月"&amp;"'!A:AZ"),17,39+0)),"")</f>
        <v/>
      </c>
      <c r="D303" s="58" t="str">
        <f ca="1">IFERROR(IF(INDEX(INDIRECT("'"&amp;$B$2&amp;"月"&amp;"'!A:AZ"),17,39+1)="","",INDEX(INDIRECT("'"&amp;$B$2&amp;"月"&amp;"'!A:AZ"),17,39+1)),"")</f>
        <v/>
      </c>
      <c r="E303" s="57" t="str">
        <f ca="1">IFERROR(IF(INDEX(INDIRECT("'"&amp;$B$2&amp;"月"&amp;"'!A:AZ"),17,39+2)="","",INDEX(INDIRECT("'"&amp;$B$2&amp;"月"&amp;"'!A:AZ"),17,39+2)),"")</f>
        <v/>
      </c>
      <c r="F303" s="59" t="str">
        <f ca="1">IFERROR(IF(INDEX(INDIRECT("'"&amp;$B$2&amp;"月"&amp;"'!A:AZ"),17,39+3)="","",INDEX(INDIRECT("'"&amp;$B$2&amp;"月"&amp;"'!A:AZ"),17,39+3)),"")</f>
        <v/>
      </c>
      <c r="G303" s="57" t="str">
        <f ca="1">IFERROR(IF(INDEX(INDIRECT("'"&amp;$B$2&amp;"月"&amp;"'!A:AZ"),17,39+4)="","",INDEX(INDIRECT("'"&amp;$B$2&amp;"月"&amp;"'!A:AZ"),17,39+4)),"")</f>
        <v/>
      </c>
      <c r="H303" s="57"/>
    </row>
    <row r="304" spans="1:8" ht="13.5" customHeight="1">
      <c r="A304" s="57">
        <f>IF(DAY(DATE(対象年度,$B$2,15))&lt;&gt;15,"",15)</f>
        <v>15</v>
      </c>
      <c r="B304" s="57" t="str">
        <f>IF(DAY(DATE(対象年度,$B$2,15))&lt;&gt;15,"",CHOOSE(WEEKDAY(DATE(対象年度,$B$2,15),2),"月","火","水","木","金","土","日"))</f>
        <v>木</v>
      </c>
      <c r="C304" s="57" t="str">
        <f ca="1">IFERROR(IF(INDEX(INDIRECT("'"&amp;$B$2&amp;"月"&amp;"'!A:AZ"),18,39+0)="","",INDEX(INDIRECT("'"&amp;$B$2&amp;"月"&amp;"'!A:AZ"),18,39+0)),"")</f>
        <v/>
      </c>
      <c r="D304" s="58" t="str">
        <f ca="1">IFERROR(IF(INDEX(INDIRECT("'"&amp;$B$2&amp;"月"&amp;"'!A:AZ"),18,39+1)="","",INDEX(INDIRECT("'"&amp;$B$2&amp;"月"&amp;"'!A:AZ"),18,39+1)),"")</f>
        <v/>
      </c>
      <c r="E304" s="57" t="str">
        <f ca="1">IFERROR(IF(INDEX(INDIRECT("'"&amp;$B$2&amp;"月"&amp;"'!A:AZ"),18,39+2)="","",INDEX(INDIRECT("'"&amp;$B$2&amp;"月"&amp;"'!A:AZ"),18,39+2)),"")</f>
        <v/>
      </c>
      <c r="F304" s="59" t="str">
        <f ca="1">IFERROR(IF(INDEX(INDIRECT("'"&amp;$B$2&amp;"月"&amp;"'!A:AZ"),18,39+3)="","",INDEX(INDIRECT("'"&amp;$B$2&amp;"月"&amp;"'!A:AZ"),18,39+3)),"")</f>
        <v/>
      </c>
      <c r="G304" s="57" t="str">
        <f ca="1">IFERROR(IF(INDEX(INDIRECT("'"&amp;$B$2&amp;"月"&amp;"'!A:AZ"),18,39+4)="","",INDEX(INDIRECT("'"&amp;$B$2&amp;"月"&amp;"'!A:AZ"),18,39+4)),"")</f>
        <v/>
      </c>
      <c r="H304" s="57"/>
    </row>
    <row r="305" spans="1:8" ht="13.5" customHeight="1">
      <c r="A305" s="57">
        <f>IF(DAY(DATE(対象年度,$B$2,16))&lt;&gt;16,"",16)</f>
        <v>16</v>
      </c>
      <c r="B305" s="57" t="str">
        <f>IF(DAY(DATE(対象年度,$B$2,16))&lt;&gt;16,"",CHOOSE(WEEKDAY(DATE(対象年度,$B$2,16),2),"月","火","水","木","金","土","日"))</f>
        <v>金</v>
      </c>
      <c r="C305" s="57" t="str">
        <f ca="1">IFERROR(IF(INDEX(INDIRECT("'"&amp;$B$2&amp;"月"&amp;"'!A:AZ"),19,39+0)="","",INDEX(INDIRECT("'"&amp;$B$2&amp;"月"&amp;"'!A:AZ"),19,39+0)),"")</f>
        <v/>
      </c>
      <c r="D305" s="58" t="str">
        <f ca="1">IFERROR(IF(INDEX(INDIRECT("'"&amp;$B$2&amp;"月"&amp;"'!A:AZ"),19,39+1)="","",INDEX(INDIRECT("'"&amp;$B$2&amp;"月"&amp;"'!A:AZ"),19,39+1)),"")</f>
        <v/>
      </c>
      <c r="E305" s="57" t="str">
        <f ca="1">IFERROR(IF(INDEX(INDIRECT("'"&amp;$B$2&amp;"月"&amp;"'!A:AZ"),19,39+2)="","",INDEX(INDIRECT("'"&amp;$B$2&amp;"月"&amp;"'!A:AZ"),19,39+2)),"")</f>
        <v/>
      </c>
      <c r="F305" s="59" t="str">
        <f ca="1">IFERROR(IF(INDEX(INDIRECT("'"&amp;$B$2&amp;"月"&amp;"'!A:AZ"),19,39+3)="","",INDEX(INDIRECT("'"&amp;$B$2&amp;"月"&amp;"'!A:AZ"),19,39+3)),"")</f>
        <v/>
      </c>
      <c r="G305" s="57" t="str">
        <f ca="1">IFERROR(IF(INDEX(INDIRECT("'"&amp;$B$2&amp;"月"&amp;"'!A:AZ"),19,39+4)="","",INDEX(INDIRECT("'"&amp;$B$2&amp;"月"&amp;"'!A:AZ"),19,39+4)),"")</f>
        <v/>
      </c>
      <c r="H305" s="57"/>
    </row>
    <row r="306" spans="1:8" ht="13.5" customHeight="1">
      <c r="A306" s="57">
        <f>IF(DAY(DATE(対象年度,$B$2,17))&lt;&gt;17,"",17)</f>
        <v>17</v>
      </c>
      <c r="B306" s="57" t="str">
        <f>IF(DAY(DATE(対象年度,$B$2,17))&lt;&gt;17,"",CHOOSE(WEEKDAY(DATE(対象年度,$B$2,17),2),"月","火","水","木","金","土","日"))</f>
        <v>土</v>
      </c>
      <c r="C306" s="57" t="str">
        <f ca="1">IFERROR(IF(INDEX(INDIRECT("'"&amp;$B$2&amp;"月"&amp;"'!A:AZ"),20,39+0)="","",INDEX(INDIRECT("'"&amp;$B$2&amp;"月"&amp;"'!A:AZ"),20,39+0)),"")</f>
        <v/>
      </c>
      <c r="D306" s="58" t="str">
        <f ca="1">IFERROR(IF(INDEX(INDIRECT("'"&amp;$B$2&amp;"月"&amp;"'!A:AZ"),20,39+1)="","",INDEX(INDIRECT("'"&amp;$B$2&amp;"月"&amp;"'!A:AZ"),20,39+1)),"")</f>
        <v/>
      </c>
      <c r="E306" s="57" t="str">
        <f ca="1">IFERROR(IF(INDEX(INDIRECT("'"&amp;$B$2&amp;"月"&amp;"'!A:AZ"),20,39+2)="","",INDEX(INDIRECT("'"&amp;$B$2&amp;"月"&amp;"'!A:AZ"),20,39+2)),"")</f>
        <v/>
      </c>
      <c r="F306" s="59" t="str">
        <f ca="1">IFERROR(IF(INDEX(INDIRECT("'"&amp;$B$2&amp;"月"&amp;"'!A:AZ"),20,39+3)="","",INDEX(INDIRECT("'"&amp;$B$2&amp;"月"&amp;"'!A:AZ"),20,39+3)),"")</f>
        <v/>
      </c>
      <c r="G306" s="57" t="str">
        <f ca="1">IFERROR(IF(INDEX(INDIRECT("'"&amp;$B$2&amp;"月"&amp;"'!A:AZ"),20,39+4)="","",INDEX(INDIRECT("'"&amp;$B$2&amp;"月"&amp;"'!A:AZ"),20,39+4)),"")</f>
        <v/>
      </c>
      <c r="H306" s="57"/>
    </row>
    <row r="307" spans="1:8" ht="13.5" customHeight="1">
      <c r="A307" s="57">
        <f>IF(DAY(DATE(対象年度,$B$2,18))&lt;&gt;18,"",18)</f>
        <v>18</v>
      </c>
      <c r="B307" s="57" t="str">
        <f>IF(DAY(DATE(対象年度,$B$2,18))&lt;&gt;18,"",CHOOSE(WEEKDAY(DATE(対象年度,$B$2,18),2),"月","火","水","木","金","土","日"))</f>
        <v>日</v>
      </c>
      <c r="C307" s="57" t="str">
        <f ca="1">IFERROR(IF(INDEX(INDIRECT("'"&amp;$B$2&amp;"月"&amp;"'!A:AZ"),21,39+0)="","",INDEX(INDIRECT("'"&amp;$B$2&amp;"月"&amp;"'!A:AZ"),21,39+0)),"")</f>
        <v/>
      </c>
      <c r="D307" s="58" t="str">
        <f ca="1">IFERROR(IF(INDEX(INDIRECT("'"&amp;$B$2&amp;"月"&amp;"'!A:AZ"),21,39+1)="","",INDEX(INDIRECT("'"&amp;$B$2&amp;"月"&amp;"'!A:AZ"),21,39+1)),"")</f>
        <v/>
      </c>
      <c r="E307" s="57" t="str">
        <f ca="1">IFERROR(IF(INDEX(INDIRECT("'"&amp;$B$2&amp;"月"&amp;"'!A:AZ"),21,39+2)="","",INDEX(INDIRECT("'"&amp;$B$2&amp;"月"&amp;"'!A:AZ"),21,39+2)),"")</f>
        <v/>
      </c>
      <c r="F307" s="59" t="str">
        <f ca="1">IFERROR(IF(INDEX(INDIRECT("'"&amp;$B$2&amp;"月"&amp;"'!A:AZ"),21,39+3)="","",INDEX(INDIRECT("'"&amp;$B$2&amp;"月"&amp;"'!A:AZ"),21,39+3)),"")</f>
        <v/>
      </c>
      <c r="G307" s="57" t="str">
        <f ca="1">IFERROR(IF(INDEX(INDIRECT("'"&amp;$B$2&amp;"月"&amp;"'!A:AZ"),21,39+4)="","",INDEX(INDIRECT("'"&amp;$B$2&amp;"月"&amp;"'!A:AZ"),21,39+4)),"")</f>
        <v/>
      </c>
      <c r="H307" s="57"/>
    </row>
    <row r="308" spans="1:8" ht="13.5" customHeight="1">
      <c r="A308" s="57">
        <f>IF(DAY(DATE(対象年度,$B$2,19))&lt;&gt;19,"",19)</f>
        <v>19</v>
      </c>
      <c r="B308" s="57" t="str">
        <f>IF(DAY(DATE(対象年度,$B$2,19))&lt;&gt;19,"",CHOOSE(WEEKDAY(DATE(対象年度,$B$2,19),2),"月","火","水","木","金","土","日"))</f>
        <v>月</v>
      </c>
      <c r="C308" s="57" t="str">
        <f ca="1">IFERROR(IF(INDEX(INDIRECT("'"&amp;$B$2&amp;"月"&amp;"'!A:AZ"),22,39+0)="","",INDEX(INDIRECT("'"&amp;$B$2&amp;"月"&amp;"'!A:AZ"),22,39+0)),"")</f>
        <v/>
      </c>
      <c r="D308" s="58" t="str">
        <f ca="1">IFERROR(IF(INDEX(INDIRECT("'"&amp;$B$2&amp;"月"&amp;"'!A:AZ"),22,39+1)="","",INDEX(INDIRECT("'"&amp;$B$2&amp;"月"&amp;"'!A:AZ"),22,39+1)),"")</f>
        <v/>
      </c>
      <c r="E308" s="57" t="str">
        <f ca="1">IFERROR(IF(INDEX(INDIRECT("'"&amp;$B$2&amp;"月"&amp;"'!A:AZ"),22,39+2)="","",INDEX(INDIRECT("'"&amp;$B$2&amp;"月"&amp;"'!A:AZ"),22,39+2)),"")</f>
        <v/>
      </c>
      <c r="F308" s="59" t="str">
        <f ca="1">IFERROR(IF(INDEX(INDIRECT("'"&amp;$B$2&amp;"月"&amp;"'!A:AZ"),22,39+3)="","",INDEX(INDIRECT("'"&amp;$B$2&amp;"月"&amp;"'!A:AZ"),22,39+3)),"")</f>
        <v/>
      </c>
      <c r="G308" s="57" t="str">
        <f ca="1">IFERROR(IF(INDEX(INDIRECT("'"&amp;$B$2&amp;"月"&amp;"'!A:AZ"),22,39+4)="","",INDEX(INDIRECT("'"&amp;$B$2&amp;"月"&amp;"'!A:AZ"),22,39+4)),"")</f>
        <v/>
      </c>
      <c r="H308" s="57"/>
    </row>
    <row r="309" spans="1:8" ht="13.5" customHeight="1">
      <c r="A309" s="57">
        <f>IF(DAY(DATE(対象年度,$B$2,20))&lt;&gt;20,"",20)</f>
        <v>20</v>
      </c>
      <c r="B309" s="57" t="str">
        <f>IF(DAY(DATE(対象年度,$B$2,20))&lt;&gt;20,"",CHOOSE(WEEKDAY(DATE(対象年度,$B$2,20),2),"月","火","水","木","金","土","日"))</f>
        <v>火</v>
      </c>
      <c r="C309" s="57" t="str">
        <f ca="1">IFERROR(IF(INDEX(INDIRECT("'"&amp;$B$2&amp;"月"&amp;"'!A:AZ"),23,39+0)="","",INDEX(INDIRECT("'"&amp;$B$2&amp;"月"&amp;"'!A:AZ"),23,39+0)),"")</f>
        <v/>
      </c>
      <c r="D309" s="58" t="str">
        <f ca="1">IFERROR(IF(INDEX(INDIRECT("'"&amp;$B$2&amp;"月"&amp;"'!A:AZ"),23,39+1)="","",INDEX(INDIRECT("'"&amp;$B$2&amp;"月"&amp;"'!A:AZ"),23,39+1)),"")</f>
        <v/>
      </c>
      <c r="E309" s="57" t="str">
        <f ca="1">IFERROR(IF(INDEX(INDIRECT("'"&amp;$B$2&amp;"月"&amp;"'!A:AZ"),23,39+2)="","",INDEX(INDIRECT("'"&amp;$B$2&amp;"月"&amp;"'!A:AZ"),23,39+2)),"")</f>
        <v/>
      </c>
      <c r="F309" s="59" t="str">
        <f ca="1">IFERROR(IF(INDEX(INDIRECT("'"&amp;$B$2&amp;"月"&amp;"'!A:AZ"),23,39+3)="","",INDEX(INDIRECT("'"&amp;$B$2&amp;"月"&amp;"'!A:AZ"),23,39+3)),"")</f>
        <v/>
      </c>
      <c r="G309" s="57" t="str">
        <f ca="1">IFERROR(IF(INDEX(INDIRECT("'"&amp;$B$2&amp;"月"&amp;"'!A:AZ"),23,39+4)="","",INDEX(INDIRECT("'"&amp;$B$2&amp;"月"&amp;"'!A:AZ"),23,39+4)),"")</f>
        <v/>
      </c>
      <c r="H309" s="57"/>
    </row>
    <row r="310" spans="1:8" ht="13.5" customHeight="1">
      <c r="A310" s="57">
        <f>IF(DAY(DATE(対象年度,$B$2,21))&lt;&gt;21,"",21)</f>
        <v>21</v>
      </c>
      <c r="B310" s="57" t="str">
        <f>IF(DAY(DATE(対象年度,$B$2,21))&lt;&gt;21,"",CHOOSE(WEEKDAY(DATE(対象年度,$B$2,21),2),"月","火","水","木","金","土","日"))</f>
        <v>水</v>
      </c>
      <c r="C310" s="57" t="str">
        <f ca="1">IFERROR(IF(INDEX(INDIRECT("'"&amp;$B$2&amp;"月"&amp;"'!A:AZ"),24,39+0)="","",INDEX(INDIRECT("'"&amp;$B$2&amp;"月"&amp;"'!A:AZ"),24,39+0)),"")</f>
        <v>有給</v>
      </c>
      <c r="D310" s="58" t="str">
        <f ca="1">IFERROR(IF(INDEX(INDIRECT("'"&amp;$B$2&amp;"月"&amp;"'!A:AZ"),24,39+1)="","",INDEX(INDIRECT("'"&amp;$B$2&amp;"月"&amp;"'!A:AZ"),24,39+1)),"")</f>
        <v/>
      </c>
      <c r="E310" s="57" t="str">
        <f ca="1">IFERROR(IF(INDEX(INDIRECT("'"&amp;$B$2&amp;"月"&amp;"'!A:AZ"),24,39+2)="","",INDEX(INDIRECT("'"&amp;$B$2&amp;"月"&amp;"'!A:AZ"),24,39+2)),"")</f>
        <v>○</v>
      </c>
      <c r="F310" s="59" t="str">
        <f ca="1">IFERROR(IF(INDEX(INDIRECT("'"&amp;$B$2&amp;"月"&amp;"'!A:AZ"),24,39+3)="","",INDEX(INDIRECT("'"&amp;$B$2&amp;"月"&amp;"'!A:AZ"),24,39+3)),"")</f>
        <v/>
      </c>
      <c r="G310" s="57" t="str">
        <f ca="1">IFERROR(IF(INDEX(INDIRECT("'"&amp;$B$2&amp;"月"&amp;"'!A:AZ"),24,39+4)="","",INDEX(INDIRECT("'"&amp;$B$2&amp;"月"&amp;"'!A:AZ"),24,39+4)),"")</f>
        <v/>
      </c>
      <c r="H310" s="57"/>
    </row>
    <row r="311" spans="1:8" ht="13.5" customHeight="1">
      <c r="A311" s="57">
        <f>IF(DAY(DATE(対象年度,$B$2,22))&lt;&gt;22,"",22)</f>
        <v>22</v>
      </c>
      <c r="B311" s="57" t="str">
        <f>IF(DAY(DATE(対象年度,$B$2,22))&lt;&gt;22,"",CHOOSE(WEEKDAY(DATE(対象年度,$B$2,22),2),"月","火","水","木","金","土","日"))</f>
        <v>木</v>
      </c>
      <c r="C311" s="57" t="str">
        <f ca="1">IFERROR(IF(INDEX(INDIRECT("'"&amp;$B$2&amp;"月"&amp;"'!A:AZ"),25,39+0)="","",INDEX(INDIRECT("'"&amp;$B$2&amp;"月"&amp;"'!A:AZ"),25,39+0)),"")</f>
        <v>新宿</v>
      </c>
      <c r="D311" s="58" t="str">
        <f ca="1">IFERROR(IF(INDEX(INDIRECT("'"&amp;$B$2&amp;"月"&amp;"'!A:AZ"),25,39+1)="","",INDEX(INDIRECT("'"&amp;$B$2&amp;"月"&amp;"'!A:AZ"),25,39+1)),"")</f>
        <v/>
      </c>
      <c r="E311" s="57" t="str">
        <f ca="1">IFERROR(IF(INDEX(INDIRECT("'"&amp;$B$2&amp;"月"&amp;"'!A:AZ"),25,39+2)="","",INDEX(INDIRECT("'"&amp;$B$2&amp;"月"&amp;"'!A:AZ"),25,39+2)),"")</f>
        <v>○</v>
      </c>
      <c r="F311" s="59" t="str">
        <f ca="1">IFERROR(IF(INDEX(INDIRECT("'"&amp;$B$2&amp;"月"&amp;"'!A:AZ"),25,39+3)="","",INDEX(INDIRECT("'"&amp;$B$2&amp;"月"&amp;"'!A:AZ"),25,39+3)),"")</f>
        <v/>
      </c>
      <c r="G311" s="57" t="str">
        <f ca="1">IFERROR(IF(INDEX(INDIRECT("'"&amp;$B$2&amp;"月"&amp;"'!A:AZ"),25,39+4)="","",INDEX(INDIRECT("'"&amp;$B$2&amp;"月"&amp;"'!A:AZ"),25,39+4)),"")</f>
        <v/>
      </c>
      <c r="H311" s="57"/>
    </row>
    <row r="312" spans="1:8" ht="13.5" customHeight="1">
      <c r="A312" s="57">
        <f>IF(DAY(DATE(対象年度,$B$2,23))&lt;&gt;23,"",23)</f>
        <v>23</v>
      </c>
      <c r="B312" s="57" t="str">
        <f>IF(DAY(DATE(対象年度,$B$2,23))&lt;&gt;23,"",CHOOSE(WEEKDAY(DATE(対象年度,$B$2,23),2),"月","火","水","木","金","土","日"))</f>
        <v>金</v>
      </c>
      <c r="C312" s="57" t="str">
        <f ca="1">IFERROR(IF(INDEX(INDIRECT("'"&amp;$B$2&amp;"月"&amp;"'!A:AZ"),26,39+0)="","",INDEX(INDIRECT("'"&amp;$B$2&amp;"月"&amp;"'!A:AZ"),26,39+0)),"")</f>
        <v>新宿</v>
      </c>
      <c r="D312" s="58" t="str">
        <f ca="1">IFERROR(IF(INDEX(INDIRECT("'"&amp;$B$2&amp;"月"&amp;"'!A:AZ"),26,39+1)="","",INDEX(INDIRECT("'"&amp;$B$2&amp;"月"&amp;"'!A:AZ"),26,39+1)),"")</f>
        <v/>
      </c>
      <c r="E312" s="57" t="str">
        <f ca="1">IFERROR(IF(INDEX(INDIRECT("'"&amp;$B$2&amp;"月"&amp;"'!A:AZ"),26,39+2)="","",INDEX(INDIRECT("'"&amp;$B$2&amp;"月"&amp;"'!A:AZ"),26,39+2)),"")</f>
        <v>○</v>
      </c>
      <c r="F312" s="59" t="str">
        <f ca="1">IFERROR(IF(INDEX(INDIRECT("'"&amp;$B$2&amp;"月"&amp;"'!A:AZ"),26,39+3)="","",INDEX(INDIRECT("'"&amp;$B$2&amp;"月"&amp;"'!A:AZ"),26,39+3)),"")</f>
        <v/>
      </c>
      <c r="G312" s="57" t="str">
        <f ca="1">IFERROR(IF(INDEX(INDIRECT("'"&amp;$B$2&amp;"月"&amp;"'!A:AZ"),26,39+4)="","",INDEX(INDIRECT("'"&amp;$B$2&amp;"月"&amp;"'!A:AZ"),26,39+4)),"")</f>
        <v/>
      </c>
      <c r="H312" s="57"/>
    </row>
    <row r="313" spans="1:8" ht="13.5" customHeight="1">
      <c r="A313" s="57">
        <f>IF(DAY(DATE(対象年度,$B$2,24))&lt;&gt;24,"",24)</f>
        <v>24</v>
      </c>
      <c r="B313" s="57" t="str">
        <f>IF(DAY(DATE(対象年度,$B$2,24))&lt;&gt;24,"",CHOOSE(WEEKDAY(DATE(対象年度,$B$2,24),2),"月","火","水","木","金","土","日"))</f>
        <v>土</v>
      </c>
      <c r="C313" s="57" t="str">
        <f ca="1">IFERROR(IF(INDEX(INDIRECT("'"&amp;$B$2&amp;"月"&amp;"'!A:AZ"),27,39+0)="","",INDEX(INDIRECT("'"&amp;$B$2&amp;"月"&amp;"'!A:AZ"),27,39+0)),"")</f>
        <v>新宿</v>
      </c>
      <c r="D313" s="58" t="str">
        <f ca="1">IFERROR(IF(INDEX(INDIRECT("'"&amp;$B$2&amp;"月"&amp;"'!A:AZ"),27,39+1)="","",INDEX(INDIRECT("'"&amp;$B$2&amp;"月"&amp;"'!A:AZ"),27,39+1)),"")</f>
        <v/>
      </c>
      <c r="E313" s="57" t="str">
        <f ca="1">IFERROR(IF(INDEX(INDIRECT("'"&amp;$B$2&amp;"月"&amp;"'!A:AZ"),27,39+2)="","",INDEX(INDIRECT("'"&amp;$B$2&amp;"月"&amp;"'!A:AZ"),27,39+2)),"")</f>
        <v>○</v>
      </c>
      <c r="F313" s="59" t="str">
        <f ca="1">IFERROR(IF(INDEX(INDIRECT("'"&amp;$B$2&amp;"月"&amp;"'!A:AZ"),27,39+3)="","",INDEX(INDIRECT("'"&amp;$B$2&amp;"月"&amp;"'!A:AZ"),27,39+3)),"")</f>
        <v/>
      </c>
      <c r="G313" s="57" t="str">
        <f ca="1">IFERROR(IF(INDEX(INDIRECT("'"&amp;$B$2&amp;"月"&amp;"'!A:AZ"),27,39+4)="","",INDEX(INDIRECT("'"&amp;$B$2&amp;"月"&amp;"'!A:AZ"),27,39+4)),"")</f>
        <v/>
      </c>
      <c r="H313" s="57"/>
    </row>
    <row r="314" spans="1:8" ht="13.5" customHeight="1">
      <c r="A314" s="57">
        <f>IF(DAY(DATE(対象年度,$B$2,25))&lt;&gt;25,"",25)</f>
        <v>25</v>
      </c>
      <c r="B314" s="57" t="str">
        <f>IF(DAY(DATE(対象年度,$B$2,25))&lt;&gt;25,"",CHOOSE(WEEKDAY(DATE(対象年度,$B$2,25),2),"月","火","水","木","金","土","日"))</f>
        <v>日</v>
      </c>
      <c r="C314" s="57" t="str">
        <f ca="1">IFERROR(IF(INDEX(INDIRECT("'"&amp;$B$2&amp;"月"&amp;"'!A:AZ"),28,39+0)="","",INDEX(INDIRECT("'"&amp;$B$2&amp;"月"&amp;"'!A:AZ"),28,39+0)),"")</f>
        <v/>
      </c>
      <c r="D314" s="58" t="str">
        <f ca="1">IFERROR(IF(INDEX(INDIRECT("'"&amp;$B$2&amp;"月"&amp;"'!A:AZ"),28,39+1)="","",INDEX(INDIRECT("'"&amp;$B$2&amp;"月"&amp;"'!A:AZ"),28,39+1)),"")</f>
        <v/>
      </c>
      <c r="E314" s="57" t="str">
        <f ca="1">IFERROR(IF(INDEX(INDIRECT("'"&amp;$B$2&amp;"月"&amp;"'!A:AZ"),28,39+2)="","",INDEX(INDIRECT("'"&amp;$B$2&amp;"月"&amp;"'!A:AZ"),28,39+2)),"")</f>
        <v/>
      </c>
      <c r="F314" s="59" t="str">
        <f ca="1">IFERROR(IF(INDEX(INDIRECT("'"&amp;$B$2&amp;"月"&amp;"'!A:AZ"),28,39+3)="","",INDEX(INDIRECT("'"&amp;$B$2&amp;"月"&amp;"'!A:AZ"),28,39+3)),"")</f>
        <v/>
      </c>
      <c r="G314" s="57" t="str">
        <f ca="1">IFERROR(IF(INDEX(INDIRECT("'"&amp;$B$2&amp;"月"&amp;"'!A:AZ"),28,39+4)="","",INDEX(INDIRECT("'"&amp;$B$2&amp;"月"&amp;"'!A:AZ"),28,39+4)),"")</f>
        <v/>
      </c>
      <c r="H314" s="57"/>
    </row>
    <row r="315" spans="1:8" ht="13.5" customHeight="1">
      <c r="A315" s="57">
        <f>IF(DAY(DATE(対象年度,$B$2,26))&lt;&gt;26,"",26)</f>
        <v>26</v>
      </c>
      <c r="B315" s="57" t="str">
        <f>IF(DAY(DATE(対象年度,$B$2,26))&lt;&gt;26,"",CHOOSE(WEEKDAY(DATE(対象年度,$B$2,26),2),"月","火","水","木","金","土","日"))</f>
        <v>月</v>
      </c>
      <c r="C315" s="57" t="str">
        <f ca="1">IFERROR(IF(INDEX(INDIRECT("'"&amp;$B$2&amp;"月"&amp;"'!A:AZ"),29,39+0)="","",INDEX(INDIRECT("'"&amp;$B$2&amp;"月"&amp;"'!A:AZ"),29,39+0)),"")</f>
        <v>新宿</v>
      </c>
      <c r="D315" s="58" t="str">
        <f ca="1">IFERROR(IF(INDEX(INDIRECT("'"&amp;$B$2&amp;"月"&amp;"'!A:AZ"),29,39+1)="","",INDEX(INDIRECT("'"&amp;$B$2&amp;"月"&amp;"'!A:AZ"),29,39+1)),"")</f>
        <v/>
      </c>
      <c r="E315" s="57" t="str">
        <f ca="1">IFERROR(IF(INDEX(INDIRECT("'"&amp;$B$2&amp;"月"&amp;"'!A:AZ"),29,39+2)="","",INDEX(INDIRECT("'"&amp;$B$2&amp;"月"&amp;"'!A:AZ"),29,39+2)),"")</f>
        <v>○</v>
      </c>
      <c r="F315" s="59" t="str">
        <f ca="1">IFERROR(IF(INDEX(INDIRECT("'"&amp;$B$2&amp;"月"&amp;"'!A:AZ"),29,39+3)="","",INDEX(INDIRECT("'"&amp;$B$2&amp;"月"&amp;"'!A:AZ"),29,39+3)),"")</f>
        <v/>
      </c>
      <c r="G315" s="57" t="str">
        <f ca="1">IFERROR(IF(INDEX(INDIRECT("'"&amp;$B$2&amp;"月"&amp;"'!A:AZ"),29,39+4)="","",INDEX(INDIRECT("'"&amp;$B$2&amp;"月"&amp;"'!A:AZ"),29,39+4)),"")</f>
        <v/>
      </c>
      <c r="H315" s="57"/>
    </row>
    <row r="316" spans="1:8" ht="13.5" customHeight="1">
      <c r="A316" s="57">
        <f>IF(DAY(DATE(対象年度,$B$2,27))&lt;&gt;27,"",27)</f>
        <v>27</v>
      </c>
      <c r="B316" s="57" t="str">
        <f>IF(DAY(DATE(対象年度,$B$2,27))&lt;&gt;27,"",CHOOSE(WEEKDAY(DATE(対象年度,$B$2,27),2),"月","火","水","木","金","土","日"))</f>
        <v>火</v>
      </c>
      <c r="C316" s="57" t="str">
        <f ca="1">IFERROR(IF(INDEX(INDIRECT("'"&amp;$B$2&amp;"月"&amp;"'!A:AZ"),30,39+0)="","",INDEX(INDIRECT("'"&amp;$B$2&amp;"月"&amp;"'!A:AZ"),30,39+0)),"")</f>
        <v>新宿</v>
      </c>
      <c r="D316" s="58" t="str">
        <f ca="1">IFERROR(IF(INDEX(INDIRECT("'"&amp;$B$2&amp;"月"&amp;"'!A:AZ"),30,39+1)="","",INDEX(INDIRECT("'"&amp;$B$2&amp;"月"&amp;"'!A:AZ"),30,39+1)),"")</f>
        <v/>
      </c>
      <c r="E316" s="57" t="str">
        <f ca="1">IFERROR(IF(INDEX(INDIRECT("'"&amp;$B$2&amp;"月"&amp;"'!A:AZ"),30,39+2)="","",INDEX(INDIRECT("'"&amp;$B$2&amp;"月"&amp;"'!A:AZ"),30,39+2)),"")</f>
        <v>○</v>
      </c>
      <c r="F316" s="59" t="str">
        <f ca="1">IFERROR(IF(INDEX(INDIRECT("'"&amp;$B$2&amp;"月"&amp;"'!A:AZ"),30,39+3)="","",INDEX(INDIRECT("'"&amp;$B$2&amp;"月"&amp;"'!A:AZ"),30,39+3)),"")</f>
        <v/>
      </c>
      <c r="G316" s="57" t="str">
        <f ca="1">IFERROR(IF(INDEX(INDIRECT("'"&amp;$B$2&amp;"月"&amp;"'!A:AZ"),30,39+4)="","",INDEX(INDIRECT("'"&amp;$B$2&amp;"月"&amp;"'!A:AZ"),30,39+4)),"")</f>
        <v/>
      </c>
      <c r="H316" s="57"/>
    </row>
    <row r="317" spans="1:8" ht="13.5" customHeight="1">
      <c r="A317" s="57">
        <f>IF(DAY(DATE(対象年度,$B$2,28))&lt;&gt;28,"",28)</f>
        <v>28</v>
      </c>
      <c r="B317" s="57" t="str">
        <f>IF(DAY(DATE(対象年度,$B$2,28))&lt;&gt;28,"",CHOOSE(WEEKDAY(DATE(対象年度,$B$2,28),2),"月","火","水","木","金","土","日"))</f>
        <v>水</v>
      </c>
      <c r="C317" s="57" t="str">
        <f ca="1">IFERROR(IF(INDEX(INDIRECT("'"&amp;$B$2&amp;"月"&amp;"'!A:AZ"),31,39+0)="","",INDEX(INDIRECT("'"&amp;$B$2&amp;"月"&amp;"'!A:AZ"),31,39+0)),"")</f>
        <v>新宿</v>
      </c>
      <c r="D317" s="58" t="str">
        <f ca="1">IFERROR(IF(INDEX(INDIRECT("'"&amp;$B$2&amp;"月"&amp;"'!A:AZ"),31,39+1)="","",INDEX(INDIRECT("'"&amp;$B$2&amp;"月"&amp;"'!A:AZ"),31,39+1)),"")</f>
        <v/>
      </c>
      <c r="E317" s="57" t="str">
        <f ca="1">IFERROR(IF(INDEX(INDIRECT("'"&amp;$B$2&amp;"月"&amp;"'!A:AZ"),31,39+2)="","",INDEX(INDIRECT("'"&amp;$B$2&amp;"月"&amp;"'!A:AZ"),31,39+2)),"")</f>
        <v>○</v>
      </c>
      <c r="F317" s="59" t="str">
        <f ca="1">IFERROR(IF(INDEX(INDIRECT("'"&amp;$B$2&amp;"月"&amp;"'!A:AZ"),31,39+3)="","",INDEX(INDIRECT("'"&amp;$B$2&amp;"月"&amp;"'!A:AZ"),31,39+3)),"")</f>
        <v/>
      </c>
      <c r="G317" s="57" t="str">
        <f ca="1">IFERROR(IF(INDEX(INDIRECT("'"&amp;$B$2&amp;"月"&amp;"'!A:AZ"),31,39+4)="","",INDEX(INDIRECT("'"&amp;$B$2&amp;"月"&amp;"'!A:AZ"),31,39+4)),"")</f>
        <v/>
      </c>
      <c r="H317" s="57"/>
    </row>
    <row r="318" spans="1:8" ht="13.5" customHeight="1">
      <c r="A318" s="57">
        <f>IF(DAY(DATE(対象年度,$B$2,29))&lt;&gt;29,"",29)</f>
        <v>29</v>
      </c>
      <c r="B318" s="57" t="str">
        <f>IF(DAY(DATE(対象年度,$B$2,29))&lt;&gt;29,"",CHOOSE(WEEKDAY(DATE(対象年度,$B$2,29),2),"月","火","水","木","金","土","日"))</f>
        <v>木</v>
      </c>
      <c r="C318" s="57" t="str">
        <f ca="1">IFERROR(IF(INDEX(INDIRECT("'"&amp;$B$2&amp;"月"&amp;"'!A:AZ"),32,39+0)="","",INDEX(INDIRECT("'"&amp;$B$2&amp;"月"&amp;"'!A:AZ"),32,39+0)),"")</f>
        <v>六本木</v>
      </c>
      <c r="D318" s="58" t="str">
        <f ca="1">IFERROR(IF(INDEX(INDIRECT("'"&amp;$B$2&amp;"月"&amp;"'!A:AZ"),32,39+1)="","",INDEX(INDIRECT("'"&amp;$B$2&amp;"月"&amp;"'!A:AZ"),32,39+1)),"")</f>
        <v/>
      </c>
      <c r="E318" s="57" t="str">
        <f ca="1">IFERROR(IF(INDEX(INDIRECT("'"&amp;$B$2&amp;"月"&amp;"'!A:AZ"),32,39+2)="","",INDEX(INDIRECT("'"&amp;$B$2&amp;"月"&amp;"'!A:AZ"),32,39+2)),"")</f>
        <v>○</v>
      </c>
      <c r="F318" s="59" t="str">
        <f ca="1">IFERROR(IF(INDEX(INDIRECT("'"&amp;$B$2&amp;"月"&amp;"'!A:AZ"),32,39+3)="","",INDEX(INDIRECT("'"&amp;$B$2&amp;"月"&amp;"'!A:AZ"),32,39+3)),"")</f>
        <v/>
      </c>
      <c r="G318" s="57" t="str">
        <f ca="1">IFERROR(IF(INDEX(INDIRECT("'"&amp;$B$2&amp;"月"&amp;"'!A:AZ"),32,39+4)="","",INDEX(INDIRECT("'"&amp;$B$2&amp;"月"&amp;"'!A:AZ"),32,39+4)),"")</f>
        <v/>
      </c>
      <c r="H318" s="57"/>
    </row>
    <row r="319" spans="1:8" ht="13.5" customHeight="1">
      <c r="A319" s="57">
        <f>IF(DAY(DATE(対象年度,$B$2,30))&lt;&gt;30,"",30)</f>
        <v>30</v>
      </c>
      <c r="B319" s="57" t="str">
        <f>IF(DAY(DATE(対象年度,$B$2,30))&lt;&gt;30,"",CHOOSE(WEEKDAY(DATE(対象年度,$B$2,30),2),"月","火","水","木","金","土","日"))</f>
        <v>金</v>
      </c>
      <c r="C319" s="57" t="str">
        <f ca="1">IFERROR(IF(INDEX(INDIRECT("'"&amp;$B$2&amp;"月"&amp;"'!A:AZ"),33,39+0)="","",INDEX(INDIRECT("'"&amp;$B$2&amp;"月"&amp;"'!A:AZ"),33,39+0)),"")</f>
        <v>新宿</v>
      </c>
      <c r="D319" s="58" t="str">
        <f ca="1">IFERROR(IF(INDEX(INDIRECT("'"&amp;$B$2&amp;"月"&amp;"'!A:AZ"),33,39+1)="","",INDEX(INDIRECT("'"&amp;$B$2&amp;"月"&amp;"'!A:AZ"),33,39+1)),"")</f>
        <v/>
      </c>
      <c r="E319" s="57" t="str">
        <f ca="1">IFERROR(IF(INDEX(INDIRECT("'"&amp;$B$2&amp;"月"&amp;"'!A:AZ"),33,39+2)="","",INDEX(INDIRECT("'"&amp;$B$2&amp;"月"&amp;"'!A:AZ"),33,39+2)),"")</f>
        <v>○</v>
      </c>
      <c r="F319" s="59" t="str">
        <f ca="1">IFERROR(IF(INDEX(INDIRECT("'"&amp;$B$2&amp;"月"&amp;"'!A:AZ"),33,39+3)="","",INDEX(INDIRECT("'"&amp;$B$2&amp;"月"&amp;"'!A:AZ"),33,39+3)),"")</f>
        <v/>
      </c>
      <c r="G319" s="57" t="str">
        <f ca="1">IFERROR(IF(INDEX(INDIRECT("'"&amp;$B$2&amp;"月"&amp;"'!A:AZ"),33,39+4)="","",INDEX(INDIRECT("'"&amp;$B$2&amp;"月"&amp;"'!A:AZ"),33,39+4)),"")</f>
        <v/>
      </c>
      <c r="H319" s="57"/>
    </row>
    <row r="320" spans="1:8" ht="13.5" customHeight="1">
      <c r="A320" s="57">
        <f>IF(DAY(DATE(対象年度,$B$2,31))&lt;&gt;31,"",31)</f>
        <v>31</v>
      </c>
      <c r="B320" s="57" t="str">
        <f>IF(DAY(DATE(対象年度,$B$2,31))&lt;&gt;31,"",CHOOSE(WEEKDAY(DATE(対象年度,$B$2,31),2),"月","火","水","木","金","土","日"))</f>
        <v>土</v>
      </c>
      <c r="C320" s="57" t="str">
        <f ca="1">IFERROR(IF(INDEX(INDIRECT("'"&amp;$B$2&amp;"月"&amp;"'!A:AZ"),34,39+0)="","",INDEX(INDIRECT("'"&amp;$B$2&amp;"月"&amp;"'!A:AZ"),34,39+0)),"")</f>
        <v>渋谷</v>
      </c>
      <c r="D320" s="58" t="str">
        <f ca="1">IFERROR(IF(INDEX(INDIRECT("'"&amp;$B$2&amp;"月"&amp;"'!A:AZ"),34,39+1)="","",INDEX(INDIRECT("'"&amp;$B$2&amp;"月"&amp;"'!A:AZ"),34,39+1)),"")</f>
        <v/>
      </c>
      <c r="E320" s="57" t="str">
        <f ca="1">IFERROR(IF(INDEX(INDIRECT("'"&amp;$B$2&amp;"月"&amp;"'!A:AZ"),34,39+2)="","",INDEX(INDIRECT("'"&amp;$B$2&amp;"月"&amp;"'!A:AZ"),34,39+2)),"")</f>
        <v>○</v>
      </c>
      <c r="F320" s="59" t="str">
        <f ca="1">IFERROR(IF(INDEX(INDIRECT("'"&amp;$B$2&amp;"月"&amp;"'!A:AZ"),34,39+3)="","",INDEX(INDIRECT("'"&amp;$B$2&amp;"月"&amp;"'!A:AZ"),34,39+3)),"")</f>
        <v/>
      </c>
      <c r="G320" s="57" t="str">
        <f ca="1">IFERROR(IF(INDEX(INDIRECT("'"&amp;$B$2&amp;"月"&amp;"'!A:AZ"),34,39+4)="","",INDEX(INDIRECT("'"&amp;$B$2&amp;"月"&amp;"'!A:AZ"),34,39+4)),"")</f>
        <v/>
      </c>
      <c r="H320" s="57"/>
    </row>
    <row r="321" spans="1:8" ht="21.75" customHeight="1">
      <c r="A321" s="111" t="s">
        <v>144</v>
      </c>
      <c r="B321" s="111"/>
      <c r="C321" s="61" t="s">
        <v>113</v>
      </c>
      <c r="D321" s="62">
        <f ca="1">IFERROR(INDEX(INDIRECT("'"&amp;$B$2&amp;"月"&amp;"'!A:AZ"),35,39),0)</f>
        <v>10</v>
      </c>
      <c r="E321" s="63" t="s">
        <v>114</v>
      </c>
      <c r="F321" s="64">
        <f ca="1">IFERROR(INDEX(INDIRECT("'"&amp;$B$2&amp;"月"&amp;"'!A:AZ"),36,39),0)</f>
        <v>0</v>
      </c>
      <c r="G321" s="61" t="s">
        <v>115</v>
      </c>
      <c r="H321" s="62">
        <f ca="1">IFERROR(INDEX(INDIRECT("'"&amp;$B$2&amp;"月"&amp;"'!A:AZ"),38,39),0)</f>
        <v>0</v>
      </c>
    </row>
    <row r="322" spans="1:8" ht="24" customHeight="1">
      <c r="A322" s="112"/>
      <c r="B322" s="112"/>
      <c r="C322" s="65" t="s">
        <v>122</v>
      </c>
      <c r="D322" s="66">
        <f ca="1">IFERROR(INDEX(INDIRECT("'"&amp;$B$2&amp;"月"&amp;"'!A:AZ"),37,39),0)</f>
        <v>10</v>
      </c>
      <c r="E322" s="67" t="s">
        <v>105</v>
      </c>
      <c r="F322" s="68">
        <f ca="1">IFERROR(INDEX(INDIRECT("'"&amp;$B$2&amp;"月"&amp;"'!A:AZ"),39,39),0)</f>
        <v>1</v>
      </c>
      <c r="G322" s="69" t="s">
        <v>106</v>
      </c>
      <c r="H322" s="70">
        <f ca="1">IFERROR(INDEX(INDIRECT("'"&amp;$B$2&amp;"月"&amp;"'!A:AZ"),40,39),0)</f>
        <v>0</v>
      </c>
    </row>
    <row r="324" spans="1:8" ht="27.75" customHeight="1">
      <c r="A324" s="90" t="s">
        <v>133</v>
      </c>
      <c r="B324" s="90"/>
      <c r="C324" s="90"/>
      <c r="D324" s="90"/>
      <c r="E324" s="90"/>
      <c r="F324" s="90"/>
      <c r="G324" s="90"/>
      <c r="H324" s="90"/>
    </row>
    <row r="325" spans="1:8" ht="18" customHeight="1">
      <c r="A325" s="113" t="s">
        <v>134</v>
      </c>
      <c r="B325" s="113"/>
      <c r="C325" s="113"/>
      <c r="D325" s="113"/>
      <c r="E325" s="113"/>
      <c r="F325" s="113"/>
      <c r="G325" s="113"/>
      <c r="H325" s="113"/>
    </row>
    <row r="326" spans="1:8" ht="27.75" customHeight="1">
      <c r="A326" s="49" t="s">
        <v>135</v>
      </c>
      <c r="B326" s="114" t="str">
        <f>対象年度&amp;"年 "&amp;$B$2&amp;"月"</f>
        <v>2026年 1月</v>
      </c>
      <c r="C326" s="114"/>
      <c r="D326" s="49" t="s">
        <v>136</v>
      </c>
      <c r="E326" s="115" t="str">
        <f>IFERROR(従業員マスタ!$C$12,"")</f>
        <v>渡辺 七郎</v>
      </c>
      <c r="F326" s="115"/>
      <c r="G326" s="115"/>
      <c r="H326" s="115"/>
    </row>
    <row r="327" spans="1:8" ht="19.5" customHeight="1">
      <c r="A327" s="73" t="s">
        <v>147</v>
      </c>
      <c r="B327" s="53" t="s">
        <v>148</v>
      </c>
      <c r="C327" s="119" t="s">
        <v>141</v>
      </c>
      <c r="D327" s="119"/>
      <c r="E327" s="119" t="s">
        <v>142</v>
      </c>
      <c r="F327" s="119"/>
      <c r="G327" s="116" t="s">
        <v>143</v>
      </c>
      <c r="H327" s="116"/>
    </row>
    <row r="328" spans="1:8" ht="43.5" customHeight="1">
      <c r="A328" s="74"/>
      <c r="B328" s="54"/>
      <c r="C328" s="110"/>
      <c r="D328" s="110"/>
      <c r="E328" s="110"/>
      <c r="F328" s="110"/>
      <c r="G328" s="110"/>
      <c r="H328" s="110"/>
    </row>
    <row r="329" spans="1:8" ht="19.5" customHeight="1">
      <c r="A329" s="55" t="s">
        <v>108</v>
      </c>
      <c r="B329" s="55" t="s">
        <v>109</v>
      </c>
      <c r="C329" s="55" t="s">
        <v>111</v>
      </c>
      <c r="D329" s="56" t="s">
        <v>112</v>
      </c>
      <c r="E329" s="55" t="s">
        <v>113</v>
      </c>
      <c r="F329" s="55" t="s">
        <v>114</v>
      </c>
      <c r="G329" s="55" t="s">
        <v>115</v>
      </c>
      <c r="H329" s="55" t="s">
        <v>75</v>
      </c>
    </row>
    <row r="330" spans="1:8" ht="13.5" customHeight="1">
      <c r="A330" s="57">
        <f>IF(DAY(DATE(対象年度,$B$2,1))&lt;&gt;1,"",1)</f>
        <v>1</v>
      </c>
      <c r="B330" s="57" t="str">
        <f>IF(DAY(DATE(対象年度,$B$2,1))&lt;&gt;1,"",CHOOSE(WEEKDAY(DATE(対象年度,$B$2,1),2),"月","火","水","木","金","土","日"))</f>
        <v>木</v>
      </c>
      <c r="C330" s="57" t="str">
        <f ca="1">IFERROR(IF(INDEX(INDIRECT("'"&amp;$B$2&amp;"月"&amp;"'!A:AZ"),4,44+0)="","",INDEX(INDIRECT("'"&amp;$B$2&amp;"月"&amp;"'!A:AZ"),4,44+0)),"")</f>
        <v/>
      </c>
      <c r="D330" s="58" t="str">
        <f ca="1">IFERROR(IF(INDEX(INDIRECT("'"&amp;$B$2&amp;"月"&amp;"'!A:AZ"),4,44+1)="","",INDEX(INDIRECT("'"&amp;$B$2&amp;"月"&amp;"'!A:AZ"),4,44+1)),"")</f>
        <v/>
      </c>
      <c r="E330" s="57" t="str">
        <f ca="1">IFERROR(IF(INDEX(INDIRECT("'"&amp;$B$2&amp;"月"&amp;"'!A:AZ"),4,44+2)="","",INDEX(INDIRECT("'"&amp;$B$2&amp;"月"&amp;"'!A:AZ"),4,44+2)),"")</f>
        <v/>
      </c>
      <c r="F330" s="59" t="str">
        <f ca="1">IFERROR(IF(INDEX(INDIRECT("'"&amp;$B$2&amp;"月"&amp;"'!A:AZ"),4,44+3)="","",INDEX(INDIRECT("'"&amp;$B$2&amp;"月"&amp;"'!A:AZ"),4,44+3)),"")</f>
        <v/>
      </c>
      <c r="G330" s="57" t="str">
        <f ca="1">IFERROR(IF(INDEX(INDIRECT("'"&amp;$B$2&amp;"月"&amp;"'!A:AZ"),4,44+4)="","",INDEX(INDIRECT("'"&amp;$B$2&amp;"月"&amp;"'!A:AZ"),4,44+4)),"")</f>
        <v/>
      </c>
      <c r="H330" s="57"/>
    </row>
    <row r="331" spans="1:8" ht="13.5" customHeight="1">
      <c r="A331" s="57">
        <f>IF(DAY(DATE(対象年度,$B$2,2))&lt;&gt;2,"",2)</f>
        <v>2</v>
      </c>
      <c r="B331" s="57" t="str">
        <f>IF(DAY(DATE(対象年度,$B$2,2))&lt;&gt;2,"",CHOOSE(WEEKDAY(DATE(対象年度,$B$2,2),2),"月","火","水","木","金","土","日"))</f>
        <v>金</v>
      </c>
      <c r="C331" s="57" t="str">
        <f ca="1">IFERROR(IF(INDEX(INDIRECT("'"&amp;$B$2&amp;"月"&amp;"'!A:AZ"),5,44+0)="","",INDEX(INDIRECT("'"&amp;$B$2&amp;"月"&amp;"'!A:AZ"),5,44+0)),"")</f>
        <v/>
      </c>
      <c r="D331" s="58" t="str">
        <f ca="1">IFERROR(IF(INDEX(INDIRECT("'"&amp;$B$2&amp;"月"&amp;"'!A:AZ"),5,44+1)="","",INDEX(INDIRECT("'"&amp;$B$2&amp;"月"&amp;"'!A:AZ"),5,44+1)),"")</f>
        <v/>
      </c>
      <c r="E331" s="57" t="str">
        <f ca="1">IFERROR(IF(INDEX(INDIRECT("'"&amp;$B$2&amp;"月"&amp;"'!A:AZ"),5,44+2)="","",INDEX(INDIRECT("'"&amp;$B$2&amp;"月"&amp;"'!A:AZ"),5,44+2)),"")</f>
        <v/>
      </c>
      <c r="F331" s="59" t="str">
        <f ca="1">IFERROR(IF(INDEX(INDIRECT("'"&amp;$B$2&amp;"月"&amp;"'!A:AZ"),5,44+3)="","",INDEX(INDIRECT("'"&amp;$B$2&amp;"月"&amp;"'!A:AZ"),5,44+3)),"")</f>
        <v/>
      </c>
      <c r="G331" s="57" t="str">
        <f ca="1">IFERROR(IF(INDEX(INDIRECT("'"&amp;$B$2&amp;"月"&amp;"'!A:AZ"),5,44+4)="","",INDEX(INDIRECT("'"&amp;$B$2&amp;"月"&amp;"'!A:AZ"),5,44+4)),"")</f>
        <v/>
      </c>
      <c r="H331" s="57"/>
    </row>
    <row r="332" spans="1:8" ht="13.5" customHeight="1">
      <c r="A332" s="57">
        <f>IF(DAY(DATE(対象年度,$B$2,3))&lt;&gt;3,"",3)</f>
        <v>3</v>
      </c>
      <c r="B332" s="57" t="str">
        <f>IF(DAY(DATE(対象年度,$B$2,3))&lt;&gt;3,"",CHOOSE(WEEKDAY(DATE(対象年度,$B$2,3),2),"月","火","水","木","金","土","日"))</f>
        <v>土</v>
      </c>
      <c r="C332" s="57" t="str">
        <f ca="1">IFERROR(IF(INDEX(INDIRECT("'"&amp;$B$2&amp;"月"&amp;"'!A:AZ"),6,44+0)="","",INDEX(INDIRECT("'"&amp;$B$2&amp;"月"&amp;"'!A:AZ"),6,44+0)),"")</f>
        <v/>
      </c>
      <c r="D332" s="58" t="str">
        <f ca="1">IFERROR(IF(INDEX(INDIRECT("'"&amp;$B$2&amp;"月"&amp;"'!A:AZ"),6,44+1)="","",INDEX(INDIRECT("'"&amp;$B$2&amp;"月"&amp;"'!A:AZ"),6,44+1)),"")</f>
        <v/>
      </c>
      <c r="E332" s="57" t="str">
        <f ca="1">IFERROR(IF(INDEX(INDIRECT("'"&amp;$B$2&amp;"月"&amp;"'!A:AZ"),6,44+2)="","",INDEX(INDIRECT("'"&amp;$B$2&amp;"月"&amp;"'!A:AZ"),6,44+2)),"")</f>
        <v/>
      </c>
      <c r="F332" s="59" t="str">
        <f ca="1">IFERROR(IF(INDEX(INDIRECT("'"&amp;$B$2&amp;"月"&amp;"'!A:AZ"),6,44+3)="","",INDEX(INDIRECT("'"&amp;$B$2&amp;"月"&amp;"'!A:AZ"),6,44+3)),"")</f>
        <v/>
      </c>
      <c r="G332" s="57" t="str">
        <f ca="1">IFERROR(IF(INDEX(INDIRECT("'"&amp;$B$2&amp;"月"&amp;"'!A:AZ"),6,44+4)="","",INDEX(INDIRECT("'"&amp;$B$2&amp;"月"&amp;"'!A:AZ"),6,44+4)),"")</f>
        <v/>
      </c>
      <c r="H332" s="57"/>
    </row>
    <row r="333" spans="1:8" ht="13.5" customHeight="1">
      <c r="A333" s="57">
        <f>IF(DAY(DATE(対象年度,$B$2,4))&lt;&gt;4,"",4)</f>
        <v>4</v>
      </c>
      <c r="B333" s="57" t="str">
        <f>IF(DAY(DATE(対象年度,$B$2,4))&lt;&gt;4,"",CHOOSE(WEEKDAY(DATE(対象年度,$B$2,4),2),"月","火","水","木","金","土","日"))</f>
        <v>日</v>
      </c>
      <c r="C333" s="57" t="str">
        <f ca="1">IFERROR(IF(INDEX(INDIRECT("'"&amp;$B$2&amp;"月"&amp;"'!A:AZ"),7,44+0)="","",INDEX(INDIRECT("'"&amp;$B$2&amp;"月"&amp;"'!A:AZ"),7,44+0)),"")</f>
        <v/>
      </c>
      <c r="D333" s="58" t="str">
        <f ca="1">IFERROR(IF(INDEX(INDIRECT("'"&amp;$B$2&amp;"月"&amp;"'!A:AZ"),7,44+1)="","",INDEX(INDIRECT("'"&amp;$B$2&amp;"月"&amp;"'!A:AZ"),7,44+1)),"")</f>
        <v/>
      </c>
      <c r="E333" s="57" t="str">
        <f ca="1">IFERROR(IF(INDEX(INDIRECT("'"&amp;$B$2&amp;"月"&amp;"'!A:AZ"),7,44+2)="","",INDEX(INDIRECT("'"&amp;$B$2&amp;"月"&amp;"'!A:AZ"),7,44+2)),"")</f>
        <v/>
      </c>
      <c r="F333" s="59" t="str">
        <f ca="1">IFERROR(IF(INDEX(INDIRECT("'"&amp;$B$2&amp;"月"&amp;"'!A:AZ"),7,44+3)="","",INDEX(INDIRECT("'"&amp;$B$2&amp;"月"&amp;"'!A:AZ"),7,44+3)),"")</f>
        <v/>
      </c>
      <c r="G333" s="57" t="str">
        <f ca="1">IFERROR(IF(INDEX(INDIRECT("'"&amp;$B$2&amp;"月"&amp;"'!A:AZ"),7,44+4)="","",INDEX(INDIRECT("'"&amp;$B$2&amp;"月"&amp;"'!A:AZ"),7,44+4)),"")</f>
        <v/>
      </c>
      <c r="H333" s="57"/>
    </row>
    <row r="334" spans="1:8" ht="13.5" customHeight="1">
      <c r="A334" s="57">
        <f>IF(DAY(DATE(対象年度,$B$2,5))&lt;&gt;5,"",5)</f>
        <v>5</v>
      </c>
      <c r="B334" s="57" t="str">
        <f>IF(DAY(DATE(対象年度,$B$2,5))&lt;&gt;5,"",CHOOSE(WEEKDAY(DATE(対象年度,$B$2,5),2),"月","火","水","木","金","土","日"))</f>
        <v>月</v>
      </c>
      <c r="C334" s="57" t="str">
        <f ca="1">IFERROR(IF(INDEX(INDIRECT("'"&amp;$B$2&amp;"月"&amp;"'!A:AZ"),8,44+0)="","",INDEX(INDIRECT("'"&amp;$B$2&amp;"月"&amp;"'!A:AZ"),8,44+0)),"")</f>
        <v/>
      </c>
      <c r="D334" s="58" t="str">
        <f ca="1">IFERROR(IF(INDEX(INDIRECT("'"&amp;$B$2&amp;"月"&amp;"'!A:AZ"),8,44+1)="","",INDEX(INDIRECT("'"&amp;$B$2&amp;"月"&amp;"'!A:AZ"),8,44+1)),"")</f>
        <v/>
      </c>
      <c r="E334" s="57" t="str">
        <f ca="1">IFERROR(IF(INDEX(INDIRECT("'"&amp;$B$2&amp;"月"&amp;"'!A:AZ"),8,44+2)="","",INDEX(INDIRECT("'"&amp;$B$2&amp;"月"&amp;"'!A:AZ"),8,44+2)),"")</f>
        <v/>
      </c>
      <c r="F334" s="59" t="str">
        <f ca="1">IFERROR(IF(INDEX(INDIRECT("'"&amp;$B$2&amp;"月"&amp;"'!A:AZ"),8,44+3)="","",INDEX(INDIRECT("'"&amp;$B$2&amp;"月"&amp;"'!A:AZ"),8,44+3)),"")</f>
        <v/>
      </c>
      <c r="G334" s="57" t="str">
        <f ca="1">IFERROR(IF(INDEX(INDIRECT("'"&amp;$B$2&amp;"月"&amp;"'!A:AZ"),8,44+4)="","",INDEX(INDIRECT("'"&amp;$B$2&amp;"月"&amp;"'!A:AZ"),8,44+4)),"")</f>
        <v/>
      </c>
      <c r="H334" s="57"/>
    </row>
    <row r="335" spans="1:8" ht="13.5" customHeight="1">
      <c r="A335" s="57">
        <f>IF(DAY(DATE(対象年度,$B$2,6))&lt;&gt;6,"",6)</f>
        <v>6</v>
      </c>
      <c r="B335" s="57" t="str">
        <f>IF(DAY(DATE(対象年度,$B$2,6))&lt;&gt;6,"",CHOOSE(WEEKDAY(DATE(対象年度,$B$2,6),2),"月","火","水","木","金","土","日"))</f>
        <v>火</v>
      </c>
      <c r="C335" s="57" t="str">
        <f ca="1">IFERROR(IF(INDEX(INDIRECT("'"&amp;$B$2&amp;"月"&amp;"'!A:AZ"),9,44+0)="","",INDEX(INDIRECT("'"&amp;$B$2&amp;"月"&amp;"'!A:AZ"),9,44+0)),"")</f>
        <v/>
      </c>
      <c r="D335" s="58" t="str">
        <f ca="1">IFERROR(IF(INDEX(INDIRECT("'"&amp;$B$2&amp;"月"&amp;"'!A:AZ"),9,44+1)="","",INDEX(INDIRECT("'"&amp;$B$2&amp;"月"&amp;"'!A:AZ"),9,44+1)),"")</f>
        <v/>
      </c>
      <c r="E335" s="57" t="str">
        <f ca="1">IFERROR(IF(INDEX(INDIRECT("'"&amp;$B$2&amp;"月"&amp;"'!A:AZ"),9,44+2)="","",INDEX(INDIRECT("'"&amp;$B$2&amp;"月"&amp;"'!A:AZ"),9,44+2)),"")</f>
        <v/>
      </c>
      <c r="F335" s="59" t="str">
        <f ca="1">IFERROR(IF(INDEX(INDIRECT("'"&amp;$B$2&amp;"月"&amp;"'!A:AZ"),9,44+3)="","",INDEX(INDIRECT("'"&amp;$B$2&amp;"月"&amp;"'!A:AZ"),9,44+3)),"")</f>
        <v/>
      </c>
      <c r="G335" s="57" t="str">
        <f ca="1">IFERROR(IF(INDEX(INDIRECT("'"&amp;$B$2&amp;"月"&amp;"'!A:AZ"),9,44+4)="","",INDEX(INDIRECT("'"&amp;$B$2&amp;"月"&amp;"'!A:AZ"),9,44+4)),"")</f>
        <v/>
      </c>
      <c r="H335" s="57"/>
    </row>
    <row r="336" spans="1:8" ht="13.5" customHeight="1">
      <c r="A336" s="57">
        <f>IF(DAY(DATE(対象年度,$B$2,7))&lt;&gt;7,"",7)</f>
        <v>7</v>
      </c>
      <c r="B336" s="57" t="str">
        <f>IF(DAY(DATE(対象年度,$B$2,7))&lt;&gt;7,"",CHOOSE(WEEKDAY(DATE(対象年度,$B$2,7),2),"月","火","水","木","金","土","日"))</f>
        <v>水</v>
      </c>
      <c r="C336" s="57" t="str">
        <f ca="1">IFERROR(IF(INDEX(INDIRECT("'"&amp;$B$2&amp;"月"&amp;"'!A:AZ"),10,44+0)="","",INDEX(INDIRECT("'"&amp;$B$2&amp;"月"&amp;"'!A:AZ"),10,44+0)),"")</f>
        <v/>
      </c>
      <c r="D336" s="58" t="str">
        <f ca="1">IFERROR(IF(INDEX(INDIRECT("'"&amp;$B$2&amp;"月"&amp;"'!A:AZ"),10,44+1)="","",INDEX(INDIRECT("'"&amp;$B$2&amp;"月"&amp;"'!A:AZ"),10,44+1)),"")</f>
        <v/>
      </c>
      <c r="E336" s="57" t="str">
        <f ca="1">IFERROR(IF(INDEX(INDIRECT("'"&amp;$B$2&amp;"月"&amp;"'!A:AZ"),10,44+2)="","",INDEX(INDIRECT("'"&amp;$B$2&amp;"月"&amp;"'!A:AZ"),10,44+2)),"")</f>
        <v/>
      </c>
      <c r="F336" s="59" t="str">
        <f ca="1">IFERROR(IF(INDEX(INDIRECT("'"&amp;$B$2&amp;"月"&amp;"'!A:AZ"),10,44+3)="","",INDEX(INDIRECT("'"&amp;$B$2&amp;"月"&amp;"'!A:AZ"),10,44+3)),"")</f>
        <v/>
      </c>
      <c r="G336" s="57" t="str">
        <f ca="1">IFERROR(IF(INDEX(INDIRECT("'"&amp;$B$2&amp;"月"&amp;"'!A:AZ"),10,44+4)="","",INDEX(INDIRECT("'"&amp;$B$2&amp;"月"&amp;"'!A:AZ"),10,44+4)),"")</f>
        <v/>
      </c>
      <c r="H336" s="57"/>
    </row>
    <row r="337" spans="1:8" ht="13.5" customHeight="1">
      <c r="A337" s="57">
        <f>IF(DAY(DATE(対象年度,$B$2,8))&lt;&gt;8,"",8)</f>
        <v>8</v>
      </c>
      <c r="B337" s="57" t="str">
        <f>IF(DAY(DATE(対象年度,$B$2,8))&lt;&gt;8,"",CHOOSE(WEEKDAY(DATE(対象年度,$B$2,8),2),"月","火","水","木","金","土","日"))</f>
        <v>木</v>
      </c>
      <c r="C337" s="57" t="str">
        <f ca="1">IFERROR(IF(INDEX(INDIRECT("'"&amp;$B$2&amp;"月"&amp;"'!A:AZ"),11,44+0)="","",INDEX(INDIRECT("'"&amp;$B$2&amp;"月"&amp;"'!A:AZ"),11,44+0)),"")</f>
        <v/>
      </c>
      <c r="D337" s="58" t="str">
        <f ca="1">IFERROR(IF(INDEX(INDIRECT("'"&amp;$B$2&amp;"月"&amp;"'!A:AZ"),11,44+1)="","",INDEX(INDIRECT("'"&amp;$B$2&amp;"月"&amp;"'!A:AZ"),11,44+1)),"")</f>
        <v/>
      </c>
      <c r="E337" s="57" t="str">
        <f ca="1">IFERROR(IF(INDEX(INDIRECT("'"&amp;$B$2&amp;"月"&amp;"'!A:AZ"),11,44+2)="","",INDEX(INDIRECT("'"&amp;$B$2&amp;"月"&amp;"'!A:AZ"),11,44+2)),"")</f>
        <v/>
      </c>
      <c r="F337" s="59" t="str">
        <f ca="1">IFERROR(IF(INDEX(INDIRECT("'"&amp;$B$2&amp;"月"&amp;"'!A:AZ"),11,44+3)="","",INDEX(INDIRECT("'"&amp;$B$2&amp;"月"&amp;"'!A:AZ"),11,44+3)),"")</f>
        <v/>
      </c>
      <c r="G337" s="57" t="str">
        <f ca="1">IFERROR(IF(INDEX(INDIRECT("'"&amp;$B$2&amp;"月"&amp;"'!A:AZ"),11,44+4)="","",INDEX(INDIRECT("'"&amp;$B$2&amp;"月"&amp;"'!A:AZ"),11,44+4)),"")</f>
        <v/>
      </c>
      <c r="H337" s="57"/>
    </row>
    <row r="338" spans="1:8" ht="13.5" customHeight="1">
      <c r="A338" s="57">
        <f>IF(DAY(DATE(対象年度,$B$2,9))&lt;&gt;9,"",9)</f>
        <v>9</v>
      </c>
      <c r="B338" s="57" t="str">
        <f>IF(DAY(DATE(対象年度,$B$2,9))&lt;&gt;9,"",CHOOSE(WEEKDAY(DATE(対象年度,$B$2,9),2),"月","火","水","木","金","土","日"))</f>
        <v>金</v>
      </c>
      <c r="C338" s="57" t="str">
        <f ca="1">IFERROR(IF(INDEX(INDIRECT("'"&amp;$B$2&amp;"月"&amp;"'!A:AZ"),12,44+0)="","",INDEX(INDIRECT("'"&amp;$B$2&amp;"月"&amp;"'!A:AZ"),12,44+0)),"")</f>
        <v/>
      </c>
      <c r="D338" s="58" t="str">
        <f ca="1">IFERROR(IF(INDEX(INDIRECT("'"&amp;$B$2&amp;"月"&amp;"'!A:AZ"),12,44+1)="","",INDEX(INDIRECT("'"&amp;$B$2&amp;"月"&amp;"'!A:AZ"),12,44+1)),"")</f>
        <v/>
      </c>
      <c r="E338" s="57" t="str">
        <f ca="1">IFERROR(IF(INDEX(INDIRECT("'"&amp;$B$2&amp;"月"&amp;"'!A:AZ"),12,44+2)="","",INDEX(INDIRECT("'"&amp;$B$2&amp;"月"&amp;"'!A:AZ"),12,44+2)),"")</f>
        <v/>
      </c>
      <c r="F338" s="59" t="str">
        <f ca="1">IFERROR(IF(INDEX(INDIRECT("'"&amp;$B$2&amp;"月"&amp;"'!A:AZ"),12,44+3)="","",INDEX(INDIRECT("'"&amp;$B$2&amp;"月"&amp;"'!A:AZ"),12,44+3)),"")</f>
        <v/>
      </c>
      <c r="G338" s="57" t="str">
        <f ca="1">IFERROR(IF(INDEX(INDIRECT("'"&amp;$B$2&amp;"月"&amp;"'!A:AZ"),12,44+4)="","",INDEX(INDIRECT("'"&amp;$B$2&amp;"月"&amp;"'!A:AZ"),12,44+4)),"")</f>
        <v/>
      </c>
      <c r="H338" s="57"/>
    </row>
    <row r="339" spans="1:8" ht="13.5" customHeight="1">
      <c r="A339" s="57">
        <f>IF(DAY(DATE(対象年度,$B$2,10))&lt;&gt;10,"",10)</f>
        <v>10</v>
      </c>
      <c r="B339" s="57" t="str">
        <f>IF(DAY(DATE(対象年度,$B$2,10))&lt;&gt;10,"",CHOOSE(WEEKDAY(DATE(対象年度,$B$2,10),2),"月","火","水","木","金","土","日"))</f>
        <v>土</v>
      </c>
      <c r="C339" s="57" t="str">
        <f ca="1">IFERROR(IF(INDEX(INDIRECT("'"&amp;$B$2&amp;"月"&amp;"'!A:AZ"),13,44+0)="","",INDEX(INDIRECT("'"&amp;$B$2&amp;"月"&amp;"'!A:AZ"),13,44+0)),"")</f>
        <v/>
      </c>
      <c r="D339" s="58" t="str">
        <f ca="1">IFERROR(IF(INDEX(INDIRECT("'"&amp;$B$2&amp;"月"&amp;"'!A:AZ"),13,44+1)="","",INDEX(INDIRECT("'"&amp;$B$2&amp;"月"&amp;"'!A:AZ"),13,44+1)),"")</f>
        <v/>
      </c>
      <c r="E339" s="57" t="str">
        <f ca="1">IFERROR(IF(INDEX(INDIRECT("'"&amp;$B$2&amp;"月"&amp;"'!A:AZ"),13,44+2)="","",INDEX(INDIRECT("'"&amp;$B$2&amp;"月"&amp;"'!A:AZ"),13,44+2)),"")</f>
        <v/>
      </c>
      <c r="F339" s="59" t="str">
        <f ca="1">IFERROR(IF(INDEX(INDIRECT("'"&amp;$B$2&amp;"月"&amp;"'!A:AZ"),13,44+3)="","",INDEX(INDIRECT("'"&amp;$B$2&amp;"月"&amp;"'!A:AZ"),13,44+3)),"")</f>
        <v/>
      </c>
      <c r="G339" s="57" t="str">
        <f ca="1">IFERROR(IF(INDEX(INDIRECT("'"&amp;$B$2&amp;"月"&amp;"'!A:AZ"),13,44+4)="","",INDEX(INDIRECT("'"&amp;$B$2&amp;"月"&amp;"'!A:AZ"),13,44+4)),"")</f>
        <v/>
      </c>
      <c r="H339" s="57"/>
    </row>
    <row r="340" spans="1:8" ht="13.5" customHeight="1">
      <c r="A340" s="57">
        <f>IF(DAY(DATE(対象年度,$B$2,11))&lt;&gt;11,"",11)</f>
        <v>11</v>
      </c>
      <c r="B340" s="57" t="str">
        <f>IF(DAY(DATE(対象年度,$B$2,11))&lt;&gt;11,"",CHOOSE(WEEKDAY(DATE(対象年度,$B$2,11),2),"月","火","水","木","金","土","日"))</f>
        <v>日</v>
      </c>
      <c r="C340" s="57" t="str">
        <f ca="1">IFERROR(IF(INDEX(INDIRECT("'"&amp;$B$2&amp;"月"&amp;"'!A:AZ"),14,44+0)="","",INDEX(INDIRECT("'"&amp;$B$2&amp;"月"&amp;"'!A:AZ"),14,44+0)),"")</f>
        <v/>
      </c>
      <c r="D340" s="58" t="str">
        <f ca="1">IFERROR(IF(INDEX(INDIRECT("'"&amp;$B$2&amp;"月"&amp;"'!A:AZ"),14,44+1)="","",INDEX(INDIRECT("'"&amp;$B$2&amp;"月"&amp;"'!A:AZ"),14,44+1)),"")</f>
        <v/>
      </c>
      <c r="E340" s="57" t="str">
        <f ca="1">IFERROR(IF(INDEX(INDIRECT("'"&amp;$B$2&amp;"月"&amp;"'!A:AZ"),14,44+2)="","",INDEX(INDIRECT("'"&amp;$B$2&amp;"月"&amp;"'!A:AZ"),14,44+2)),"")</f>
        <v/>
      </c>
      <c r="F340" s="59" t="str">
        <f ca="1">IFERROR(IF(INDEX(INDIRECT("'"&amp;$B$2&amp;"月"&amp;"'!A:AZ"),14,44+3)="","",INDEX(INDIRECT("'"&amp;$B$2&amp;"月"&amp;"'!A:AZ"),14,44+3)),"")</f>
        <v/>
      </c>
      <c r="G340" s="57" t="str">
        <f ca="1">IFERROR(IF(INDEX(INDIRECT("'"&amp;$B$2&amp;"月"&amp;"'!A:AZ"),14,44+4)="","",INDEX(INDIRECT("'"&amp;$B$2&amp;"月"&amp;"'!A:AZ"),14,44+4)),"")</f>
        <v/>
      </c>
      <c r="H340" s="57"/>
    </row>
    <row r="341" spans="1:8" ht="13.5" customHeight="1">
      <c r="A341" s="57">
        <f>IF(DAY(DATE(対象年度,$B$2,12))&lt;&gt;12,"",12)</f>
        <v>12</v>
      </c>
      <c r="B341" s="57" t="str">
        <f>IF(DAY(DATE(対象年度,$B$2,12))&lt;&gt;12,"",CHOOSE(WEEKDAY(DATE(対象年度,$B$2,12),2),"月","火","水","木","金","土","日"))</f>
        <v>月</v>
      </c>
      <c r="C341" s="57" t="str">
        <f ca="1">IFERROR(IF(INDEX(INDIRECT("'"&amp;$B$2&amp;"月"&amp;"'!A:AZ"),15,44+0)="","",INDEX(INDIRECT("'"&amp;$B$2&amp;"月"&amp;"'!A:AZ"),15,44+0)),"")</f>
        <v/>
      </c>
      <c r="D341" s="58" t="str">
        <f ca="1">IFERROR(IF(INDEX(INDIRECT("'"&amp;$B$2&amp;"月"&amp;"'!A:AZ"),15,44+1)="","",INDEX(INDIRECT("'"&amp;$B$2&amp;"月"&amp;"'!A:AZ"),15,44+1)),"")</f>
        <v/>
      </c>
      <c r="E341" s="57" t="str">
        <f ca="1">IFERROR(IF(INDEX(INDIRECT("'"&amp;$B$2&amp;"月"&amp;"'!A:AZ"),15,44+2)="","",INDEX(INDIRECT("'"&amp;$B$2&amp;"月"&amp;"'!A:AZ"),15,44+2)),"")</f>
        <v/>
      </c>
      <c r="F341" s="59" t="str">
        <f ca="1">IFERROR(IF(INDEX(INDIRECT("'"&amp;$B$2&amp;"月"&amp;"'!A:AZ"),15,44+3)="","",INDEX(INDIRECT("'"&amp;$B$2&amp;"月"&amp;"'!A:AZ"),15,44+3)),"")</f>
        <v/>
      </c>
      <c r="G341" s="57" t="str">
        <f ca="1">IFERROR(IF(INDEX(INDIRECT("'"&amp;$B$2&amp;"月"&amp;"'!A:AZ"),15,44+4)="","",INDEX(INDIRECT("'"&amp;$B$2&amp;"月"&amp;"'!A:AZ"),15,44+4)),"")</f>
        <v/>
      </c>
      <c r="H341" s="57"/>
    </row>
    <row r="342" spans="1:8" ht="13.5" customHeight="1">
      <c r="A342" s="57">
        <f>IF(DAY(DATE(対象年度,$B$2,13))&lt;&gt;13,"",13)</f>
        <v>13</v>
      </c>
      <c r="B342" s="57" t="str">
        <f>IF(DAY(DATE(対象年度,$B$2,13))&lt;&gt;13,"",CHOOSE(WEEKDAY(DATE(対象年度,$B$2,13),2),"月","火","水","木","金","土","日"))</f>
        <v>火</v>
      </c>
      <c r="C342" s="57" t="str">
        <f ca="1">IFERROR(IF(INDEX(INDIRECT("'"&amp;$B$2&amp;"月"&amp;"'!A:AZ"),16,44+0)="","",INDEX(INDIRECT("'"&amp;$B$2&amp;"月"&amp;"'!A:AZ"),16,44+0)),"")</f>
        <v/>
      </c>
      <c r="D342" s="58" t="str">
        <f ca="1">IFERROR(IF(INDEX(INDIRECT("'"&amp;$B$2&amp;"月"&amp;"'!A:AZ"),16,44+1)="","",INDEX(INDIRECT("'"&amp;$B$2&amp;"月"&amp;"'!A:AZ"),16,44+1)),"")</f>
        <v/>
      </c>
      <c r="E342" s="57" t="str">
        <f ca="1">IFERROR(IF(INDEX(INDIRECT("'"&amp;$B$2&amp;"月"&amp;"'!A:AZ"),16,44+2)="","",INDEX(INDIRECT("'"&amp;$B$2&amp;"月"&amp;"'!A:AZ"),16,44+2)),"")</f>
        <v/>
      </c>
      <c r="F342" s="59" t="str">
        <f ca="1">IFERROR(IF(INDEX(INDIRECT("'"&amp;$B$2&amp;"月"&amp;"'!A:AZ"),16,44+3)="","",INDEX(INDIRECT("'"&amp;$B$2&amp;"月"&amp;"'!A:AZ"),16,44+3)),"")</f>
        <v/>
      </c>
      <c r="G342" s="57" t="str">
        <f ca="1">IFERROR(IF(INDEX(INDIRECT("'"&amp;$B$2&amp;"月"&amp;"'!A:AZ"),16,44+4)="","",INDEX(INDIRECT("'"&amp;$B$2&amp;"月"&amp;"'!A:AZ"),16,44+4)),"")</f>
        <v/>
      </c>
      <c r="H342" s="57"/>
    </row>
    <row r="343" spans="1:8" ht="13.5" customHeight="1">
      <c r="A343" s="57">
        <f>IF(DAY(DATE(対象年度,$B$2,14))&lt;&gt;14,"",14)</f>
        <v>14</v>
      </c>
      <c r="B343" s="57" t="str">
        <f>IF(DAY(DATE(対象年度,$B$2,14))&lt;&gt;14,"",CHOOSE(WEEKDAY(DATE(対象年度,$B$2,14),2),"月","火","水","木","金","土","日"))</f>
        <v>水</v>
      </c>
      <c r="C343" s="57" t="str">
        <f ca="1">IFERROR(IF(INDEX(INDIRECT("'"&amp;$B$2&amp;"月"&amp;"'!A:AZ"),17,44+0)="","",INDEX(INDIRECT("'"&amp;$B$2&amp;"月"&amp;"'!A:AZ"),17,44+0)),"")</f>
        <v/>
      </c>
      <c r="D343" s="58" t="str">
        <f ca="1">IFERROR(IF(INDEX(INDIRECT("'"&amp;$B$2&amp;"月"&amp;"'!A:AZ"),17,44+1)="","",INDEX(INDIRECT("'"&amp;$B$2&amp;"月"&amp;"'!A:AZ"),17,44+1)),"")</f>
        <v/>
      </c>
      <c r="E343" s="57" t="str">
        <f ca="1">IFERROR(IF(INDEX(INDIRECT("'"&amp;$B$2&amp;"月"&amp;"'!A:AZ"),17,44+2)="","",INDEX(INDIRECT("'"&amp;$B$2&amp;"月"&amp;"'!A:AZ"),17,44+2)),"")</f>
        <v/>
      </c>
      <c r="F343" s="59" t="str">
        <f ca="1">IFERROR(IF(INDEX(INDIRECT("'"&amp;$B$2&amp;"月"&amp;"'!A:AZ"),17,44+3)="","",INDEX(INDIRECT("'"&amp;$B$2&amp;"月"&amp;"'!A:AZ"),17,44+3)),"")</f>
        <v/>
      </c>
      <c r="G343" s="57" t="str">
        <f ca="1">IFERROR(IF(INDEX(INDIRECT("'"&amp;$B$2&amp;"月"&amp;"'!A:AZ"),17,44+4)="","",INDEX(INDIRECT("'"&amp;$B$2&amp;"月"&amp;"'!A:AZ"),17,44+4)),"")</f>
        <v/>
      </c>
      <c r="H343" s="57"/>
    </row>
    <row r="344" spans="1:8" ht="13.5" customHeight="1">
      <c r="A344" s="57">
        <f>IF(DAY(DATE(対象年度,$B$2,15))&lt;&gt;15,"",15)</f>
        <v>15</v>
      </c>
      <c r="B344" s="57" t="str">
        <f>IF(DAY(DATE(対象年度,$B$2,15))&lt;&gt;15,"",CHOOSE(WEEKDAY(DATE(対象年度,$B$2,15),2),"月","火","水","木","金","土","日"))</f>
        <v>木</v>
      </c>
      <c r="C344" s="57" t="str">
        <f ca="1">IFERROR(IF(INDEX(INDIRECT("'"&amp;$B$2&amp;"月"&amp;"'!A:AZ"),18,44+0)="","",INDEX(INDIRECT("'"&amp;$B$2&amp;"月"&amp;"'!A:AZ"),18,44+0)),"")</f>
        <v/>
      </c>
      <c r="D344" s="58" t="str">
        <f ca="1">IFERROR(IF(INDEX(INDIRECT("'"&amp;$B$2&amp;"月"&amp;"'!A:AZ"),18,44+1)="","",INDEX(INDIRECT("'"&amp;$B$2&amp;"月"&amp;"'!A:AZ"),18,44+1)),"")</f>
        <v/>
      </c>
      <c r="E344" s="57" t="str">
        <f ca="1">IFERROR(IF(INDEX(INDIRECT("'"&amp;$B$2&amp;"月"&amp;"'!A:AZ"),18,44+2)="","",INDEX(INDIRECT("'"&amp;$B$2&amp;"月"&amp;"'!A:AZ"),18,44+2)),"")</f>
        <v/>
      </c>
      <c r="F344" s="59" t="str">
        <f ca="1">IFERROR(IF(INDEX(INDIRECT("'"&amp;$B$2&amp;"月"&amp;"'!A:AZ"),18,44+3)="","",INDEX(INDIRECT("'"&amp;$B$2&amp;"月"&amp;"'!A:AZ"),18,44+3)),"")</f>
        <v/>
      </c>
      <c r="G344" s="57" t="str">
        <f ca="1">IFERROR(IF(INDEX(INDIRECT("'"&amp;$B$2&amp;"月"&amp;"'!A:AZ"),18,44+4)="","",INDEX(INDIRECT("'"&amp;$B$2&amp;"月"&amp;"'!A:AZ"),18,44+4)),"")</f>
        <v/>
      </c>
      <c r="H344" s="57"/>
    </row>
    <row r="345" spans="1:8" ht="13.5" customHeight="1">
      <c r="A345" s="57">
        <f>IF(DAY(DATE(対象年度,$B$2,16))&lt;&gt;16,"",16)</f>
        <v>16</v>
      </c>
      <c r="B345" s="57" t="str">
        <f>IF(DAY(DATE(対象年度,$B$2,16))&lt;&gt;16,"",CHOOSE(WEEKDAY(DATE(対象年度,$B$2,16),2),"月","火","水","木","金","土","日"))</f>
        <v>金</v>
      </c>
      <c r="C345" s="57" t="str">
        <f ca="1">IFERROR(IF(INDEX(INDIRECT("'"&amp;$B$2&amp;"月"&amp;"'!A:AZ"),19,44+0)="","",INDEX(INDIRECT("'"&amp;$B$2&amp;"月"&amp;"'!A:AZ"),19,44+0)),"")</f>
        <v/>
      </c>
      <c r="D345" s="58" t="str">
        <f ca="1">IFERROR(IF(INDEX(INDIRECT("'"&amp;$B$2&amp;"月"&amp;"'!A:AZ"),19,44+1)="","",INDEX(INDIRECT("'"&amp;$B$2&amp;"月"&amp;"'!A:AZ"),19,44+1)),"")</f>
        <v/>
      </c>
      <c r="E345" s="57" t="str">
        <f ca="1">IFERROR(IF(INDEX(INDIRECT("'"&amp;$B$2&amp;"月"&amp;"'!A:AZ"),19,44+2)="","",INDEX(INDIRECT("'"&amp;$B$2&amp;"月"&amp;"'!A:AZ"),19,44+2)),"")</f>
        <v/>
      </c>
      <c r="F345" s="59" t="str">
        <f ca="1">IFERROR(IF(INDEX(INDIRECT("'"&amp;$B$2&amp;"月"&amp;"'!A:AZ"),19,44+3)="","",INDEX(INDIRECT("'"&amp;$B$2&amp;"月"&amp;"'!A:AZ"),19,44+3)),"")</f>
        <v/>
      </c>
      <c r="G345" s="57" t="str">
        <f ca="1">IFERROR(IF(INDEX(INDIRECT("'"&amp;$B$2&amp;"月"&amp;"'!A:AZ"),19,44+4)="","",INDEX(INDIRECT("'"&amp;$B$2&amp;"月"&amp;"'!A:AZ"),19,44+4)),"")</f>
        <v/>
      </c>
      <c r="H345" s="57"/>
    </row>
    <row r="346" spans="1:8" ht="13.5" customHeight="1">
      <c r="A346" s="57">
        <f>IF(DAY(DATE(対象年度,$B$2,17))&lt;&gt;17,"",17)</f>
        <v>17</v>
      </c>
      <c r="B346" s="57" t="str">
        <f>IF(DAY(DATE(対象年度,$B$2,17))&lt;&gt;17,"",CHOOSE(WEEKDAY(DATE(対象年度,$B$2,17),2),"月","火","水","木","金","土","日"))</f>
        <v>土</v>
      </c>
      <c r="C346" s="57" t="str">
        <f ca="1">IFERROR(IF(INDEX(INDIRECT("'"&amp;$B$2&amp;"月"&amp;"'!A:AZ"),20,44+0)="","",INDEX(INDIRECT("'"&amp;$B$2&amp;"月"&amp;"'!A:AZ"),20,44+0)),"")</f>
        <v/>
      </c>
      <c r="D346" s="58" t="str">
        <f ca="1">IFERROR(IF(INDEX(INDIRECT("'"&amp;$B$2&amp;"月"&amp;"'!A:AZ"),20,44+1)="","",INDEX(INDIRECT("'"&amp;$B$2&amp;"月"&amp;"'!A:AZ"),20,44+1)),"")</f>
        <v/>
      </c>
      <c r="E346" s="57" t="str">
        <f ca="1">IFERROR(IF(INDEX(INDIRECT("'"&amp;$B$2&amp;"月"&amp;"'!A:AZ"),20,44+2)="","",INDEX(INDIRECT("'"&amp;$B$2&amp;"月"&amp;"'!A:AZ"),20,44+2)),"")</f>
        <v/>
      </c>
      <c r="F346" s="59" t="str">
        <f ca="1">IFERROR(IF(INDEX(INDIRECT("'"&amp;$B$2&amp;"月"&amp;"'!A:AZ"),20,44+3)="","",INDEX(INDIRECT("'"&amp;$B$2&amp;"月"&amp;"'!A:AZ"),20,44+3)),"")</f>
        <v/>
      </c>
      <c r="G346" s="57" t="str">
        <f ca="1">IFERROR(IF(INDEX(INDIRECT("'"&amp;$B$2&amp;"月"&amp;"'!A:AZ"),20,44+4)="","",INDEX(INDIRECT("'"&amp;$B$2&amp;"月"&amp;"'!A:AZ"),20,44+4)),"")</f>
        <v/>
      </c>
      <c r="H346" s="57"/>
    </row>
    <row r="347" spans="1:8" ht="13.5" customHeight="1">
      <c r="A347" s="57">
        <f>IF(DAY(DATE(対象年度,$B$2,18))&lt;&gt;18,"",18)</f>
        <v>18</v>
      </c>
      <c r="B347" s="57" t="str">
        <f>IF(DAY(DATE(対象年度,$B$2,18))&lt;&gt;18,"",CHOOSE(WEEKDAY(DATE(対象年度,$B$2,18),2),"月","火","水","木","金","土","日"))</f>
        <v>日</v>
      </c>
      <c r="C347" s="57" t="str">
        <f ca="1">IFERROR(IF(INDEX(INDIRECT("'"&amp;$B$2&amp;"月"&amp;"'!A:AZ"),21,44+0)="","",INDEX(INDIRECT("'"&amp;$B$2&amp;"月"&amp;"'!A:AZ"),21,44+0)),"")</f>
        <v/>
      </c>
      <c r="D347" s="58" t="str">
        <f ca="1">IFERROR(IF(INDEX(INDIRECT("'"&amp;$B$2&amp;"月"&amp;"'!A:AZ"),21,44+1)="","",INDEX(INDIRECT("'"&amp;$B$2&amp;"月"&amp;"'!A:AZ"),21,44+1)),"")</f>
        <v/>
      </c>
      <c r="E347" s="57" t="str">
        <f ca="1">IFERROR(IF(INDEX(INDIRECT("'"&amp;$B$2&amp;"月"&amp;"'!A:AZ"),21,44+2)="","",INDEX(INDIRECT("'"&amp;$B$2&amp;"月"&amp;"'!A:AZ"),21,44+2)),"")</f>
        <v/>
      </c>
      <c r="F347" s="59" t="str">
        <f ca="1">IFERROR(IF(INDEX(INDIRECT("'"&amp;$B$2&amp;"月"&amp;"'!A:AZ"),21,44+3)="","",INDEX(INDIRECT("'"&amp;$B$2&amp;"月"&amp;"'!A:AZ"),21,44+3)),"")</f>
        <v/>
      </c>
      <c r="G347" s="57" t="str">
        <f ca="1">IFERROR(IF(INDEX(INDIRECT("'"&amp;$B$2&amp;"月"&amp;"'!A:AZ"),21,44+4)="","",INDEX(INDIRECT("'"&amp;$B$2&amp;"月"&amp;"'!A:AZ"),21,44+4)),"")</f>
        <v/>
      </c>
      <c r="H347" s="57"/>
    </row>
    <row r="348" spans="1:8" ht="13.5" customHeight="1">
      <c r="A348" s="57">
        <f>IF(DAY(DATE(対象年度,$B$2,19))&lt;&gt;19,"",19)</f>
        <v>19</v>
      </c>
      <c r="B348" s="57" t="str">
        <f>IF(DAY(DATE(対象年度,$B$2,19))&lt;&gt;19,"",CHOOSE(WEEKDAY(DATE(対象年度,$B$2,19),2),"月","火","水","木","金","土","日"))</f>
        <v>月</v>
      </c>
      <c r="C348" s="57" t="str">
        <f ca="1">IFERROR(IF(INDEX(INDIRECT("'"&amp;$B$2&amp;"月"&amp;"'!A:AZ"),22,44+0)="","",INDEX(INDIRECT("'"&amp;$B$2&amp;"月"&amp;"'!A:AZ"),22,44+0)),"")</f>
        <v/>
      </c>
      <c r="D348" s="58" t="str">
        <f ca="1">IFERROR(IF(INDEX(INDIRECT("'"&amp;$B$2&amp;"月"&amp;"'!A:AZ"),22,44+1)="","",INDEX(INDIRECT("'"&amp;$B$2&amp;"月"&amp;"'!A:AZ"),22,44+1)),"")</f>
        <v/>
      </c>
      <c r="E348" s="57" t="str">
        <f ca="1">IFERROR(IF(INDEX(INDIRECT("'"&amp;$B$2&amp;"月"&amp;"'!A:AZ"),22,44+2)="","",INDEX(INDIRECT("'"&amp;$B$2&amp;"月"&amp;"'!A:AZ"),22,44+2)),"")</f>
        <v/>
      </c>
      <c r="F348" s="59" t="str">
        <f ca="1">IFERROR(IF(INDEX(INDIRECT("'"&amp;$B$2&amp;"月"&amp;"'!A:AZ"),22,44+3)="","",INDEX(INDIRECT("'"&amp;$B$2&amp;"月"&amp;"'!A:AZ"),22,44+3)),"")</f>
        <v/>
      </c>
      <c r="G348" s="57" t="str">
        <f ca="1">IFERROR(IF(INDEX(INDIRECT("'"&amp;$B$2&amp;"月"&amp;"'!A:AZ"),22,44+4)="","",INDEX(INDIRECT("'"&amp;$B$2&amp;"月"&amp;"'!A:AZ"),22,44+4)),"")</f>
        <v/>
      </c>
      <c r="H348" s="57"/>
    </row>
    <row r="349" spans="1:8" ht="13.5" customHeight="1">
      <c r="A349" s="57">
        <f>IF(DAY(DATE(対象年度,$B$2,20))&lt;&gt;20,"",20)</f>
        <v>20</v>
      </c>
      <c r="B349" s="57" t="str">
        <f>IF(DAY(DATE(対象年度,$B$2,20))&lt;&gt;20,"",CHOOSE(WEEKDAY(DATE(対象年度,$B$2,20),2),"月","火","水","木","金","土","日"))</f>
        <v>火</v>
      </c>
      <c r="C349" s="57" t="str">
        <f ca="1">IFERROR(IF(INDEX(INDIRECT("'"&amp;$B$2&amp;"月"&amp;"'!A:AZ"),23,44+0)="","",INDEX(INDIRECT("'"&amp;$B$2&amp;"月"&amp;"'!A:AZ"),23,44+0)),"")</f>
        <v/>
      </c>
      <c r="D349" s="58" t="str">
        <f ca="1">IFERROR(IF(INDEX(INDIRECT("'"&amp;$B$2&amp;"月"&amp;"'!A:AZ"),23,44+1)="","",INDEX(INDIRECT("'"&amp;$B$2&amp;"月"&amp;"'!A:AZ"),23,44+1)),"")</f>
        <v/>
      </c>
      <c r="E349" s="57" t="str">
        <f ca="1">IFERROR(IF(INDEX(INDIRECT("'"&amp;$B$2&amp;"月"&amp;"'!A:AZ"),23,44+2)="","",INDEX(INDIRECT("'"&amp;$B$2&amp;"月"&amp;"'!A:AZ"),23,44+2)),"")</f>
        <v/>
      </c>
      <c r="F349" s="59" t="str">
        <f ca="1">IFERROR(IF(INDEX(INDIRECT("'"&amp;$B$2&amp;"月"&amp;"'!A:AZ"),23,44+3)="","",INDEX(INDIRECT("'"&amp;$B$2&amp;"月"&amp;"'!A:AZ"),23,44+3)),"")</f>
        <v/>
      </c>
      <c r="G349" s="57" t="str">
        <f ca="1">IFERROR(IF(INDEX(INDIRECT("'"&amp;$B$2&amp;"月"&amp;"'!A:AZ"),23,44+4)="","",INDEX(INDIRECT("'"&amp;$B$2&amp;"月"&amp;"'!A:AZ"),23,44+4)),"")</f>
        <v/>
      </c>
      <c r="H349" s="57"/>
    </row>
    <row r="350" spans="1:8" ht="13.5" customHeight="1">
      <c r="A350" s="57">
        <f>IF(DAY(DATE(対象年度,$B$2,21))&lt;&gt;21,"",21)</f>
        <v>21</v>
      </c>
      <c r="B350" s="57" t="str">
        <f>IF(DAY(DATE(対象年度,$B$2,21))&lt;&gt;21,"",CHOOSE(WEEKDAY(DATE(対象年度,$B$2,21),2),"月","火","水","木","金","土","日"))</f>
        <v>水</v>
      </c>
      <c r="C350" s="57" t="str">
        <f ca="1">IFERROR(IF(INDEX(INDIRECT("'"&amp;$B$2&amp;"月"&amp;"'!A:AZ"),24,44+0)="","",INDEX(INDIRECT("'"&amp;$B$2&amp;"月"&amp;"'!A:AZ"),24,44+0)),"")</f>
        <v>新宿</v>
      </c>
      <c r="D350" s="58" t="str">
        <f ca="1">IFERROR(IF(INDEX(INDIRECT("'"&amp;$B$2&amp;"月"&amp;"'!A:AZ"),24,44+1)="","",INDEX(INDIRECT("'"&amp;$B$2&amp;"月"&amp;"'!A:AZ"),24,44+1)),"")</f>
        <v/>
      </c>
      <c r="E350" s="57" t="str">
        <f ca="1">IFERROR(IF(INDEX(INDIRECT("'"&amp;$B$2&amp;"月"&amp;"'!A:AZ"),24,44+2)="","",INDEX(INDIRECT("'"&amp;$B$2&amp;"月"&amp;"'!A:AZ"),24,44+2)),"")</f>
        <v>○</v>
      </c>
      <c r="F350" s="59" t="str">
        <f ca="1">IFERROR(IF(INDEX(INDIRECT("'"&amp;$B$2&amp;"月"&amp;"'!A:AZ"),24,44+3)="","",INDEX(INDIRECT("'"&amp;$B$2&amp;"月"&amp;"'!A:AZ"),24,44+3)),"")</f>
        <v/>
      </c>
      <c r="G350" s="57" t="str">
        <f ca="1">IFERROR(IF(INDEX(INDIRECT("'"&amp;$B$2&amp;"月"&amp;"'!A:AZ"),24,44+4)="","",INDEX(INDIRECT("'"&amp;$B$2&amp;"月"&amp;"'!A:AZ"),24,44+4)),"")</f>
        <v/>
      </c>
      <c r="H350" s="57"/>
    </row>
    <row r="351" spans="1:8" ht="13.5" customHeight="1">
      <c r="A351" s="57">
        <f>IF(DAY(DATE(対象年度,$B$2,22))&lt;&gt;22,"",22)</f>
        <v>22</v>
      </c>
      <c r="B351" s="57" t="str">
        <f>IF(DAY(DATE(対象年度,$B$2,22))&lt;&gt;22,"",CHOOSE(WEEKDAY(DATE(対象年度,$B$2,22),2),"月","火","水","木","金","土","日"))</f>
        <v>木</v>
      </c>
      <c r="C351" s="57" t="str">
        <f ca="1">IFERROR(IF(INDEX(INDIRECT("'"&amp;$B$2&amp;"月"&amp;"'!A:AZ"),25,44+0)="","",INDEX(INDIRECT("'"&amp;$B$2&amp;"月"&amp;"'!A:AZ"),25,44+0)),"")</f>
        <v>新宿</v>
      </c>
      <c r="D351" s="58" t="str">
        <f ca="1">IFERROR(IF(INDEX(INDIRECT("'"&amp;$B$2&amp;"月"&amp;"'!A:AZ"),25,44+1)="","",INDEX(INDIRECT("'"&amp;$B$2&amp;"月"&amp;"'!A:AZ"),25,44+1)),"")</f>
        <v/>
      </c>
      <c r="E351" s="57" t="str">
        <f ca="1">IFERROR(IF(INDEX(INDIRECT("'"&amp;$B$2&amp;"月"&amp;"'!A:AZ"),25,44+2)="","",INDEX(INDIRECT("'"&amp;$B$2&amp;"月"&amp;"'!A:AZ"),25,44+2)),"")</f>
        <v>○</v>
      </c>
      <c r="F351" s="59" t="str">
        <f ca="1">IFERROR(IF(INDEX(INDIRECT("'"&amp;$B$2&amp;"月"&amp;"'!A:AZ"),25,44+3)="","",INDEX(INDIRECT("'"&amp;$B$2&amp;"月"&amp;"'!A:AZ"),25,44+3)),"")</f>
        <v/>
      </c>
      <c r="G351" s="57" t="str">
        <f ca="1">IFERROR(IF(INDEX(INDIRECT("'"&amp;$B$2&amp;"月"&amp;"'!A:AZ"),25,44+4)="","",INDEX(INDIRECT("'"&amp;$B$2&amp;"月"&amp;"'!A:AZ"),25,44+4)),"")</f>
        <v/>
      </c>
      <c r="H351" s="57"/>
    </row>
    <row r="352" spans="1:8" ht="13.5" customHeight="1">
      <c r="A352" s="57">
        <f>IF(DAY(DATE(対象年度,$B$2,23))&lt;&gt;23,"",23)</f>
        <v>23</v>
      </c>
      <c r="B352" s="57" t="str">
        <f>IF(DAY(DATE(対象年度,$B$2,23))&lt;&gt;23,"",CHOOSE(WEEKDAY(DATE(対象年度,$B$2,23),2),"月","火","水","木","金","土","日"))</f>
        <v>金</v>
      </c>
      <c r="C352" s="57" t="str">
        <f ca="1">IFERROR(IF(INDEX(INDIRECT("'"&amp;$B$2&amp;"月"&amp;"'!A:AZ"),26,44+0)="","",INDEX(INDIRECT("'"&amp;$B$2&amp;"月"&amp;"'!A:AZ"),26,44+0)),"")</f>
        <v>新宿</v>
      </c>
      <c r="D352" s="58" t="str">
        <f ca="1">IFERROR(IF(INDEX(INDIRECT("'"&amp;$B$2&amp;"月"&amp;"'!A:AZ"),26,44+1)="","",INDEX(INDIRECT("'"&amp;$B$2&amp;"月"&amp;"'!A:AZ"),26,44+1)),"")</f>
        <v/>
      </c>
      <c r="E352" s="57" t="str">
        <f ca="1">IFERROR(IF(INDEX(INDIRECT("'"&amp;$B$2&amp;"月"&amp;"'!A:AZ"),26,44+2)="","",INDEX(INDIRECT("'"&amp;$B$2&amp;"月"&amp;"'!A:AZ"),26,44+2)),"")</f>
        <v>○</v>
      </c>
      <c r="F352" s="59" t="str">
        <f ca="1">IFERROR(IF(INDEX(INDIRECT("'"&amp;$B$2&amp;"月"&amp;"'!A:AZ"),26,44+3)="","",INDEX(INDIRECT("'"&amp;$B$2&amp;"月"&amp;"'!A:AZ"),26,44+3)),"")</f>
        <v/>
      </c>
      <c r="G352" s="57" t="str">
        <f ca="1">IFERROR(IF(INDEX(INDIRECT("'"&amp;$B$2&amp;"月"&amp;"'!A:AZ"),26,44+4)="","",INDEX(INDIRECT("'"&amp;$B$2&amp;"月"&amp;"'!A:AZ"),26,44+4)),"")</f>
        <v/>
      </c>
      <c r="H352" s="57"/>
    </row>
    <row r="353" spans="1:8" ht="13.5" customHeight="1">
      <c r="A353" s="57">
        <f>IF(DAY(DATE(対象年度,$B$2,24))&lt;&gt;24,"",24)</f>
        <v>24</v>
      </c>
      <c r="B353" s="57" t="str">
        <f>IF(DAY(DATE(対象年度,$B$2,24))&lt;&gt;24,"",CHOOSE(WEEKDAY(DATE(対象年度,$B$2,24),2),"月","火","水","木","金","土","日"))</f>
        <v>土</v>
      </c>
      <c r="C353" s="57" t="str">
        <f ca="1">IFERROR(IF(INDEX(INDIRECT("'"&amp;$B$2&amp;"月"&amp;"'!A:AZ"),27,44+0)="","",INDEX(INDIRECT("'"&amp;$B$2&amp;"月"&amp;"'!A:AZ"),27,44+0)),"")</f>
        <v>新宿</v>
      </c>
      <c r="D353" s="58" t="str">
        <f ca="1">IFERROR(IF(INDEX(INDIRECT("'"&amp;$B$2&amp;"月"&amp;"'!A:AZ"),27,44+1)="","",INDEX(INDIRECT("'"&amp;$B$2&amp;"月"&amp;"'!A:AZ"),27,44+1)),"")</f>
        <v/>
      </c>
      <c r="E353" s="57" t="str">
        <f ca="1">IFERROR(IF(INDEX(INDIRECT("'"&amp;$B$2&amp;"月"&amp;"'!A:AZ"),27,44+2)="","",INDEX(INDIRECT("'"&amp;$B$2&amp;"月"&amp;"'!A:AZ"),27,44+2)),"")</f>
        <v>○</v>
      </c>
      <c r="F353" s="59" t="str">
        <f ca="1">IFERROR(IF(INDEX(INDIRECT("'"&amp;$B$2&amp;"月"&amp;"'!A:AZ"),27,44+3)="","",INDEX(INDIRECT("'"&amp;$B$2&amp;"月"&amp;"'!A:AZ"),27,44+3)),"")</f>
        <v/>
      </c>
      <c r="G353" s="57" t="str">
        <f ca="1">IFERROR(IF(INDEX(INDIRECT("'"&amp;$B$2&amp;"月"&amp;"'!A:AZ"),27,44+4)="","",INDEX(INDIRECT("'"&amp;$B$2&amp;"月"&amp;"'!A:AZ"),27,44+4)),"")</f>
        <v/>
      </c>
      <c r="H353" s="57"/>
    </row>
    <row r="354" spans="1:8" ht="13.5" customHeight="1">
      <c r="A354" s="57">
        <f>IF(DAY(DATE(対象年度,$B$2,25))&lt;&gt;25,"",25)</f>
        <v>25</v>
      </c>
      <c r="B354" s="57" t="str">
        <f>IF(DAY(DATE(対象年度,$B$2,25))&lt;&gt;25,"",CHOOSE(WEEKDAY(DATE(対象年度,$B$2,25),2),"月","火","水","木","金","土","日"))</f>
        <v>日</v>
      </c>
      <c r="C354" s="57" t="str">
        <f ca="1">IFERROR(IF(INDEX(INDIRECT("'"&amp;$B$2&amp;"月"&amp;"'!A:AZ"),28,44+0)="","",INDEX(INDIRECT("'"&amp;$B$2&amp;"月"&amp;"'!A:AZ"),28,44+0)),"")</f>
        <v/>
      </c>
      <c r="D354" s="58" t="str">
        <f ca="1">IFERROR(IF(INDEX(INDIRECT("'"&amp;$B$2&amp;"月"&amp;"'!A:AZ"),28,44+1)="","",INDEX(INDIRECT("'"&amp;$B$2&amp;"月"&amp;"'!A:AZ"),28,44+1)),"")</f>
        <v/>
      </c>
      <c r="E354" s="57" t="str">
        <f ca="1">IFERROR(IF(INDEX(INDIRECT("'"&amp;$B$2&amp;"月"&amp;"'!A:AZ"),28,44+2)="","",INDEX(INDIRECT("'"&amp;$B$2&amp;"月"&amp;"'!A:AZ"),28,44+2)),"")</f>
        <v/>
      </c>
      <c r="F354" s="59" t="str">
        <f ca="1">IFERROR(IF(INDEX(INDIRECT("'"&amp;$B$2&amp;"月"&amp;"'!A:AZ"),28,44+3)="","",INDEX(INDIRECT("'"&amp;$B$2&amp;"月"&amp;"'!A:AZ"),28,44+3)),"")</f>
        <v/>
      </c>
      <c r="G354" s="57" t="str">
        <f ca="1">IFERROR(IF(INDEX(INDIRECT("'"&amp;$B$2&amp;"月"&amp;"'!A:AZ"),28,44+4)="","",INDEX(INDIRECT("'"&amp;$B$2&amp;"月"&amp;"'!A:AZ"),28,44+4)),"")</f>
        <v/>
      </c>
      <c r="H354" s="57"/>
    </row>
    <row r="355" spans="1:8" ht="13.5" customHeight="1">
      <c r="A355" s="57">
        <f>IF(DAY(DATE(対象年度,$B$2,26))&lt;&gt;26,"",26)</f>
        <v>26</v>
      </c>
      <c r="B355" s="57" t="str">
        <f>IF(DAY(DATE(対象年度,$B$2,26))&lt;&gt;26,"",CHOOSE(WEEKDAY(DATE(対象年度,$B$2,26),2),"月","火","水","木","金","土","日"))</f>
        <v>月</v>
      </c>
      <c r="C355" s="57" t="str">
        <f ca="1">IFERROR(IF(INDEX(INDIRECT("'"&amp;$B$2&amp;"月"&amp;"'!A:AZ"),29,44+0)="","",INDEX(INDIRECT("'"&amp;$B$2&amp;"月"&amp;"'!A:AZ"),29,44+0)),"")</f>
        <v>新宿</v>
      </c>
      <c r="D355" s="58" t="str">
        <f ca="1">IFERROR(IF(INDEX(INDIRECT("'"&amp;$B$2&amp;"月"&amp;"'!A:AZ"),29,44+1)="","",INDEX(INDIRECT("'"&amp;$B$2&amp;"月"&amp;"'!A:AZ"),29,44+1)),"")</f>
        <v/>
      </c>
      <c r="E355" s="57" t="str">
        <f ca="1">IFERROR(IF(INDEX(INDIRECT("'"&amp;$B$2&amp;"月"&amp;"'!A:AZ"),29,44+2)="","",INDEX(INDIRECT("'"&amp;$B$2&amp;"月"&amp;"'!A:AZ"),29,44+2)),"")</f>
        <v>○</v>
      </c>
      <c r="F355" s="59" t="str">
        <f ca="1">IFERROR(IF(INDEX(INDIRECT("'"&amp;$B$2&amp;"月"&amp;"'!A:AZ"),29,44+3)="","",INDEX(INDIRECT("'"&amp;$B$2&amp;"月"&amp;"'!A:AZ"),29,44+3)),"")</f>
        <v/>
      </c>
      <c r="G355" s="57" t="str">
        <f ca="1">IFERROR(IF(INDEX(INDIRECT("'"&amp;$B$2&amp;"月"&amp;"'!A:AZ"),29,44+4)="","",INDEX(INDIRECT("'"&amp;$B$2&amp;"月"&amp;"'!A:AZ"),29,44+4)),"")</f>
        <v/>
      </c>
      <c r="H355" s="57"/>
    </row>
    <row r="356" spans="1:8" ht="13.5" customHeight="1">
      <c r="A356" s="57">
        <f>IF(DAY(DATE(対象年度,$B$2,27))&lt;&gt;27,"",27)</f>
        <v>27</v>
      </c>
      <c r="B356" s="57" t="str">
        <f>IF(DAY(DATE(対象年度,$B$2,27))&lt;&gt;27,"",CHOOSE(WEEKDAY(DATE(対象年度,$B$2,27),2),"月","火","水","木","金","土","日"))</f>
        <v>火</v>
      </c>
      <c r="C356" s="57" t="str">
        <f ca="1">IFERROR(IF(INDEX(INDIRECT("'"&amp;$B$2&amp;"月"&amp;"'!A:AZ"),30,44+0)="","",INDEX(INDIRECT("'"&amp;$B$2&amp;"月"&amp;"'!A:AZ"),30,44+0)),"")</f>
        <v>有給</v>
      </c>
      <c r="D356" s="58" t="str">
        <f ca="1">IFERROR(IF(INDEX(INDIRECT("'"&amp;$B$2&amp;"月"&amp;"'!A:AZ"),30,44+1)="","",INDEX(INDIRECT("'"&amp;$B$2&amp;"月"&amp;"'!A:AZ"),30,44+1)),"")</f>
        <v/>
      </c>
      <c r="E356" s="57" t="str">
        <f ca="1">IFERROR(IF(INDEX(INDIRECT("'"&amp;$B$2&amp;"月"&amp;"'!A:AZ"),30,44+2)="","",INDEX(INDIRECT("'"&amp;$B$2&amp;"月"&amp;"'!A:AZ"),30,44+2)),"")</f>
        <v>○</v>
      </c>
      <c r="F356" s="59" t="str">
        <f ca="1">IFERROR(IF(INDEX(INDIRECT("'"&amp;$B$2&amp;"月"&amp;"'!A:AZ"),30,44+3)="","",INDEX(INDIRECT("'"&amp;$B$2&amp;"月"&amp;"'!A:AZ"),30,44+3)),"")</f>
        <v/>
      </c>
      <c r="G356" s="57" t="str">
        <f ca="1">IFERROR(IF(INDEX(INDIRECT("'"&amp;$B$2&amp;"月"&amp;"'!A:AZ"),30,44+4)="","",INDEX(INDIRECT("'"&amp;$B$2&amp;"月"&amp;"'!A:AZ"),30,44+4)),"")</f>
        <v/>
      </c>
      <c r="H356" s="57"/>
    </row>
    <row r="357" spans="1:8" ht="13.5" customHeight="1">
      <c r="A357" s="57">
        <f>IF(DAY(DATE(対象年度,$B$2,28))&lt;&gt;28,"",28)</f>
        <v>28</v>
      </c>
      <c r="B357" s="57" t="str">
        <f>IF(DAY(DATE(対象年度,$B$2,28))&lt;&gt;28,"",CHOOSE(WEEKDAY(DATE(対象年度,$B$2,28),2),"月","火","水","木","金","土","日"))</f>
        <v>水</v>
      </c>
      <c r="C357" s="57" t="str">
        <f ca="1">IFERROR(IF(INDEX(INDIRECT("'"&amp;$B$2&amp;"月"&amp;"'!A:AZ"),31,44+0)="","",INDEX(INDIRECT("'"&amp;$B$2&amp;"月"&amp;"'!A:AZ"),31,44+0)),"")</f>
        <v>新宿</v>
      </c>
      <c r="D357" s="58" t="str">
        <f ca="1">IFERROR(IF(INDEX(INDIRECT("'"&amp;$B$2&amp;"月"&amp;"'!A:AZ"),31,44+1)="","",INDEX(INDIRECT("'"&amp;$B$2&amp;"月"&amp;"'!A:AZ"),31,44+1)),"")</f>
        <v/>
      </c>
      <c r="E357" s="57" t="str">
        <f ca="1">IFERROR(IF(INDEX(INDIRECT("'"&amp;$B$2&amp;"月"&amp;"'!A:AZ"),31,44+2)="","",INDEX(INDIRECT("'"&amp;$B$2&amp;"月"&amp;"'!A:AZ"),31,44+2)),"")</f>
        <v>○</v>
      </c>
      <c r="F357" s="59" t="str">
        <f ca="1">IFERROR(IF(INDEX(INDIRECT("'"&amp;$B$2&amp;"月"&amp;"'!A:AZ"),31,44+3)="","",INDEX(INDIRECT("'"&amp;$B$2&amp;"月"&amp;"'!A:AZ"),31,44+3)),"")</f>
        <v/>
      </c>
      <c r="G357" s="57" t="str">
        <f ca="1">IFERROR(IF(INDEX(INDIRECT("'"&amp;$B$2&amp;"月"&amp;"'!A:AZ"),31,44+4)="","",INDEX(INDIRECT("'"&amp;$B$2&amp;"月"&amp;"'!A:AZ"),31,44+4)),"")</f>
        <v/>
      </c>
      <c r="H357" s="57"/>
    </row>
    <row r="358" spans="1:8" ht="13.5" customHeight="1">
      <c r="A358" s="57">
        <f>IF(DAY(DATE(対象年度,$B$2,29))&lt;&gt;29,"",29)</f>
        <v>29</v>
      </c>
      <c r="B358" s="57" t="str">
        <f>IF(DAY(DATE(対象年度,$B$2,29))&lt;&gt;29,"",CHOOSE(WEEKDAY(DATE(対象年度,$B$2,29),2),"月","火","水","木","金","土","日"))</f>
        <v>木</v>
      </c>
      <c r="C358" s="57" t="str">
        <f ca="1">IFERROR(IF(INDEX(INDIRECT("'"&amp;$B$2&amp;"月"&amp;"'!A:AZ"),32,44+0)="","",INDEX(INDIRECT("'"&amp;$B$2&amp;"月"&amp;"'!A:AZ"),32,44+0)),"")</f>
        <v>新宿</v>
      </c>
      <c r="D358" s="58" t="str">
        <f ca="1">IFERROR(IF(INDEX(INDIRECT("'"&amp;$B$2&amp;"月"&amp;"'!A:AZ"),32,44+1)="","",INDEX(INDIRECT("'"&amp;$B$2&amp;"月"&amp;"'!A:AZ"),32,44+1)),"")</f>
        <v/>
      </c>
      <c r="E358" s="57" t="str">
        <f ca="1">IFERROR(IF(INDEX(INDIRECT("'"&amp;$B$2&amp;"月"&amp;"'!A:AZ"),32,44+2)="","",INDEX(INDIRECT("'"&amp;$B$2&amp;"月"&amp;"'!A:AZ"),32,44+2)),"")</f>
        <v>○</v>
      </c>
      <c r="F358" s="59" t="str">
        <f ca="1">IFERROR(IF(INDEX(INDIRECT("'"&amp;$B$2&amp;"月"&amp;"'!A:AZ"),32,44+3)="","",INDEX(INDIRECT("'"&amp;$B$2&amp;"月"&amp;"'!A:AZ"),32,44+3)),"")</f>
        <v/>
      </c>
      <c r="G358" s="57" t="str">
        <f ca="1">IFERROR(IF(INDEX(INDIRECT("'"&amp;$B$2&amp;"月"&amp;"'!A:AZ"),32,44+4)="","",INDEX(INDIRECT("'"&amp;$B$2&amp;"月"&amp;"'!A:AZ"),32,44+4)),"")</f>
        <v/>
      </c>
      <c r="H358" s="57"/>
    </row>
    <row r="359" spans="1:8" ht="13.5" customHeight="1">
      <c r="A359" s="57">
        <f>IF(DAY(DATE(対象年度,$B$2,30))&lt;&gt;30,"",30)</f>
        <v>30</v>
      </c>
      <c r="B359" s="57" t="str">
        <f>IF(DAY(DATE(対象年度,$B$2,30))&lt;&gt;30,"",CHOOSE(WEEKDAY(DATE(対象年度,$B$2,30),2),"月","火","水","木","金","土","日"))</f>
        <v>金</v>
      </c>
      <c r="C359" s="57" t="str">
        <f ca="1">IFERROR(IF(INDEX(INDIRECT("'"&amp;$B$2&amp;"月"&amp;"'!A:AZ"),33,44+0)="","",INDEX(INDIRECT("'"&amp;$B$2&amp;"月"&amp;"'!A:AZ"),33,44+0)),"")</f>
        <v>新宿</v>
      </c>
      <c r="D359" s="58" t="str">
        <f ca="1">IFERROR(IF(INDEX(INDIRECT("'"&amp;$B$2&amp;"月"&amp;"'!A:AZ"),33,44+1)="","",INDEX(INDIRECT("'"&amp;$B$2&amp;"月"&amp;"'!A:AZ"),33,44+1)),"")</f>
        <v/>
      </c>
      <c r="E359" s="57" t="str">
        <f ca="1">IFERROR(IF(INDEX(INDIRECT("'"&amp;$B$2&amp;"月"&amp;"'!A:AZ"),33,44+2)="","",INDEX(INDIRECT("'"&amp;$B$2&amp;"月"&amp;"'!A:AZ"),33,44+2)),"")</f>
        <v>○</v>
      </c>
      <c r="F359" s="59" t="str">
        <f ca="1">IFERROR(IF(INDEX(INDIRECT("'"&amp;$B$2&amp;"月"&amp;"'!A:AZ"),33,44+3)="","",INDEX(INDIRECT("'"&amp;$B$2&amp;"月"&amp;"'!A:AZ"),33,44+3)),"")</f>
        <v/>
      </c>
      <c r="G359" s="57" t="str">
        <f ca="1">IFERROR(IF(INDEX(INDIRECT("'"&amp;$B$2&amp;"月"&amp;"'!A:AZ"),33,44+4)="","",INDEX(INDIRECT("'"&amp;$B$2&amp;"月"&amp;"'!A:AZ"),33,44+4)),"")</f>
        <v/>
      </c>
      <c r="H359" s="57"/>
    </row>
    <row r="360" spans="1:8" ht="13.5" customHeight="1">
      <c r="A360" s="57">
        <f>IF(DAY(DATE(対象年度,$B$2,31))&lt;&gt;31,"",31)</f>
        <v>31</v>
      </c>
      <c r="B360" s="57" t="str">
        <f>IF(DAY(DATE(対象年度,$B$2,31))&lt;&gt;31,"",CHOOSE(WEEKDAY(DATE(対象年度,$B$2,31),2),"月","火","水","木","金","土","日"))</f>
        <v>土</v>
      </c>
      <c r="C360" s="57" t="str">
        <f ca="1">IFERROR(IF(INDEX(INDIRECT("'"&amp;$B$2&amp;"月"&amp;"'!A:AZ"),34,44+0)="","",INDEX(INDIRECT("'"&amp;$B$2&amp;"月"&amp;"'!A:AZ"),34,44+0)),"")</f>
        <v>新宿</v>
      </c>
      <c r="D360" s="58" t="str">
        <f ca="1">IFERROR(IF(INDEX(INDIRECT("'"&amp;$B$2&amp;"月"&amp;"'!A:AZ"),34,44+1)="","",INDEX(INDIRECT("'"&amp;$B$2&amp;"月"&amp;"'!A:AZ"),34,44+1)),"")</f>
        <v/>
      </c>
      <c r="E360" s="57" t="str">
        <f ca="1">IFERROR(IF(INDEX(INDIRECT("'"&amp;$B$2&amp;"月"&amp;"'!A:AZ"),34,44+2)="","",INDEX(INDIRECT("'"&amp;$B$2&amp;"月"&amp;"'!A:AZ"),34,44+2)),"")</f>
        <v>○</v>
      </c>
      <c r="F360" s="59" t="str">
        <f ca="1">IFERROR(IF(INDEX(INDIRECT("'"&amp;$B$2&amp;"月"&amp;"'!A:AZ"),34,44+3)="","",INDEX(INDIRECT("'"&amp;$B$2&amp;"月"&amp;"'!A:AZ"),34,44+3)),"")</f>
        <v/>
      </c>
      <c r="G360" s="57" t="str">
        <f ca="1">IFERROR(IF(INDEX(INDIRECT("'"&amp;$B$2&amp;"月"&amp;"'!A:AZ"),34,44+4)="","",INDEX(INDIRECT("'"&amp;$B$2&amp;"月"&amp;"'!A:AZ"),34,44+4)),"")</f>
        <v/>
      </c>
      <c r="H360" s="57"/>
    </row>
    <row r="361" spans="1:8" ht="21.75" customHeight="1">
      <c r="A361" s="111" t="s">
        <v>144</v>
      </c>
      <c r="B361" s="111"/>
      <c r="C361" s="61" t="s">
        <v>113</v>
      </c>
      <c r="D361" s="62">
        <f ca="1">IFERROR(INDEX(INDIRECT("'"&amp;$B$2&amp;"月"&amp;"'!A:AZ"),35,44),0)</f>
        <v>10</v>
      </c>
      <c r="E361" s="63" t="s">
        <v>114</v>
      </c>
      <c r="F361" s="64">
        <f ca="1">IFERROR(INDEX(INDIRECT("'"&amp;$B$2&amp;"月"&amp;"'!A:AZ"),36,44),0)</f>
        <v>0</v>
      </c>
      <c r="G361" s="61" t="s">
        <v>115</v>
      </c>
      <c r="H361" s="62">
        <f ca="1">IFERROR(INDEX(INDIRECT("'"&amp;$B$2&amp;"月"&amp;"'!A:AZ"),38,44),0)</f>
        <v>0</v>
      </c>
    </row>
    <row r="362" spans="1:8" ht="24" customHeight="1">
      <c r="A362" s="112"/>
      <c r="B362" s="112"/>
      <c r="C362" s="65" t="s">
        <v>122</v>
      </c>
      <c r="D362" s="66">
        <f ca="1">IFERROR(INDEX(INDIRECT("'"&amp;$B$2&amp;"月"&amp;"'!A:AZ"),37,44),0)</f>
        <v>10</v>
      </c>
      <c r="E362" s="67" t="s">
        <v>105</v>
      </c>
      <c r="F362" s="68">
        <f ca="1">IFERROR(INDEX(INDIRECT("'"&amp;$B$2&amp;"月"&amp;"'!A:AZ"),39,44),0)</f>
        <v>1</v>
      </c>
      <c r="G362" s="69" t="s">
        <v>106</v>
      </c>
      <c r="H362" s="70">
        <f ca="1">IFERROR(INDEX(INDIRECT("'"&amp;$B$2&amp;"月"&amp;"'!A:AZ"),40,44),0)</f>
        <v>0</v>
      </c>
    </row>
    <row r="364" spans="1:8" ht="27.75" customHeight="1">
      <c r="A364" s="90" t="s">
        <v>133</v>
      </c>
      <c r="B364" s="90"/>
      <c r="C364" s="90"/>
      <c r="D364" s="90"/>
      <c r="E364" s="90"/>
      <c r="F364" s="90"/>
      <c r="G364" s="90"/>
      <c r="H364" s="90"/>
    </row>
    <row r="365" spans="1:8" ht="18" customHeight="1">
      <c r="A365" s="113" t="s">
        <v>134</v>
      </c>
      <c r="B365" s="113"/>
      <c r="C365" s="113"/>
      <c r="D365" s="113"/>
      <c r="E365" s="113"/>
      <c r="F365" s="113"/>
      <c r="G365" s="113"/>
      <c r="H365" s="113"/>
    </row>
    <row r="366" spans="1:8" ht="27.75" customHeight="1">
      <c r="A366" s="49" t="s">
        <v>135</v>
      </c>
      <c r="B366" s="114" t="str">
        <f>対象年度&amp;"年 "&amp;$B$2&amp;"月"</f>
        <v>2026年 1月</v>
      </c>
      <c r="C366" s="114"/>
      <c r="D366" s="49" t="s">
        <v>136</v>
      </c>
      <c r="E366" s="115" t="str">
        <f>IFERROR(従業員マスタ!$C$13,"")</f>
        <v>中村 八郎</v>
      </c>
      <c r="F366" s="115"/>
      <c r="G366" s="115"/>
      <c r="H366" s="115"/>
    </row>
    <row r="367" spans="1:8" ht="19.5" customHeight="1">
      <c r="A367" s="73" t="s">
        <v>147</v>
      </c>
      <c r="B367" s="53" t="s">
        <v>148</v>
      </c>
      <c r="C367" s="119" t="s">
        <v>141</v>
      </c>
      <c r="D367" s="119"/>
      <c r="E367" s="119" t="s">
        <v>142</v>
      </c>
      <c r="F367" s="119"/>
      <c r="G367" s="116" t="s">
        <v>143</v>
      </c>
      <c r="H367" s="116"/>
    </row>
    <row r="368" spans="1:8" ht="43.5" customHeight="1">
      <c r="A368" s="74"/>
      <c r="B368" s="54"/>
      <c r="C368" s="110"/>
      <c r="D368" s="110"/>
      <c r="E368" s="110"/>
      <c r="F368" s="110"/>
      <c r="G368" s="110"/>
      <c r="H368" s="110"/>
    </row>
    <row r="369" spans="1:8" ht="19.5" customHeight="1">
      <c r="A369" s="55" t="s">
        <v>108</v>
      </c>
      <c r="B369" s="55" t="s">
        <v>109</v>
      </c>
      <c r="C369" s="55" t="s">
        <v>111</v>
      </c>
      <c r="D369" s="56" t="s">
        <v>112</v>
      </c>
      <c r="E369" s="55" t="s">
        <v>113</v>
      </c>
      <c r="F369" s="55" t="s">
        <v>114</v>
      </c>
      <c r="G369" s="55" t="s">
        <v>115</v>
      </c>
      <c r="H369" s="55" t="s">
        <v>75</v>
      </c>
    </row>
    <row r="370" spans="1:8" ht="13.5" customHeight="1">
      <c r="A370" s="57">
        <f>IF(DAY(DATE(対象年度,$B$2,1))&lt;&gt;1,"",1)</f>
        <v>1</v>
      </c>
      <c r="B370" s="57" t="str">
        <f>IF(DAY(DATE(対象年度,$B$2,1))&lt;&gt;1,"",CHOOSE(WEEKDAY(DATE(対象年度,$B$2,1),2),"月","火","水","木","金","土","日"))</f>
        <v>木</v>
      </c>
      <c r="C370" s="57" t="str">
        <f ca="1">IFERROR(IF(INDEX(INDIRECT("'"&amp;$B$2&amp;"月"&amp;"'!A:AZ"),4,49+0)="","",INDEX(INDIRECT("'"&amp;$B$2&amp;"月"&amp;"'!A:AZ"),4,49+0)),"")</f>
        <v/>
      </c>
      <c r="D370" s="58" t="str">
        <f ca="1">IFERROR(IF(INDEX(INDIRECT("'"&amp;$B$2&amp;"月"&amp;"'!A:AZ"),4,49+1)="","",INDEX(INDIRECT("'"&amp;$B$2&amp;"月"&amp;"'!A:AZ"),4,49+1)),"")</f>
        <v/>
      </c>
      <c r="E370" s="57" t="str">
        <f ca="1">IFERROR(IF(INDEX(INDIRECT("'"&amp;$B$2&amp;"月"&amp;"'!A:AZ"),4,49+2)="","",INDEX(INDIRECT("'"&amp;$B$2&amp;"月"&amp;"'!A:AZ"),4,49+2)),"")</f>
        <v/>
      </c>
      <c r="F370" s="59" t="str">
        <f ca="1">IFERROR(IF(INDEX(INDIRECT("'"&amp;$B$2&amp;"月"&amp;"'!A:AZ"),4,49+3)="","",INDEX(INDIRECT("'"&amp;$B$2&amp;"月"&amp;"'!A:AZ"),4,49+3)),"")</f>
        <v/>
      </c>
      <c r="G370" s="57" t="str">
        <f ca="1">IFERROR(IF(INDEX(INDIRECT("'"&amp;$B$2&amp;"月"&amp;"'!A:AZ"),4,49+4)="","",INDEX(INDIRECT("'"&amp;$B$2&amp;"月"&amp;"'!A:AZ"),4,49+4)),"")</f>
        <v/>
      </c>
      <c r="H370" s="57"/>
    </row>
    <row r="371" spans="1:8" ht="13.5" customHeight="1">
      <c r="A371" s="57">
        <f>IF(DAY(DATE(対象年度,$B$2,2))&lt;&gt;2,"",2)</f>
        <v>2</v>
      </c>
      <c r="B371" s="57" t="str">
        <f>IF(DAY(DATE(対象年度,$B$2,2))&lt;&gt;2,"",CHOOSE(WEEKDAY(DATE(対象年度,$B$2,2),2),"月","火","水","木","金","土","日"))</f>
        <v>金</v>
      </c>
      <c r="C371" s="57" t="str">
        <f ca="1">IFERROR(IF(INDEX(INDIRECT("'"&amp;$B$2&amp;"月"&amp;"'!A:AZ"),5,49+0)="","",INDEX(INDIRECT("'"&amp;$B$2&amp;"月"&amp;"'!A:AZ"),5,49+0)),"")</f>
        <v/>
      </c>
      <c r="D371" s="58" t="str">
        <f ca="1">IFERROR(IF(INDEX(INDIRECT("'"&amp;$B$2&amp;"月"&amp;"'!A:AZ"),5,49+1)="","",INDEX(INDIRECT("'"&amp;$B$2&amp;"月"&amp;"'!A:AZ"),5,49+1)),"")</f>
        <v/>
      </c>
      <c r="E371" s="57" t="str">
        <f ca="1">IFERROR(IF(INDEX(INDIRECT("'"&amp;$B$2&amp;"月"&amp;"'!A:AZ"),5,49+2)="","",INDEX(INDIRECT("'"&amp;$B$2&amp;"月"&amp;"'!A:AZ"),5,49+2)),"")</f>
        <v/>
      </c>
      <c r="F371" s="59" t="str">
        <f ca="1">IFERROR(IF(INDEX(INDIRECT("'"&amp;$B$2&amp;"月"&amp;"'!A:AZ"),5,49+3)="","",INDEX(INDIRECT("'"&amp;$B$2&amp;"月"&amp;"'!A:AZ"),5,49+3)),"")</f>
        <v/>
      </c>
      <c r="G371" s="57" t="str">
        <f ca="1">IFERROR(IF(INDEX(INDIRECT("'"&amp;$B$2&amp;"月"&amp;"'!A:AZ"),5,49+4)="","",INDEX(INDIRECT("'"&amp;$B$2&amp;"月"&amp;"'!A:AZ"),5,49+4)),"")</f>
        <v/>
      </c>
      <c r="H371" s="57"/>
    </row>
    <row r="372" spans="1:8" ht="13.5" customHeight="1">
      <c r="A372" s="57">
        <f>IF(DAY(DATE(対象年度,$B$2,3))&lt;&gt;3,"",3)</f>
        <v>3</v>
      </c>
      <c r="B372" s="57" t="str">
        <f>IF(DAY(DATE(対象年度,$B$2,3))&lt;&gt;3,"",CHOOSE(WEEKDAY(DATE(対象年度,$B$2,3),2),"月","火","水","木","金","土","日"))</f>
        <v>土</v>
      </c>
      <c r="C372" s="57" t="str">
        <f ca="1">IFERROR(IF(INDEX(INDIRECT("'"&amp;$B$2&amp;"月"&amp;"'!A:AZ"),6,49+0)="","",INDEX(INDIRECT("'"&amp;$B$2&amp;"月"&amp;"'!A:AZ"),6,49+0)),"")</f>
        <v/>
      </c>
      <c r="D372" s="58" t="str">
        <f ca="1">IFERROR(IF(INDEX(INDIRECT("'"&amp;$B$2&amp;"月"&amp;"'!A:AZ"),6,49+1)="","",INDEX(INDIRECT("'"&amp;$B$2&amp;"月"&amp;"'!A:AZ"),6,49+1)),"")</f>
        <v/>
      </c>
      <c r="E372" s="57" t="str">
        <f ca="1">IFERROR(IF(INDEX(INDIRECT("'"&amp;$B$2&amp;"月"&amp;"'!A:AZ"),6,49+2)="","",INDEX(INDIRECT("'"&amp;$B$2&amp;"月"&amp;"'!A:AZ"),6,49+2)),"")</f>
        <v/>
      </c>
      <c r="F372" s="59" t="str">
        <f ca="1">IFERROR(IF(INDEX(INDIRECT("'"&amp;$B$2&amp;"月"&amp;"'!A:AZ"),6,49+3)="","",INDEX(INDIRECT("'"&amp;$B$2&amp;"月"&amp;"'!A:AZ"),6,49+3)),"")</f>
        <v/>
      </c>
      <c r="G372" s="57" t="str">
        <f ca="1">IFERROR(IF(INDEX(INDIRECT("'"&amp;$B$2&amp;"月"&amp;"'!A:AZ"),6,49+4)="","",INDEX(INDIRECT("'"&amp;$B$2&amp;"月"&amp;"'!A:AZ"),6,49+4)),"")</f>
        <v/>
      </c>
      <c r="H372" s="57"/>
    </row>
    <row r="373" spans="1:8" ht="13.5" customHeight="1">
      <c r="A373" s="57">
        <f>IF(DAY(DATE(対象年度,$B$2,4))&lt;&gt;4,"",4)</f>
        <v>4</v>
      </c>
      <c r="B373" s="57" t="str">
        <f>IF(DAY(DATE(対象年度,$B$2,4))&lt;&gt;4,"",CHOOSE(WEEKDAY(DATE(対象年度,$B$2,4),2),"月","火","水","木","金","土","日"))</f>
        <v>日</v>
      </c>
      <c r="C373" s="57" t="str">
        <f ca="1">IFERROR(IF(INDEX(INDIRECT("'"&amp;$B$2&amp;"月"&amp;"'!A:AZ"),7,49+0)="","",INDEX(INDIRECT("'"&amp;$B$2&amp;"月"&amp;"'!A:AZ"),7,49+0)),"")</f>
        <v/>
      </c>
      <c r="D373" s="58" t="str">
        <f ca="1">IFERROR(IF(INDEX(INDIRECT("'"&amp;$B$2&amp;"月"&amp;"'!A:AZ"),7,49+1)="","",INDEX(INDIRECT("'"&amp;$B$2&amp;"月"&amp;"'!A:AZ"),7,49+1)),"")</f>
        <v/>
      </c>
      <c r="E373" s="57" t="str">
        <f ca="1">IFERROR(IF(INDEX(INDIRECT("'"&amp;$B$2&amp;"月"&amp;"'!A:AZ"),7,49+2)="","",INDEX(INDIRECT("'"&amp;$B$2&amp;"月"&amp;"'!A:AZ"),7,49+2)),"")</f>
        <v/>
      </c>
      <c r="F373" s="59" t="str">
        <f ca="1">IFERROR(IF(INDEX(INDIRECT("'"&amp;$B$2&amp;"月"&amp;"'!A:AZ"),7,49+3)="","",INDEX(INDIRECT("'"&amp;$B$2&amp;"月"&amp;"'!A:AZ"),7,49+3)),"")</f>
        <v/>
      </c>
      <c r="G373" s="57" t="str">
        <f ca="1">IFERROR(IF(INDEX(INDIRECT("'"&amp;$B$2&amp;"月"&amp;"'!A:AZ"),7,49+4)="","",INDEX(INDIRECT("'"&amp;$B$2&amp;"月"&amp;"'!A:AZ"),7,49+4)),"")</f>
        <v/>
      </c>
      <c r="H373" s="57"/>
    </row>
    <row r="374" spans="1:8" ht="13.5" customHeight="1">
      <c r="A374" s="57">
        <f>IF(DAY(DATE(対象年度,$B$2,5))&lt;&gt;5,"",5)</f>
        <v>5</v>
      </c>
      <c r="B374" s="57" t="str">
        <f>IF(DAY(DATE(対象年度,$B$2,5))&lt;&gt;5,"",CHOOSE(WEEKDAY(DATE(対象年度,$B$2,5),2),"月","火","水","木","金","土","日"))</f>
        <v>月</v>
      </c>
      <c r="C374" s="57" t="str">
        <f ca="1">IFERROR(IF(INDEX(INDIRECT("'"&amp;$B$2&amp;"月"&amp;"'!A:AZ"),8,49+0)="","",INDEX(INDIRECT("'"&amp;$B$2&amp;"月"&amp;"'!A:AZ"),8,49+0)),"")</f>
        <v/>
      </c>
      <c r="D374" s="58" t="str">
        <f ca="1">IFERROR(IF(INDEX(INDIRECT("'"&amp;$B$2&amp;"月"&amp;"'!A:AZ"),8,49+1)="","",INDEX(INDIRECT("'"&amp;$B$2&amp;"月"&amp;"'!A:AZ"),8,49+1)),"")</f>
        <v/>
      </c>
      <c r="E374" s="57" t="str">
        <f ca="1">IFERROR(IF(INDEX(INDIRECT("'"&amp;$B$2&amp;"月"&amp;"'!A:AZ"),8,49+2)="","",INDEX(INDIRECT("'"&amp;$B$2&amp;"月"&amp;"'!A:AZ"),8,49+2)),"")</f>
        <v/>
      </c>
      <c r="F374" s="59" t="str">
        <f ca="1">IFERROR(IF(INDEX(INDIRECT("'"&amp;$B$2&amp;"月"&amp;"'!A:AZ"),8,49+3)="","",INDEX(INDIRECT("'"&amp;$B$2&amp;"月"&amp;"'!A:AZ"),8,49+3)),"")</f>
        <v/>
      </c>
      <c r="G374" s="57" t="str">
        <f ca="1">IFERROR(IF(INDEX(INDIRECT("'"&amp;$B$2&amp;"月"&amp;"'!A:AZ"),8,49+4)="","",INDEX(INDIRECT("'"&amp;$B$2&amp;"月"&amp;"'!A:AZ"),8,49+4)),"")</f>
        <v/>
      </c>
      <c r="H374" s="57"/>
    </row>
    <row r="375" spans="1:8" ht="13.5" customHeight="1">
      <c r="A375" s="57">
        <f>IF(DAY(DATE(対象年度,$B$2,6))&lt;&gt;6,"",6)</f>
        <v>6</v>
      </c>
      <c r="B375" s="57" t="str">
        <f>IF(DAY(DATE(対象年度,$B$2,6))&lt;&gt;6,"",CHOOSE(WEEKDAY(DATE(対象年度,$B$2,6),2),"月","火","水","木","金","土","日"))</f>
        <v>火</v>
      </c>
      <c r="C375" s="57" t="str">
        <f ca="1">IFERROR(IF(INDEX(INDIRECT("'"&amp;$B$2&amp;"月"&amp;"'!A:AZ"),9,49+0)="","",INDEX(INDIRECT("'"&amp;$B$2&amp;"月"&amp;"'!A:AZ"),9,49+0)),"")</f>
        <v/>
      </c>
      <c r="D375" s="58" t="str">
        <f ca="1">IFERROR(IF(INDEX(INDIRECT("'"&amp;$B$2&amp;"月"&amp;"'!A:AZ"),9,49+1)="","",INDEX(INDIRECT("'"&amp;$B$2&amp;"月"&amp;"'!A:AZ"),9,49+1)),"")</f>
        <v/>
      </c>
      <c r="E375" s="57" t="str">
        <f ca="1">IFERROR(IF(INDEX(INDIRECT("'"&amp;$B$2&amp;"月"&amp;"'!A:AZ"),9,49+2)="","",INDEX(INDIRECT("'"&amp;$B$2&amp;"月"&amp;"'!A:AZ"),9,49+2)),"")</f>
        <v/>
      </c>
      <c r="F375" s="59" t="str">
        <f ca="1">IFERROR(IF(INDEX(INDIRECT("'"&amp;$B$2&amp;"月"&amp;"'!A:AZ"),9,49+3)="","",INDEX(INDIRECT("'"&amp;$B$2&amp;"月"&amp;"'!A:AZ"),9,49+3)),"")</f>
        <v/>
      </c>
      <c r="G375" s="57" t="str">
        <f ca="1">IFERROR(IF(INDEX(INDIRECT("'"&amp;$B$2&amp;"月"&amp;"'!A:AZ"),9,49+4)="","",INDEX(INDIRECT("'"&amp;$B$2&amp;"月"&amp;"'!A:AZ"),9,49+4)),"")</f>
        <v/>
      </c>
      <c r="H375" s="57"/>
    </row>
    <row r="376" spans="1:8" ht="13.5" customHeight="1">
      <c r="A376" s="57">
        <f>IF(DAY(DATE(対象年度,$B$2,7))&lt;&gt;7,"",7)</f>
        <v>7</v>
      </c>
      <c r="B376" s="57" t="str">
        <f>IF(DAY(DATE(対象年度,$B$2,7))&lt;&gt;7,"",CHOOSE(WEEKDAY(DATE(対象年度,$B$2,7),2),"月","火","水","木","金","土","日"))</f>
        <v>水</v>
      </c>
      <c r="C376" s="57" t="str">
        <f ca="1">IFERROR(IF(INDEX(INDIRECT("'"&amp;$B$2&amp;"月"&amp;"'!A:AZ"),10,49+0)="","",INDEX(INDIRECT("'"&amp;$B$2&amp;"月"&amp;"'!A:AZ"),10,49+0)),"")</f>
        <v/>
      </c>
      <c r="D376" s="58" t="str">
        <f ca="1">IFERROR(IF(INDEX(INDIRECT("'"&amp;$B$2&amp;"月"&amp;"'!A:AZ"),10,49+1)="","",INDEX(INDIRECT("'"&amp;$B$2&amp;"月"&amp;"'!A:AZ"),10,49+1)),"")</f>
        <v/>
      </c>
      <c r="E376" s="57" t="str">
        <f ca="1">IFERROR(IF(INDEX(INDIRECT("'"&amp;$B$2&amp;"月"&amp;"'!A:AZ"),10,49+2)="","",INDEX(INDIRECT("'"&amp;$B$2&amp;"月"&amp;"'!A:AZ"),10,49+2)),"")</f>
        <v/>
      </c>
      <c r="F376" s="59" t="str">
        <f ca="1">IFERROR(IF(INDEX(INDIRECT("'"&amp;$B$2&amp;"月"&amp;"'!A:AZ"),10,49+3)="","",INDEX(INDIRECT("'"&amp;$B$2&amp;"月"&amp;"'!A:AZ"),10,49+3)),"")</f>
        <v/>
      </c>
      <c r="G376" s="57" t="str">
        <f ca="1">IFERROR(IF(INDEX(INDIRECT("'"&amp;$B$2&amp;"月"&amp;"'!A:AZ"),10,49+4)="","",INDEX(INDIRECT("'"&amp;$B$2&amp;"月"&amp;"'!A:AZ"),10,49+4)),"")</f>
        <v/>
      </c>
      <c r="H376" s="57"/>
    </row>
    <row r="377" spans="1:8" ht="13.5" customHeight="1">
      <c r="A377" s="57">
        <f>IF(DAY(DATE(対象年度,$B$2,8))&lt;&gt;8,"",8)</f>
        <v>8</v>
      </c>
      <c r="B377" s="57" t="str">
        <f>IF(DAY(DATE(対象年度,$B$2,8))&lt;&gt;8,"",CHOOSE(WEEKDAY(DATE(対象年度,$B$2,8),2),"月","火","水","木","金","土","日"))</f>
        <v>木</v>
      </c>
      <c r="C377" s="57" t="str">
        <f ca="1">IFERROR(IF(INDEX(INDIRECT("'"&amp;$B$2&amp;"月"&amp;"'!A:AZ"),11,49+0)="","",INDEX(INDIRECT("'"&amp;$B$2&amp;"月"&amp;"'!A:AZ"),11,49+0)),"")</f>
        <v/>
      </c>
      <c r="D377" s="58" t="str">
        <f ca="1">IFERROR(IF(INDEX(INDIRECT("'"&amp;$B$2&amp;"月"&amp;"'!A:AZ"),11,49+1)="","",INDEX(INDIRECT("'"&amp;$B$2&amp;"月"&amp;"'!A:AZ"),11,49+1)),"")</f>
        <v/>
      </c>
      <c r="E377" s="57" t="str">
        <f ca="1">IFERROR(IF(INDEX(INDIRECT("'"&amp;$B$2&amp;"月"&amp;"'!A:AZ"),11,49+2)="","",INDEX(INDIRECT("'"&amp;$B$2&amp;"月"&amp;"'!A:AZ"),11,49+2)),"")</f>
        <v/>
      </c>
      <c r="F377" s="59" t="str">
        <f ca="1">IFERROR(IF(INDEX(INDIRECT("'"&amp;$B$2&amp;"月"&amp;"'!A:AZ"),11,49+3)="","",INDEX(INDIRECT("'"&amp;$B$2&amp;"月"&amp;"'!A:AZ"),11,49+3)),"")</f>
        <v/>
      </c>
      <c r="G377" s="57" t="str">
        <f ca="1">IFERROR(IF(INDEX(INDIRECT("'"&amp;$B$2&amp;"月"&amp;"'!A:AZ"),11,49+4)="","",INDEX(INDIRECT("'"&amp;$B$2&amp;"月"&amp;"'!A:AZ"),11,49+4)),"")</f>
        <v/>
      </c>
      <c r="H377" s="57"/>
    </row>
    <row r="378" spans="1:8" ht="13.5" customHeight="1">
      <c r="A378" s="57">
        <f>IF(DAY(DATE(対象年度,$B$2,9))&lt;&gt;9,"",9)</f>
        <v>9</v>
      </c>
      <c r="B378" s="57" t="str">
        <f>IF(DAY(DATE(対象年度,$B$2,9))&lt;&gt;9,"",CHOOSE(WEEKDAY(DATE(対象年度,$B$2,9),2),"月","火","水","木","金","土","日"))</f>
        <v>金</v>
      </c>
      <c r="C378" s="57" t="str">
        <f ca="1">IFERROR(IF(INDEX(INDIRECT("'"&amp;$B$2&amp;"月"&amp;"'!A:AZ"),12,49+0)="","",INDEX(INDIRECT("'"&amp;$B$2&amp;"月"&amp;"'!A:AZ"),12,49+0)),"")</f>
        <v/>
      </c>
      <c r="D378" s="58" t="str">
        <f ca="1">IFERROR(IF(INDEX(INDIRECT("'"&amp;$B$2&amp;"月"&amp;"'!A:AZ"),12,49+1)="","",INDEX(INDIRECT("'"&amp;$B$2&amp;"月"&amp;"'!A:AZ"),12,49+1)),"")</f>
        <v/>
      </c>
      <c r="E378" s="57" t="str">
        <f ca="1">IFERROR(IF(INDEX(INDIRECT("'"&amp;$B$2&amp;"月"&amp;"'!A:AZ"),12,49+2)="","",INDEX(INDIRECT("'"&amp;$B$2&amp;"月"&amp;"'!A:AZ"),12,49+2)),"")</f>
        <v/>
      </c>
      <c r="F378" s="59" t="str">
        <f ca="1">IFERROR(IF(INDEX(INDIRECT("'"&amp;$B$2&amp;"月"&amp;"'!A:AZ"),12,49+3)="","",INDEX(INDIRECT("'"&amp;$B$2&amp;"月"&amp;"'!A:AZ"),12,49+3)),"")</f>
        <v/>
      </c>
      <c r="G378" s="57" t="str">
        <f ca="1">IFERROR(IF(INDEX(INDIRECT("'"&amp;$B$2&amp;"月"&amp;"'!A:AZ"),12,49+4)="","",INDEX(INDIRECT("'"&amp;$B$2&amp;"月"&amp;"'!A:AZ"),12,49+4)),"")</f>
        <v/>
      </c>
      <c r="H378" s="57"/>
    </row>
    <row r="379" spans="1:8" ht="13.5" customHeight="1">
      <c r="A379" s="57">
        <f>IF(DAY(DATE(対象年度,$B$2,10))&lt;&gt;10,"",10)</f>
        <v>10</v>
      </c>
      <c r="B379" s="57" t="str">
        <f>IF(DAY(DATE(対象年度,$B$2,10))&lt;&gt;10,"",CHOOSE(WEEKDAY(DATE(対象年度,$B$2,10),2),"月","火","水","木","金","土","日"))</f>
        <v>土</v>
      </c>
      <c r="C379" s="57" t="str">
        <f ca="1">IFERROR(IF(INDEX(INDIRECT("'"&amp;$B$2&amp;"月"&amp;"'!A:AZ"),13,49+0)="","",INDEX(INDIRECT("'"&amp;$B$2&amp;"月"&amp;"'!A:AZ"),13,49+0)),"")</f>
        <v/>
      </c>
      <c r="D379" s="58" t="str">
        <f ca="1">IFERROR(IF(INDEX(INDIRECT("'"&amp;$B$2&amp;"月"&amp;"'!A:AZ"),13,49+1)="","",INDEX(INDIRECT("'"&amp;$B$2&amp;"月"&amp;"'!A:AZ"),13,49+1)),"")</f>
        <v/>
      </c>
      <c r="E379" s="57" t="str">
        <f ca="1">IFERROR(IF(INDEX(INDIRECT("'"&amp;$B$2&amp;"月"&amp;"'!A:AZ"),13,49+2)="","",INDEX(INDIRECT("'"&amp;$B$2&amp;"月"&amp;"'!A:AZ"),13,49+2)),"")</f>
        <v/>
      </c>
      <c r="F379" s="59" t="str">
        <f ca="1">IFERROR(IF(INDEX(INDIRECT("'"&amp;$B$2&amp;"月"&amp;"'!A:AZ"),13,49+3)="","",INDEX(INDIRECT("'"&amp;$B$2&amp;"月"&amp;"'!A:AZ"),13,49+3)),"")</f>
        <v/>
      </c>
      <c r="G379" s="57" t="str">
        <f ca="1">IFERROR(IF(INDEX(INDIRECT("'"&amp;$B$2&amp;"月"&amp;"'!A:AZ"),13,49+4)="","",INDEX(INDIRECT("'"&amp;$B$2&amp;"月"&amp;"'!A:AZ"),13,49+4)),"")</f>
        <v/>
      </c>
      <c r="H379" s="57"/>
    </row>
    <row r="380" spans="1:8" ht="13.5" customHeight="1">
      <c r="A380" s="57">
        <f>IF(DAY(DATE(対象年度,$B$2,11))&lt;&gt;11,"",11)</f>
        <v>11</v>
      </c>
      <c r="B380" s="57" t="str">
        <f>IF(DAY(DATE(対象年度,$B$2,11))&lt;&gt;11,"",CHOOSE(WEEKDAY(DATE(対象年度,$B$2,11),2),"月","火","水","木","金","土","日"))</f>
        <v>日</v>
      </c>
      <c r="C380" s="57" t="str">
        <f ca="1">IFERROR(IF(INDEX(INDIRECT("'"&amp;$B$2&amp;"月"&amp;"'!A:AZ"),14,49+0)="","",INDEX(INDIRECT("'"&amp;$B$2&amp;"月"&amp;"'!A:AZ"),14,49+0)),"")</f>
        <v/>
      </c>
      <c r="D380" s="58" t="str">
        <f ca="1">IFERROR(IF(INDEX(INDIRECT("'"&amp;$B$2&amp;"月"&amp;"'!A:AZ"),14,49+1)="","",INDEX(INDIRECT("'"&amp;$B$2&amp;"月"&amp;"'!A:AZ"),14,49+1)),"")</f>
        <v/>
      </c>
      <c r="E380" s="57" t="str">
        <f ca="1">IFERROR(IF(INDEX(INDIRECT("'"&amp;$B$2&amp;"月"&amp;"'!A:AZ"),14,49+2)="","",INDEX(INDIRECT("'"&amp;$B$2&amp;"月"&amp;"'!A:AZ"),14,49+2)),"")</f>
        <v/>
      </c>
      <c r="F380" s="59" t="str">
        <f ca="1">IFERROR(IF(INDEX(INDIRECT("'"&amp;$B$2&amp;"月"&amp;"'!A:AZ"),14,49+3)="","",INDEX(INDIRECT("'"&amp;$B$2&amp;"月"&amp;"'!A:AZ"),14,49+3)),"")</f>
        <v/>
      </c>
      <c r="G380" s="57" t="str">
        <f ca="1">IFERROR(IF(INDEX(INDIRECT("'"&amp;$B$2&amp;"月"&amp;"'!A:AZ"),14,49+4)="","",INDEX(INDIRECT("'"&amp;$B$2&amp;"月"&amp;"'!A:AZ"),14,49+4)),"")</f>
        <v/>
      </c>
      <c r="H380" s="57"/>
    </row>
    <row r="381" spans="1:8" ht="13.5" customHeight="1">
      <c r="A381" s="57">
        <f>IF(DAY(DATE(対象年度,$B$2,12))&lt;&gt;12,"",12)</f>
        <v>12</v>
      </c>
      <c r="B381" s="57" t="str">
        <f>IF(DAY(DATE(対象年度,$B$2,12))&lt;&gt;12,"",CHOOSE(WEEKDAY(DATE(対象年度,$B$2,12),2),"月","火","水","木","金","土","日"))</f>
        <v>月</v>
      </c>
      <c r="C381" s="57" t="str">
        <f ca="1">IFERROR(IF(INDEX(INDIRECT("'"&amp;$B$2&amp;"月"&amp;"'!A:AZ"),15,49+0)="","",INDEX(INDIRECT("'"&amp;$B$2&amp;"月"&amp;"'!A:AZ"),15,49+0)),"")</f>
        <v/>
      </c>
      <c r="D381" s="58" t="str">
        <f ca="1">IFERROR(IF(INDEX(INDIRECT("'"&amp;$B$2&amp;"月"&amp;"'!A:AZ"),15,49+1)="","",INDEX(INDIRECT("'"&amp;$B$2&amp;"月"&amp;"'!A:AZ"),15,49+1)),"")</f>
        <v/>
      </c>
      <c r="E381" s="57" t="str">
        <f ca="1">IFERROR(IF(INDEX(INDIRECT("'"&amp;$B$2&amp;"月"&amp;"'!A:AZ"),15,49+2)="","",INDEX(INDIRECT("'"&amp;$B$2&amp;"月"&amp;"'!A:AZ"),15,49+2)),"")</f>
        <v/>
      </c>
      <c r="F381" s="59" t="str">
        <f ca="1">IFERROR(IF(INDEX(INDIRECT("'"&amp;$B$2&amp;"月"&amp;"'!A:AZ"),15,49+3)="","",INDEX(INDIRECT("'"&amp;$B$2&amp;"月"&amp;"'!A:AZ"),15,49+3)),"")</f>
        <v/>
      </c>
      <c r="G381" s="57" t="str">
        <f ca="1">IFERROR(IF(INDEX(INDIRECT("'"&amp;$B$2&amp;"月"&amp;"'!A:AZ"),15,49+4)="","",INDEX(INDIRECT("'"&amp;$B$2&amp;"月"&amp;"'!A:AZ"),15,49+4)),"")</f>
        <v/>
      </c>
      <c r="H381" s="57"/>
    </row>
    <row r="382" spans="1:8" ht="13.5" customHeight="1">
      <c r="A382" s="57">
        <f>IF(DAY(DATE(対象年度,$B$2,13))&lt;&gt;13,"",13)</f>
        <v>13</v>
      </c>
      <c r="B382" s="57" t="str">
        <f>IF(DAY(DATE(対象年度,$B$2,13))&lt;&gt;13,"",CHOOSE(WEEKDAY(DATE(対象年度,$B$2,13),2),"月","火","水","木","金","土","日"))</f>
        <v>火</v>
      </c>
      <c r="C382" s="57" t="str">
        <f ca="1">IFERROR(IF(INDEX(INDIRECT("'"&amp;$B$2&amp;"月"&amp;"'!A:AZ"),16,49+0)="","",INDEX(INDIRECT("'"&amp;$B$2&amp;"月"&amp;"'!A:AZ"),16,49+0)),"")</f>
        <v/>
      </c>
      <c r="D382" s="58" t="str">
        <f ca="1">IFERROR(IF(INDEX(INDIRECT("'"&amp;$B$2&amp;"月"&amp;"'!A:AZ"),16,49+1)="","",INDEX(INDIRECT("'"&amp;$B$2&amp;"月"&amp;"'!A:AZ"),16,49+1)),"")</f>
        <v/>
      </c>
      <c r="E382" s="57" t="str">
        <f ca="1">IFERROR(IF(INDEX(INDIRECT("'"&amp;$B$2&amp;"月"&amp;"'!A:AZ"),16,49+2)="","",INDEX(INDIRECT("'"&amp;$B$2&amp;"月"&amp;"'!A:AZ"),16,49+2)),"")</f>
        <v/>
      </c>
      <c r="F382" s="59" t="str">
        <f ca="1">IFERROR(IF(INDEX(INDIRECT("'"&amp;$B$2&amp;"月"&amp;"'!A:AZ"),16,49+3)="","",INDEX(INDIRECT("'"&amp;$B$2&amp;"月"&amp;"'!A:AZ"),16,49+3)),"")</f>
        <v/>
      </c>
      <c r="G382" s="57" t="str">
        <f ca="1">IFERROR(IF(INDEX(INDIRECT("'"&amp;$B$2&amp;"月"&amp;"'!A:AZ"),16,49+4)="","",INDEX(INDIRECT("'"&amp;$B$2&amp;"月"&amp;"'!A:AZ"),16,49+4)),"")</f>
        <v/>
      </c>
      <c r="H382" s="57"/>
    </row>
    <row r="383" spans="1:8" ht="13.5" customHeight="1">
      <c r="A383" s="57">
        <f>IF(DAY(DATE(対象年度,$B$2,14))&lt;&gt;14,"",14)</f>
        <v>14</v>
      </c>
      <c r="B383" s="57" t="str">
        <f>IF(DAY(DATE(対象年度,$B$2,14))&lt;&gt;14,"",CHOOSE(WEEKDAY(DATE(対象年度,$B$2,14),2),"月","火","水","木","金","土","日"))</f>
        <v>水</v>
      </c>
      <c r="C383" s="57" t="str">
        <f ca="1">IFERROR(IF(INDEX(INDIRECT("'"&amp;$B$2&amp;"月"&amp;"'!A:AZ"),17,49+0)="","",INDEX(INDIRECT("'"&amp;$B$2&amp;"月"&amp;"'!A:AZ"),17,49+0)),"")</f>
        <v/>
      </c>
      <c r="D383" s="58" t="str">
        <f ca="1">IFERROR(IF(INDEX(INDIRECT("'"&amp;$B$2&amp;"月"&amp;"'!A:AZ"),17,49+1)="","",INDEX(INDIRECT("'"&amp;$B$2&amp;"月"&amp;"'!A:AZ"),17,49+1)),"")</f>
        <v/>
      </c>
      <c r="E383" s="57" t="str">
        <f ca="1">IFERROR(IF(INDEX(INDIRECT("'"&amp;$B$2&amp;"月"&amp;"'!A:AZ"),17,49+2)="","",INDEX(INDIRECT("'"&amp;$B$2&amp;"月"&amp;"'!A:AZ"),17,49+2)),"")</f>
        <v/>
      </c>
      <c r="F383" s="59" t="str">
        <f ca="1">IFERROR(IF(INDEX(INDIRECT("'"&amp;$B$2&amp;"月"&amp;"'!A:AZ"),17,49+3)="","",INDEX(INDIRECT("'"&amp;$B$2&amp;"月"&amp;"'!A:AZ"),17,49+3)),"")</f>
        <v/>
      </c>
      <c r="G383" s="57" t="str">
        <f ca="1">IFERROR(IF(INDEX(INDIRECT("'"&amp;$B$2&amp;"月"&amp;"'!A:AZ"),17,49+4)="","",INDEX(INDIRECT("'"&amp;$B$2&amp;"月"&amp;"'!A:AZ"),17,49+4)),"")</f>
        <v/>
      </c>
      <c r="H383" s="57"/>
    </row>
    <row r="384" spans="1:8" ht="13.5" customHeight="1">
      <c r="A384" s="57">
        <f>IF(DAY(DATE(対象年度,$B$2,15))&lt;&gt;15,"",15)</f>
        <v>15</v>
      </c>
      <c r="B384" s="57" t="str">
        <f>IF(DAY(DATE(対象年度,$B$2,15))&lt;&gt;15,"",CHOOSE(WEEKDAY(DATE(対象年度,$B$2,15),2),"月","火","水","木","金","土","日"))</f>
        <v>木</v>
      </c>
      <c r="C384" s="57" t="str">
        <f ca="1">IFERROR(IF(INDEX(INDIRECT("'"&amp;$B$2&amp;"月"&amp;"'!A:AZ"),18,49+0)="","",INDEX(INDIRECT("'"&amp;$B$2&amp;"月"&amp;"'!A:AZ"),18,49+0)),"")</f>
        <v/>
      </c>
      <c r="D384" s="58" t="str">
        <f ca="1">IFERROR(IF(INDEX(INDIRECT("'"&amp;$B$2&amp;"月"&amp;"'!A:AZ"),18,49+1)="","",INDEX(INDIRECT("'"&amp;$B$2&amp;"月"&amp;"'!A:AZ"),18,49+1)),"")</f>
        <v/>
      </c>
      <c r="E384" s="57" t="str">
        <f ca="1">IFERROR(IF(INDEX(INDIRECT("'"&amp;$B$2&amp;"月"&amp;"'!A:AZ"),18,49+2)="","",INDEX(INDIRECT("'"&amp;$B$2&amp;"月"&amp;"'!A:AZ"),18,49+2)),"")</f>
        <v/>
      </c>
      <c r="F384" s="59" t="str">
        <f ca="1">IFERROR(IF(INDEX(INDIRECT("'"&amp;$B$2&amp;"月"&amp;"'!A:AZ"),18,49+3)="","",INDEX(INDIRECT("'"&amp;$B$2&amp;"月"&amp;"'!A:AZ"),18,49+3)),"")</f>
        <v/>
      </c>
      <c r="G384" s="57" t="str">
        <f ca="1">IFERROR(IF(INDEX(INDIRECT("'"&amp;$B$2&amp;"月"&amp;"'!A:AZ"),18,49+4)="","",INDEX(INDIRECT("'"&amp;$B$2&amp;"月"&amp;"'!A:AZ"),18,49+4)),"")</f>
        <v/>
      </c>
      <c r="H384" s="57"/>
    </row>
    <row r="385" spans="1:8" ht="13.5" customHeight="1">
      <c r="A385" s="57">
        <f>IF(DAY(DATE(対象年度,$B$2,16))&lt;&gt;16,"",16)</f>
        <v>16</v>
      </c>
      <c r="B385" s="57" t="str">
        <f>IF(DAY(DATE(対象年度,$B$2,16))&lt;&gt;16,"",CHOOSE(WEEKDAY(DATE(対象年度,$B$2,16),2),"月","火","水","木","金","土","日"))</f>
        <v>金</v>
      </c>
      <c r="C385" s="57" t="str">
        <f ca="1">IFERROR(IF(INDEX(INDIRECT("'"&amp;$B$2&amp;"月"&amp;"'!A:AZ"),19,49+0)="","",INDEX(INDIRECT("'"&amp;$B$2&amp;"月"&amp;"'!A:AZ"),19,49+0)),"")</f>
        <v/>
      </c>
      <c r="D385" s="58" t="str">
        <f ca="1">IFERROR(IF(INDEX(INDIRECT("'"&amp;$B$2&amp;"月"&amp;"'!A:AZ"),19,49+1)="","",INDEX(INDIRECT("'"&amp;$B$2&amp;"月"&amp;"'!A:AZ"),19,49+1)),"")</f>
        <v/>
      </c>
      <c r="E385" s="57" t="str">
        <f ca="1">IFERROR(IF(INDEX(INDIRECT("'"&amp;$B$2&amp;"月"&amp;"'!A:AZ"),19,49+2)="","",INDEX(INDIRECT("'"&amp;$B$2&amp;"月"&amp;"'!A:AZ"),19,49+2)),"")</f>
        <v/>
      </c>
      <c r="F385" s="59" t="str">
        <f ca="1">IFERROR(IF(INDEX(INDIRECT("'"&amp;$B$2&amp;"月"&amp;"'!A:AZ"),19,49+3)="","",INDEX(INDIRECT("'"&amp;$B$2&amp;"月"&amp;"'!A:AZ"),19,49+3)),"")</f>
        <v/>
      </c>
      <c r="G385" s="57" t="str">
        <f ca="1">IFERROR(IF(INDEX(INDIRECT("'"&amp;$B$2&amp;"月"&amp;"'!A:AZ"),19,49+4)="","",INDEX(INDIRECT("'"&amp;$B$2&amp;"月"&amp;"'!A:AZ"),19,49+4)),"")</f>
        <v/>
      </c>
      <c r="H385" s="57"/>
    </row>
    <row r="386" spans="1:8" ht="13.5" customHeight="1">
      <c r="A386" s="57">
        <f>IF(DAY(DATE(対象年度,$B$2,17))&lt;&gt;17,"",17)</f>
        <v>17</v>
      </c>
      <c r="B386" s="57" t="str">
        <f>IF(DAY(DATE(対象年度,$B$2,17))&lt;&gt;17,"",CHOOSE(WEEKDAY(DATE(対象年度,$B$2,17),2),"月","火","水","木","金","土","日"))</f>
        <v>土</v>
      </c>
      <c r="C386" s="57" t="str">
        <f ca="1">IFERROR(IF(INDEX(INDIRECT("'"&amp;$B$2&amp;"月"&amp;"'!A:AZ"),20,49+0)="","",INDEX(INDIRECT("'"&amp;$B$2&amp;"月"&amp;"'!A:AZ"),20,49+0)),"")</f>
        <v/>
      </c>
      <c r="D386" s="58" t="str">
        <f ca="1">IFERROR(IF(INDEX(INDIRECT("'"&amp;$B$2&amp;"月"&amp;"'!A:AZ"),20,49+1)="","",INDEX(INDIRECT("'"&amp;$B$2&amp;"月"&amp;"'!A:AZ"),20,49+1)),"")</f>
        <v/>
      </c>
      <c r="E386" s="57" t="str">
        <f ca="1">IFERROR(IF(INDEX(INDIRECT("'"&amp;$B$2&amp;"月"&amp;"'!A:AZ"),20,49+2)="","",INDEX(INDIRECT("'"&amp;$B$2&amp;"月"&amp;"'!A:AZ"),20,49+2)),"")</f>
        <v/>
      </c>
      <c r="F386" s="59" t="str">
        <f ca="1">IFERROR(IF(INDEX(INDIRECT("'"&amp;$B$2&amp;"月"&amp;"'!A:AZ"),20,49+3)="","",INDEX(INDIRECT("'"&amp;$B$2&amp;"月"&amp;"'!A:AZ"),20,49+3)),"")</f>
        <v/>
      </c>
      <c r="G386" s="57" t="str">
        <f ca="1">IFERROR(IF(INDEX(INDIRECT("'"&amp;$B$2&amp;"月"&amp;"'!A:AZ"),20,49+4)="","",INDEX(INDIRECT("'"&amp;$B$2&amp;"月"&amp;"'!A:AZ"),20,49+4)),"")</f>
        <v/>
      </c>
      <c r="H386" s="57"/>
    </row>
    <row r="387" spans="1:8" ht="13.5" customHeight="1">
      <c r="A387" s="57">
        <f>IF(DAY(DATE(対象年度,$B$2,18))&lt;&gt;18,"",18)</f>
        <v>18</v>
      </c>
      <c r="B387" s="57" t="str">
        <f>IF(DAY(DATE(対象年度,$B$2,18))&lt;&gt;18,"",CHOOSE(WEEKDAY(DATE(対象年度,$B$2,18),2),"月","火","水","木","金","土","日"))</f>
        <v>日</v>
      </c>
      <c r="C387" s="57" t="str">
        <f ca="1">IFERROR(IF(INDEX(INDIRECT("'"&amp;$B$2&amp;"月"&amp;"'!A:AZ"),21,49+0)="","",INDEX(INDIRECT("'"&amp;$B$2&amp;"月"&amp;"'!A:AZ"),21,49+0)),"")</f>
        <v/>
      </c>
      <c r="D387" s="58" t="str">
        <f ca="1">IFERROR(IF(INDEX(INDIRECT("'"&amp;$B$2&amp;"月"&amp;"'!A:AZ"),21,49+1)="","",INDEX(INDIRECT("'"&amp;$B$2&amp;"月"&amp;"'!A:AZ"),21,49+1)),"")</f>
        <v/>
      </c>
      <c r="E387" s="57" t="str">
        <f ca="1">IFERROR(IF(INDEX(INDIRECT("'"&amp;$B$2&amp;"月"&amp;"'!A:AZ"),21,49+2)="","",INDEX(INDIRECT("'"&amp;$B$2&amp;"月"&amp;"'!A:AZ"),21,49+2)),"")</f>
        <v/>
      </c>
      <c r="F387" s="59" t="str">
        <f ca="1">IFERROR(IF(INDEX(INDIRECT("'"&amp;$B$2&amp;"月"&amp;"'!A:AZ"),21,49+3)="","",INDEX(INDIRECT("'"&amp;$B$2&amp;"月"&amp;"'!A:AZ"),21,49+3)),"")</f>
        <v/>
      </c>
      <c r="G387" s="57" t="str">
        <f ca="1">IFERROR(IF(INDEX(INDIRECT("'"&amp;$B$2&amp;"月"&amp;"'!A:AZ"),21,49+4)="","",INDEX(INDIRECT("'"&amp;$B$2&amp;"月"&amp;"'!A:AZ"),21,49+4)),"")</f>
        <v/>
      </c>
      <c r="H387" s="57"/>
    </row>
    <row r="388" spans="1:8" ht="13.5" customHeight="1">
      <c r="A388" s="57">
        <f>IF(DAY(DATE(対象年度,$B$2,19))&lt;&gt;19,"",19)</f>
        <v>19</v>
      </c>
      <c r="B388" s="57" t="str">
        <f>IF(DAY(DATE(対象年度,$B$2,19))&lt;&gt;19,"",CHOOSE(WEEKDAY(DATE(対象年度,$B$2,19),2),"月","火","水","木","金","土","日"))</f>
        <v>月</v>
      </c>
      <c r="C388" s="57" t="str">
        <f ca="1">IFERROR(IF(INDEX(INDIRECT("'"&amp;$B$2&amp;"月"&amp;"'!A:AZ"),22,49+0)="","",INDEX(INDIRECT("'"&amp;$B$2&amp;"月"&amp;"'!A:AZ"),22,49+0)),"")</f>
        <v/>
      </c>
      <c r="D388" s="58" t="str">
        <f ca="1">IFERROR(IF(INDEX(INDIRECT("'"&amp;$B$2&amp;"月"&amp;"'!A:AZ"),22,49+1)="","",INDEX(INDIRECT("'"&amp;$B$2&amp;"月"&amp;"'!A:AZ"),22,49+1)),"")</f>
        <v/>
      </c>
      <c r="E388" s="57" t="str">
        <f ca="1">IFERROR(IF(INDEX(INDIRECT("'"&amp;$B$2&amp;"月"&amp;"'!A:AZ"),22,49+2)="","",INDEX(INDIRECT("'"&amp;$B$2&amp;"月"&amp;"'!A:AZ"),22,49+2)),"")</f>
        <v/>
      </c>
      <c r="F388" s="59" t="str">
        <f ca="1">IFERROR(IF(INDEX(INDIRECT("'"&amp;$B$2&amp;"月"&amp;"'!A:AZ"),22,49+3)="","",INDEX(INDIRECT("'"&amp;$B$2&amp;"月"&amp;"'!A:AZ"),22,49+3)),"")</f>
        <v/>
      </c>
      <c r="G388" s="57" t="str">
        <f ca="1">IFERROR(IF(INDEX(INDIRECT("'"&amp;$B$2&amp;"月"&amp;"'!A:AZ"),22,49+4)="","",INDEX(INDIRECT("'"&amp;$B$2&amp;"月"&amp;"'!A:AZ"),22,49+4)),"")</f>
        <v/>
      </c>
      <c r="H388" s="57"/>
    </row>
    <row r="389" spans="1:8" ht="13.5" customHeight="1">
      <c r="A389" s="57">
        <f>IF(DAY(DATE(対象年度,$B$2,20))&lt;&gt;20,"",20)</f>
        <v>20</v>
      </c>
      <c r="B389" s="57" t="str">
        <f>IF(DAY(DATE(対象年度,$B$2,20))&lt;&gt;20,"",CHOOSE(WEEKDAY(DATE(対象年度,$B$2,20),2),"月","火","水","木","金","土","日"))</f>
        <v>火</v>
      </c>
      <c r="C389" s="57" t="str">
        <f ca="1">IFERROR(IF(INDEX(INDIRECT("'"&amp;$B$2&amp;"月"&amp;"'!A:AZ"),23,49+0)="","",INDEX(INDIRECT("'"&amp;$B$2&amp;"月"&amp;"'!A:AZ"),23,49+0)),"")</f>
        <v/>
      </c>
      <c r="D389" s="58" t="str">
        <f ca="1">IFERROR(IF(INDEX(INDIRECT("'"&amp;$B$2&amp;"月"&amp;"'!A:AZ"),23,49+1)="","",INDEX(INDIRECT("'"&amp;$B$2&amp;"月"&amp;"'!A:AZ"),23,49+1)),"")</f>
        <v/>
      </c>
      <c r="E389" s="57" t="str">
        <f ca="1">IFERROR(IF(INDEX(INDIRECT("'"&amp;$B$2&amp;"月"&amp;"'!A:AZ"),23,49+2)="","",INDEX(INDIRECT("'"&amp;$B$2&amp;"月"&amp;"'!A:AZ"),23,49+2)),"")</f>
        <v/>
      </c>
      <c r="F389" s="59" t="str">
        <f ca="1">IFERROR(IF(INDEX(INDIRECT("'"&amp;$B$2&amp;"月"&amp;"'!A:AZ"),23,49+3)="","",INDEX(INDIRECT("'"&amp;$B$2&amp;"月"&amp;"'!A:AZ"),23,49+3)),"")</f>
        <v/>
      </c>
      <c r="G389" s="57" t="str">
        <f ca="1">IFERROR(IF(INDEX(INDIRECT("'"&amp;$B$2&amp;"月"&amp;"'!A:AZ"),23,49+4)="","",INDEX(INDIRECT("'"&amp;$B$2&amp;"月"&amp;"'!A:AZ"),23,49+4)),"")</f>
        <v/>
      </c>
      <c r="H389" s="57"/>
    </row>
    <row r="390" spans="1:8" ht="13.5" customHeight="1">
      <c r="A390" s="57">
        <f>IF(DAY(DATE(対象年度,$B$2,21))&lt;&gt;21,"",21)</f>
        <v>21</v>
      </c>
      <c r="B390" s="57" t="str">
        <f>IF(DAY(DATE(対象年度,$B$2,21))&lt;&gt;21,"",CHOOSE(WEEKDAY(DATE(対象年度,$B$2,21),2),"月","火","水","木","金","土","日"))</f>
        <v>水</v>
      </c>
      <c r="C390" s="57" t="str">
        <f ca="1">IFERROR(IF(INDEX(INDIRECT("'"&amp;$B$2&amp;"月"&amp;"'!A:AZ"),24,49+0)="","",INDEX(INDIRECT("'"&amp;$B$2&amp;"月"&amp;"'!A:AZ"),24,49+0)),"")</f>
        <v/>
      </c>
      <c r="D390" s="58" t="str">
        <f ca="1">IFERROR(IF(INDEX(INDIRECT("'"&amp;$B$2&amp;"月"&amp;"'!A:AZ"),24,49+1)="","",INDEX(INDIRECT("'"&amp;$B$2&amp;"月"&amp;"'!A:AZ"),24,49+1)),"")</f>
        <v/>
      </c>
      <c r="E390" s="57" t="str">
        <f ca="1">IFERROR(IF(INDEX(INDIRECT("'"&amp;$B$2&amp;"月"&amp;"'!A:AZ"),24,49+2)="","",INDEX(INDIRECT("'"&amp;$B$2&amp;"月"&amp;"'!A:AZ"),24,49+2)),"")</f>
        <v/>
      </c>
      <c r="F390" s="59" t="str">
        <f ca="1">IFERROR(IF(INDEX(INDIRECT("'"&amp;$B$2&amp;"月"&amp;"'!A:AZ"),24,49+3)="","",INDEX(INDIRECT("'"&amp;$B$2&amp;"月"&amp;"'!A:AZ"),24,49+3)),"")</f>
        <v/>
      </c>
      <c r="G390" s="57" t="str">
        <f ca="1">IFERROR(IF(INDEX(INDIRECT("'"&amp;$B$2&amp;"月"&amp;"'!A:AZ"),24,49+4)="","",INDEX(INDIRECT("'"&amp;$B$2&amp;"月"&amp;"'!A:AZ"),24,49+4)),"")</f>
        <v/>
      </c>
      <c r="H390" s="57"/>
    </row>
    <row r="391" spans="1:8" ht="13.5" customHeight="1">
      <c r="A391" s="57">
        <f>IF(DAY(DATE(対象年度,$B$2,22))&lt;&gt;22,"",22)</f>
        <v>22</v>
      </c>
      <c r="B391" s="57" t="str">
        <f>IF(DAY(DATE(対象年度,$B$2,22))&lt;&gt;22,"",CHOOSE(WEEKDAY(DATE(対象年度,$B$2,22),2),"月","火","水","木","金","土","日"))</f>
        <v>木</v>
      </c>
      <c r="C391" s="57" t="str">
        <f ca="1">IFERROR(IF(INDEX(INDIRECT("'"&amp;$B$2&amp;"月"&amp;"'!A:AZ"),25,49+0)="","",INDEX(INDIRECT("'"&amp;$B$2&amp;"月"&amp;"'!A:AZ"),25,49+0)),"")</f>
        <v/>
      </c>
      <c r="D391" s="58" t="str">
        <f ca="1">IFERROR(IF(INDEX(INDIRECT("'"&amp;$B$2&amp;"月"&amp;"'!A:AZ"),25,49+1)="","",INDEX(INDIRECT("'"&amp;$B$2&amp;"月"&amp;"'!A:AZ"),25,49+1)),"")</f>
        <v/>
      </c>
      <c r="E391" s="57" t="str">
        <f ca="1">IFERROR(IF(INDEX(INDIRECT("'"&amp;$B$2&amp;"月"&amp;"'!A:AZ"),25,49+2)="","",INDEX(INDIRECT("'"&amp;$B$2&amp;"月"&amp;"'!A:AZ"),25,49+2)),"")</f>
        <v/>
      </c>
      <c r="F391" s="59" t="str">
        <f ca="1">IFERROR(IF(INDEX(INDIRECT("'"&amp;$B$2&amp;"月"&amp;"'!A:AZ"),25,49+3)="","",INDEX(INDIRECT("'"&amp;$B$2&amp;"月"&amp;"'!A:AZ"),25,49+3)),"")</f>
        <v/>
      </c>
      <c r="G391" s="57" t="str">
        <f ca="1">IFERROR(IF(INDEX(INDIRECT("'"&amp;$B$2&amp;"月"&amp;"'!A:AZ"),25,49+4)="","",INDEX(INDIRECT("'"&amp;$B$2&amp;"月"&amp;"'!A:AZ"),25,49+4)),"")</f>
        <v/>
      </c>
      <c r="H391" s="57"/>
    </row>
    <row r="392" spans="1:8" ht="13.5" customHeight="1">
      <c r="A392" s="57">
        <f>IF(DAY(DATE(対象年度,$B$2,23))&lt;&gt;23,"",23)</f>
        <v>23</v>
      </c>
      <c r="B392" s="57" t="str">
        <f>IF(DAY(DATE(対象年度,$B$2,23))&lt;&gt;23,"",CHOOSE(WEEKDAY(DATE(対象年度,$B$2,23),2),"月","火","水","木","金","土","日"))</f>
        <v>金</v>
      </c>
      <c r="C392" s="57" t="str">
        <f ca="1">IFERROR(IF(INDEX(INDIRECT("'"&amp;$B$2&amp;"月"&amp;"'!A:AZ"),26,49+0)="","",INDEX(INDIRECT("'"&amp;$B$2&amp;"月"&amp;"'!A:AZ"),26,49+0)),"")</f>
        <v/>
      </c>
      <c r="D392" s="58" t="str">
        <f ca="1">IFERROR(IF(INDEX(INDIRECT("'"&amp;$B$2&amp;"月"&amp;"'!A:AZ"),26,49+1)="","",INDEX(INDIRECT("'"&amp;$B$2&amp;"月"&amp;"'!A:AZ"),26,49+1)),"")</f>
        <v/>
      </c>
      <c r="E392" s="57" t="str">
        <f ca="1">IFERROR(IF(INDEX(INDIRECT("'"&amp;$B$2&amp;"月"&amp;"'!A:AZ"),26,49+2)="","",INDEX(INDIRECT("'"&amp;$B$2&amp;"月"&amp;"'!A:AZ"),26,49+2)),"")</f>
        <v/>
      </c>
      <c r="F392" s="59" t="str">
        <f ca="1">IFERROR(IF(INDEX(INDIRECT("'"&amp;$B$2&amp;"月"&amp;"'!A:AZ"),26,49+3)="","",INDEX(INDIRECT("'"&amp;$B$2&amp;"月"&amp;"'!A:AZ"),26,49+3)),"")</f>
        <v/>
      </c>
      <c r="G392" s="57" t="str">
        <f ca="1">IFERROR(IF(INDEX(INDIRECT("'"&amp;$B$2&amp;"月"&amp;"'!A:AZ"),26,49+4)="","",INDEX(INDIRECT("'"&amp;$B$2&amp;"月"&amp;"'!A:AZ"),26,49+4)),"")</f>
        <v/>
      </c>
      <c r="H392" s="57"/>
    </row>
    <row r="393" spans="1:8" ht="13.5" customHeight="1">
      <c r="A393" s="57">
        <f>IF(DAY(DATE(対象年度,$B$2,24))&lt;&gt;24,"",24)</f>
        <v>24</v>
      </c>
      <c r="B393" s="57" t="str">
        <f>IF(DAY(DATE(対象年度,$B$2,24))&lt;&gt;24,"",CHOOSE(WEEKDAY(DATE(対象年度,$B$2,24),2),"月","火","水","木","金","土","日"))</f>
        <v>土</v>
      </c>
      <c r="C393" s="57" t="str">
        <f ca="1">IFERROR(IF(INDEX(INDIRECT("'"&amp;$B$2&amp;"月"&amp;"'!A:AZ"),27,49+0)="","",INDEX(INDIRECT("'"&amp;$B$2&amp;"月"&amp;"'!A:AZ"),27,49+0)),"")</f>
        <v/>
      </c>
      <c r="D393" s="58" t="str">
        <f ca="1">IFERROR(IF(INDEX(INDIRECT("'"&amp;$B$2&amp;"月"&amp;"'!A:AZ"),27,49+1)="","",INDEX(INDIRECT("'"&amp;$B$2&amp;"月"&amp;"'!A:AZ"),27,49+1)),"")</f>
        <v/>
      </c>
      <c r="E393" s="57" t="str">
        <f ca="1">IFERROR(IF(INDEX(INDIRECT("'"&amp;$B$2&amp;"月"&amp;"'!A:AZ"),27,49+2)="","",INDEX(INDIRECT("'"&amp;$B$2&amp;"月"&amp;"'!A:AZ"),27,49+2)),"")</f>
        <v/>
      </c>
      <c r="F393" s="59" t="str">
        <f ca="1">IFERROR(IF(INDEX(INDIRECT("'"&amp;$B$2&amp;"月"&amp;"'!A:AZ"),27,49+3)="","",INDEX(INDIRECT("'"&amp;$B$2&amp;"月"&amp;"'!A:AZ"),27,49+3)),"")</f>
        <v/>
      </c>
      <c r="G393" s="57" t="str">
        <f ca="1">IFERROR(IF(INDEX(INDIRECT("'"&amp;$B$2&amp;"月"&amp;"'!A:AZ"),27,49+4)="","",INDEX(INDIRECT("'"&amp;$B$2&amp;"月"&amp;"'!A:AZ"),27,49+4)),"")</f>
        <v/>
      </c>
      <c r="H393" s="57"/>
    </row>
    <row r="394" spans="1:8" ht="13.5" customHeight="1">
      <c r="A394" s="57">
        <f>IF(DAY(DATE(対象年度,$B$2,25))&lt;&gt;25,"",25)</f>
        <v>25</v>
      </c>
      <c r="B394" s="57" t="str">
        <f>IF(DAY(DATE(対象年度,$B$2,25))&lt;&gt;25,"",CHOOSE(WEEKDAY(DATE(対象年度,$B$2,25),2),"月","火","水","木","金","土","日"))</f>
        <v>日</v>
      </c>
      <c r="C394" s="57" t="str">
        <f ca="1">IFERROR(IF(INDEX(INDIRECT("'"&amp;$B$2&amp;"月"&amp;"'!A:AZ"),28,49+0)="","",INDEX(INDIRECT("'"&amp;$B$2&amp;"月"&amp;"'!A:AZ"),28,49+0)),"")</f>
        <v/>
      </c>
      <c r="D394" s="58" t="str">
        <f ca="1">IFERROR(IF(INDEX(INDIRECT("'"&amp;$B$2&amp;"月"&amp;"'!A:AZ"),28,49+1)="","",INDEX(INDIRECT("'"&amp;$B$2&amp;"月"&amp;"'!A:AZ"),28,49+1)),"")</f>
        <v/>
      </c>
      <c r="E394" s="57" t="str">
        <f ca="1">IFERROR(IF(INDEX(INDIRECT("'"&amp;$B$2&amp;"月"&amp;"'!A:AZ"),28,49+2)="","",INDEX(INDIRECT("'"&amp;$B$2&amp;"月"&amp;"'!A:AZ"),28,49+2)),"")</f>
        <v/>
      </c>
      <c r="F394" s="59" t="str">
        <f ca="1">IFERROR(IF(INDEX(INDIRECT("'"&amp;$B$2&amp;"月"&amp;"'!A:AZ"),28,49+3)="","",INDEX(INDIRECT("'"&amp;$B$2&amp;"月"&amp;"'!A:AZ"),28,49+3)),"")</f>
        <v/>
      </c>
      <c r="G394" s="57" t="str">
        <f ca="1">IFERROR(IF(INDEX(INDIRECT("'"&amp;$B$2&amp;"月"&amp;"'!A:AZ"),28,49+4)="","",INDEX(INDIRECT("'"&amp;$B$2&amp;"月"&amp;"'!A:AZ"),28,49+4)),"")</f>
        <v/>
      </c>
      <c r="H394" s="57"/>
    </row>
    <row r="395" spans="1:8" ht="13.5" customHeight="1">
      <c r="A395" s="57">
        <f>IF(DAY(DATE(対象年度,$B$2,26))&lt;&gt;26,"",26)</f>
        <v>26</v>
      </c>
      <c r="B395" s="57" t="str">
        <f>IF(DAY(DATE(対象年度,$B$2,26))&lt;&gt;26,"",CHOOSE(WEEKDAY(DATE(対象年度,$B$2,26),2),"月","火","水","木","金","土","日"))</f>
        <v>月</v>
      </c>
      <c r="C395" s="57" t="str">
        <f ca="1">IFERROR(IF(INDEX(INDIRECT("'"&amp;$B$2&amp;"月"&amp;"'!A:AZ"),29,49+0)="","",INDEX(INDIRECT("'"&amp;$B$2&amp;"月"&amp;"'!A:AZ"),29,49+0)),"")</f>
        <v/>
      </c>
      <c r="D395" s="58" t="str">
        <f ca="1">IFERROR(IF(INDEX(INDIRECT("'"&amp;$B$2&amp;"月"&amp;"'!A:AZ"),29,49+1)="","",INDEX(INDIRECT("'"&amp;$B$2&amp;"月"&amp;"'!A:AZ"),29,49+1)),"")</f>
        <v/>
      </c>
      <c r="E395" s="57" t="str">
        <f ca="1">IFERROR(IF(INDEX(INDIRECT("'"&amp;$B$2&amp;"月"&amp;"'!A:AZ"),29,49+2)="","",INDEX(INDIRECT("'"&amp;$B$2&amp;"月"&amp;"'!A:AZ"),29,49+2)),"")</f>
        <v/>
      </c>
      <c r="F395" s="59" t="str">
        <f ca="1">IFERROR(IF(INDEX(INDIRECT("'"&amp;$B$2&amp;"月"&amp;"'!A:AZ"),29,49+3)="","",INDEX(INDIRECT("'"&amp;$B$2&amp;"月"&amp;"'!A:AZ"),29,49+3)),"")</f>
        <v/>
      </c>
      <c r="G395" s="57" t="str">
        <f ca="1">IFERROR(IF(INDEX(INDIRECT("'"&amp;$B$2&amp;"月"&amp;"'!A:AZ"),29,49+4)="","",INDEX(INDIRECT("'"&amp;$B$2&amp;"月"&amp;"'!A:AZ"),29,49+4)),"")</f>
        <v/>
      </c>
      <c r="H395" s="57"/>
    </row>
    <row r="396" spans="1:8" ht="13.5" customHeight="1">
      <c r="A396" s="57">
        <f>IF(DAY(DATE(対象年度,$B$2,27))&lt;&gt;27,"",27)</f>
        <v>27</v>
      </c>
      <c r="B396" s="57" t="str">
        <f>IF(DAY(DATE(対象年度,$B$2,27))&lt;&gt;27,"",CHOOSE(WEEKDAY(DATE(対象年度,$B$2,27),2),"月","火","水","木","金","土","日"))</f>
        <v>火</v>
      </c>
      <c r="C396" s="57" t="str">
        <f ca="1">IFERROR(IF(INDEX(INDIRECT("'"&amp;$B$2&amp;"月"&amp;"'!A:AZ"),30,49+0)="","",INDEX(INDIRECT("'"&amp;$B$2&amp;"月"&amp;"'!A:AZ"),30,49+0)),"")</f>
        <v/>
      </c>
      <c r="D396" s="58" t="str">
        <f ca="1">IFERROR(IF(INDEX(INDIRECT("'"&amp;$B$2&amp;"月"&amp;"'!A:AZ"),30,49+1)="","",INDEX(INDIRECT("'"&amp;$B$2&amp;"月"&amp;"'!A:AZ"),30,49+1)),"")</f>
        <v/>
      </c>
      <c r="E396" s="57" t="str">
        <f ca="1">IFERROR(IF(INDEX(INDIRECT("'"&amp;$B$2&amp;"月"&amp;"'!A:AZ"),30,49+2)="","",INDEX(INDIRECT("'"&amp;$B$2&amp;"月"&amp;"'!A:AZ"),30,49+2)),"")</f>
        <v/>
      </c>
      <c r="F396" s="59" t="str">
        <f ca="1">IFERROR(IF(INDEX(INDIRECT("'"&amp;$B$2&amp;"月"&amp;"'!A:AZ"),30,49+3)="","",INDEX(INDIRECT("'"&amp;$B$2&amp;"月"&amp;"'!A:AZ"),30,49+3)),"")</f>
        <v/>
      </c>
      <c r="G396" s="57" t="str">
        <f ca="1">IFERROR(IF(INDEX(INDIRECT("'"&amp;$B$2&amp;"月"&amp;"'!A:AZ"),30,49+4)="","",INDEX(INDIRECT("'"&amp;$B$2&amp;"月"&amp;"'!A:AZ"),30,49+4)),"")</f>
        <v/>
      </c>
      <c r="H396" s="57"/>
    </row>
    <row r="397" spans="1:8" ht="13.5" customHeight="1">
      <c r="A397" s="57">
        <f>IF(DAY(DATE(対象年度,$B$2,28))&lt;&gt;28,"",28)</f>
        <v>28</v>
      </c>
      <c r="B397" s="57" t="str">
        <f>IF(DAY(DATE(対象年度,$B$2,28))&lt;&gt;28,"",CHOOSE(WEEKDAY(DATE(対象年度,$B$2,28),2),"月","火","水","木","金","土","日"))</f>
        <v>水</v>
      </c>
      <c r="C397" s="57" t="str">
        <f ca="1">IFERROR(IF(INDEX(INDIRECT("'"&amp;$B$2&amp;"月"&amp;"'!A:AZ"),31,49+0)="","",INDEX(INDIRECT("'"&amp;$B$2&amp;"月"&amp;"'!A:AZ"),31,49+0)),"")</f>
        <v/>
      </c>
      <c r="D397" s="58" t="str">
        <f ca="1">IFERROR(IF(INDEX(INDIRECT("'"&amp;$B$2&amp;"月"&amp;"'!A:AZ"),31,49+1)="","",INDEX(INDIRECT("'"&amp;$B$2&amp;"月"&amp;"'!A:AZ"),31,49+1)),"")</f>
        <v/>
      </c>
      <c r="E397" s="57" t="str">
        <f ca="1">IFERROR(IF(INDEX(INDIRECT("'"&amp;$B$2&amp;"月"&amp;"'!A:AZ"),31,49+2)="","",INDEX(INDIRECT("'"&amp;$B$2&amp;"月"&amp;"'!A:AZ"),31,49+2)),"")</f>
        <v/>
      </c>
      <c r="F397" s="59" t="str">
        <f ca="1">IFERROR(IF(INDEX(INDIRECT("'"&amp;$B$2&amp;"月"&amp;"'!A:AZ"),31,49+3)="","",INDEX(INDIRECT("'"&amp;$B$2&amp;"月"&amp;"'!A:AZ"),31,49+3)),"")</f>
        <v/>
      </c>
      <c r="G397" s="57" t="str">
        <f ca="1">IFERROR(IF(INDEX(INDIRECT("'"&amp;$B$2&amp;"月"&amp;"'!A:AZ"),31,49+4)="","",INDEX(INDIRECT("'"&amp;$B$2&amp;"月"&amp;"'!A:AZ"),31,49+4)),"")</f>
        <v/>
      </c>
      <c r="H397" s="57"/>
    </row>
    <row r="398" spans="1:8" ht="13.5" customHeight="1">
      <c r="A398" s="57">
        <f>IF(DAY(DATE(対象年度,$B$2,29))&lt;&gt;29,"",29)</f>
        <v>29</v>
      </c>
      <c r="B398" s="57" t="str">
        <f>IF(DAY(DATE(対象年度,$B$2,29))&lt;&gt;29,"",CHOOSE(WEEKDAY(DATE(対象年度,$B$2,29),2),"月","火","水","木","金","土","日"))</f>
        <v>木</v>
      </c>
      <c r="C398" s="57" t="str">
        <f ca="1">IFERROR(IF(INDEX(INDIRECT("'"&amp;$B$2&amp;"月"&amp;"'!A:AZ"),32,49+0)="","",INDEX(INDIRECT("'"&amp;$B$2&amp;"月"&amp;"'!A:AZ"),32,49+0)),"")</f>
        <v/>
      </c>
      <c r="D398" s="58" t="str">
        <f ca="1">IFERROR(IF(INDEX(INDIRECT("'"&amp;$B$2&amp;"月"&amp;"'!A:AZ"),32,49+1)="","",INDEX(INDIRECT("'"&amp;$B$2&amp;"月"&amp;"'!A:AZ"),32,49+1)),"")</f>
        <v/>
      </c>
      <c r="E398" s="57" t="str">
        <f ca="1">IFERROR(IF(INDEX(INDIRECT("'"&amp;$B$2&amp;"月"&amp;"'!A:AZ"),32,49+2)="","",INDEX(INDIRECT("'"&amp;$B$2&amp;"月"&amp;"'!A:AZ"),32,49+2)),"")</f>
        <v/>
      </c>
      <c r="F398" s="59" t="str">
        <f ca="1">IFERROR(IF(INDEX(INDIRECT("'"&amp;$B$2&amp;"月"&amp;"'!A:AZ"),32,49+3)="","",INDEX(INDIRECT("'"&amp;$B$2&amp;"月"&amp;"'!A:AZ"),32,49+3)),"")</f>
        <v/>
      </c>
      <c r="G398" s="57" t="str">
        <f ca="1">IFERROR(IF(INDEX(INDIRECT("'"&amp;$B$2&amp;"月"&amp;"'!A:AZ"),32,49+4)="","",INDEX(INDIRECT("'"&amp;$B$2&amp;"月"&amp;"'!A:AZ"),32,49+4)),"")</f>
        <v/>
      </c>
      <c r="H398" s="57"/>
    </row>
    <row r="399" spans="1:8" ht="13.5" customHeight="1">
      <c r="A399" s="57">
        <f>IF(DAY(DATE(対象年度,$B$2,30))&lt;&gt;30,"",30)</f>
        <v>30</v>
      </c>
      <c r="B399" s="57" t="str">
        <f>IF(DAY(DATE(対象年度,$B$2,30))&lt;&gt;30,"",CHOOSE(WEEKDAY(DATE(対象年度,$B$2,30),2),"月","火","水","木","金","土","日"))</f>
        <v>金</v>
      </c>
      <c r="C399" s="57" t="str">
        <f ca="1">IFERROR(IF(INDEX(INDIRECT("'"&amp;$B$2&amp;"月"&amp;"'!A:AZ"),33,49+0)="","",INDEX(INDIRECT("'"&amp;$B$2&amp;"月"&amp;"'!A:AZ"),33,49+0)),"")</f>
        <v/>
      </c>
      <c r="D399" s="58" t="str">
        <f ca="1">IFERROR(IF(INDEX(INDIRECT("'"&amp;$B$2&amp;"月"&amp;"'!A:AZ"),33,49+1)="","",INDEX(INDIRECT("'"&amp;$B$2&amp;"月"&amp;"'!A:AZ"),33,49+1)),"")</f>
        <v/>
      </c>
      <c r="E399" s="57" t="str">
        <f ca="1">IFERROR(IF(INDEX(INDIRECT("'"&amp;$B$2&amp;"月"&amp;"'!A:AZ"),33,49+2)="","",INDEX(INDIRECT("'"&amp;$B$2&amp;"月"&amp;"'!A:AZ"),33,49+2)),"")</f>
        <v/>
      </c>
      <c r="F399" s="59" t="str">
        <f ca="1">IFERROR(IF(INDEX(INDIRECT("'"&amp;$B$2&amp;"月"&amp;"'!A:AZ"),33,49+3)="","",INDEX(INDIRECT("'"&amp;$B$2&amp;"月"&amp;"'!A:AZ"),33,49+3)),"")</f>
        <v/>
      </c>
      <c r="G399" s="57" t="str">
        <f ca="1">IFERROR(IF(INDEX(INDIRECT("'"&amp;$B$2&amp;"月"&amp;"'!A:AZ"),33,49+4)="","",INDEX(INDIRECT("'"&amp;$B$2&amp;"月"&amp;"'!A:AZ"),33,49+4)),"")</f>
        <v/>
      </c>
      <c r="H399" s="57"/>
    </row>
    <row r="400" spans="1:8" ht="13.5" customHeight="1">
      <c r="A400" s="57">
        <f>IF(DAY(DATE(対象年度,$B$2,31))&lt;&gt;31,"",31)</f>
        <v>31</v>
      </c>
      <c r="B400" s="57" t="str">
        <f>IF(DAY(DATE(対象年度,$B$2,31))&lt;&gt;31,"",CHOOSE(WEEKDAY(DATE(対象年度,$B$2,31),2),"月","火","水","木","金","土","日"))</f>
        <v>土</v>
      </c>
      <c r="C400" s="57" t="str">
        <f ca="1">IFERROR(IF(INDEX(INDIRECT("'"&amp;$B$2&amp;"月"&amp;"'!A:AZ"),34,49+0)="","",INDEX(INDIRECT("'"&amp;$B$2&amp;"月"&amp;"'!A:AZ"),34,49+0)),"")</f>
        <v/>
      </c>
      <c r="D400" s="58" t="str">
        <f ca="1">IFERROR(IF(INDEX(INDIRECT("'"&amp;$B$2&amp;"月"&amp;"'!A:AZ"),34,49+1)="","",INDEX(INDIRECT("'"&amp;$B$2&amp;"月"&amp;"'!A:AZ"),34,49+1)),"")</f>
        <v/>
      </c>
      <c r="E400" s="57" t="str">
        <f ca="1">IFERROR(IF(INDEX(INDIRECT("'"&amp;$B$2&amp;"月"&amp;"'!A:AZ"),34,49+2)="","",INDEX(INDIRECT("'"&amp;$B$2&amp;"月"&amp;"'!A:AZ"),34,49+2)),"")</f>
        <v/>
      </c>
      <c r="F400" s="59" t="str">
        <f ca="1">IFERROR(IF(INDEX(INDIRECT("'"&amp;$B$2&amp;"月"&amp;"'!A:AZ"),34,49+3)="","",INDEX(INDIRECT("'"&amp;$B$2&amp;"月"&amp;"'!A:AZ"),34,49+3)),"")</f>
        <v/>
      </c>
      <c r="G400" s="57" t="str">
        <f ca="1">IFERROR(IF(INDEX(INDIRECT("'"&amp;$B$2&amp;"月"&amp;"'!A:AZ"),34,49+4)="","",INDEX(INDIRECT("'"&amp;$B$2&amp;"月"&amp;"'!A:AZ"),34,49+4)),"")</f>
        <v/>
      </c>
      <c r="H400" s="57"/>
    </row>
    <row r="401" spans="1:8" ht="21.75" customHeight="1">
      <c r="A401" s="111" t="s">
        <v>144</v>
      </c>
      <c r="B401" s="111"/>
      <c r="C401" s="61" t="s">
        <v>113</v>
      </c>
      <c r="D401" s="62">
        <f ca="1">IFERROR(INDEX(INDIRECT("'"&amp;$B$2&amp;"月"&amp;"'!A:AZ"),35,49),0)</f>
        <v>0</v>
      </c>
      <c r="E401" s="63" t="s">
        <v>114</v>
      </c>
      <c r="F401" s="64">
        <f ca="1">IFERROR(INDEX(INDIRECT("'"&amp;$B$2&amp;"月"&amp;"'!A:AZ"),36,49),0)</f>
        <v>0</v>
      </c>
      <c r="G401" s="61" t="s">
        <v>115</v>
      </c>
      <c r="H401" s="62">
        <f ca="1">IFERROR(INDEX(INDIRECT("'"&amp;$B$2&amp;"月"&amp;"'!A:AZ"),38,49),0)</f>
        <v>0</v>
      </c>
    </row>
    <row r="402" spans="1:8" ht="24" customHeight="1">
      <c r="A402" s="112"/>
      <c r="B402" s="112"/>
      <c r="C402" s="65" t="s">
        <v>122</v>
      </c>
      <c r="D402" s="66">
        <f ca="1">IFERROR(INDEX(INDIRECT("'"&amp;$B$2&amp;"月"&amp;"'!A:AZ"),37,49),0)</f>
        <v>0</v>
      </c>
      <c r="E402" s="67" t="s">
        <v>105</v>
      </c>
      <c r="F402" s="68">
        <f ca="1">IFERROR(INDEX(INDIRECT("'"&amp;$B$2&amp;"月"&amp;"'!A:AZ"),39,49),0)</f>
        <v>0</v>
      </c>
      <c r="G402" s="69" t="s">
        <v>106</v>
      </c>
      <c r="H402" s="70">
        <f ca="1">IFERROR(INDEX(INDIRECT("'"&amp;$B$2&amp;"月"&amp;"'!A:AZ"),40,49),0)</f>
        <v>0</v>
      </c>
    </row>
    <row r="404" spans="1:8" ht="27.75" customHeight="1">
      <c r="A404" s="90" t="s">
        <v>133</v>
      </c>
      <c r="B404" s="90"/>
      <c r="C404" s="90"/>
      <c r="D404" s="90"/>
      <c r="E404" s="90"/>
      <c r="F404" s="90"/>
      <c r="G404" s="90"/>
      <c r="H404" s="90"/>
    </row>
    <row r="405" spans="1:8" ht="18" customHeight="1">
      <c r="A405" s="113" t="s">
        <v>134</v>
      </c>
      <c r="B405" s="113"/>
      <c r="C405" s="113"/>
      <c r="D405" s="113"/>
      <c r="E405" s="113"/>
      <c r="F405" s="113"/>
      <c r="G405" s="113"/>
      <c r="H405" s="113"/>
    </row>
    <row r="406" spans="1:8" ht="27.75" customHeight="1">
      <c r="A406" s="49" t="s">
        <v>135</v>
      </c>
      <c r="B406" s="114" t="str">
        <f>対象年度&amp;"年 "&amp;$B$2&amp;"月"</f>
        <v>2026年 1月</v>
      </c>
      <c r="C406" s="114"/>
      <c r="D406" s="49" t="s">
        <v>136</v>
      </c>
      <c r="E406" s="115" t="str">
        <f>IFERROR(従業員マスタ!$C$14,"")</f>
        <v>小林 九郎</v>
      </c>
      <c r="F406" s="115"/>
      <c r="G406" s="115"/>
      <c r="H406" s="115"/>
    </row>
    <row r="407" spans="1:8" ht="19.5" customHeight="1">
      <c r="A407" s="73" t="s">
        <v>147</v>
      </c>
      <c r="B407" s="53" t="s">
        <v>148</v>
      </c>
      <c r="C407" s="119" t="s">
        <v>141</v>
      </c>
      <c r="D407" s="119"/>
      <c r="E407" s="119" t="s">
        <v>142</v>
      </c>
      <c r="F407" s="119"/>
      <c r="G407" s="116" t="s">
        <v>143</v>
      </c>
      <c r="H407" s="116"/>
    </row>
    <row r="408" spans="1:8" ht="43.5" customHeight="1">
      <c r="A408" s="74"/>
      <c r="B408" s="54"/>
      <c r="C408" s="110"/>
      <c r="D408" s="110"/>
      <c r="E408" s="110"/>
      <c r="F408" s="110"/>
      <c r="G408" s="110"/>
      <c r="H408" s="110"/>
    </row>
    <row r="409" spans="1:8" ht="19.5" customHeight="1">
      <c r="A409" s="55" t="s">
        <v>108</v>
      </c>
      <c r="B409" s="55" t="s">
        <v>109</v>
      </c>
      <c r="C409" s="55" t="s">
        <v>111</v>
      </c>
      <c r="D409" s="56" t="s">
        <v>112</v>
      </c>
      <c r="E409" s="55" t="s">
        <v>113</v>
      </c>
      <c r="F409" s="55" t="s">
        <v>114</v>
      </c>
      <c r="G409" s="55" t="s">
        <v>115</v>
      </c>
      <c r="H409" s="55" t="s">
        <v>75</v>
      </c>
    </row>
    <row r="410" spans="1:8" ht="13.5" customHeight="1">
      <c r="A410" s="57">
        <f>IF(DAY(DATE(対象年度,$B$2,1))&lt;&gt;1,"",1)</f>
        <v>1</v>
      </c>
      <c r="B410" s="57" t="str">
        <f>IF(DAY(DATE(対象年度,$B$2,1))&lt;&gt;1,"",CHOOSE(WEEKDAY(DATE(対象年度,$B$2,1),2),"月","火","水","木","金","土","日"))</f>
        <v>木</v>
      </c>
      <c r="C410" s="57" t="str">
        <f ca="1">IFERROR(IF(INDEX(INDIRECT("'"&amp;$B$2&amp;"月"&amp;"'!A:AZ"),4,54+0)="","",INDEX(INDIRECT("'"&amp;$B$2&amp;"月"&amp;"'!A:AZ"),4,54+0)),"")</f>
        <v/>
      </c>
      <c r="D410" s="58" t="str">
        <f ca="1">IFERROR(IF(INDEX(INDIRECT("'"&amp;$B$2&amp;"月"&amp;"'!A:AZ"),4,54+1)="","",INDEX(INDIRECT("'"&amp;$B$2&amp;"月"&amp;"'!A:AZ"),4,54+1)),"")</f>
        <v/>
      </c>
      <c r="E410" s="57" t="str">
        <f ca="1">IFERROR(IF(INDEX(INDIRECT("'"&amp;$B$2&amp;"月"&amp;"'!A:AZ"),4,54+2)="","",INDEX(INDIRECT("'"&amp;$B$2&amp;"月"&amp;"'!A:AZ"),4,54+2)),"")</f>
        <v/>
      </c>
      <c r="F410" s="59" t="str">
        <f ca="1">IFERROR(IF(INDEX(INDIRECT("'"&amp;$B$2&amp;"月"&amp;"'!A:AZ"),4,54+3)="","",INDEX(INDIRECT("'"&amp;$B$2&amp;"月"&amp;"'!A:AZ"),4,54+3)),"")</f>
        <v/>
      </c>
      <c r="G410" s="57" t="str">
        <f ca="1">IFERROR(IF(INDEX(INDIRECT("'"&amp;$B$2&amp;"月"&amp;"'!A:AZ"),4,54+4)="","",INDEX(INDIRECT("'"&amp;$B$2&amp;"月"&amp;"'!A:AZ"),4,54+4)),"")</f>
        <v/>
      </c>
      <c r="H410" s="57"/>
    </row>
    <row r="411" spans="1:8" ht="13.5" customHeight="1">
      <c r="A411" s="57">
        <f>IF(DAY(DATE(対象年度,$B$2,2))&lt;&gt;2,"",2)</f>
        <v>2</v>
      </c>
      <c r="B411" s="57" t="str">
        <f>IF(DAY(DATE(対象年度,$B$2,2))&lt;&gt;2,"",CHOOSE(WEEKDAY(DATE(対象年度,$B$2,2),2),"月","火","水","木","金","土","日"))</f>
        <v>金</v>
      </c>
      <c r="C411" s="57" t="str">
        <f ca="1">IFERROR(IF(INDEX(INDIRECT("'"&amp;$B$2&amp;"月"&amp;"'!A:AZ"),5,54+0)="","",INDEX(INDIRECT("'"&amp;$B$2&amp;"月"&amp;"'!A:AZ"),5,54+0)),"")</f>
        <v/>
      </c>
      <c r="D411" s="58" t="str">
        <f ca="1">IFERROR(IF(INDEX(INDIRECT("'"&amp;$B$2&amp;"月"&amp;"'!A:AZ"),5,54+1)="","",INDEX(INDIRECT("'"&amp;$B$2&amp;"月"&amp;"'!A:AZ"),5,54+1)),"")</f>
        <v/>
      </c>
      <c r="E411" s="57" t="str">
        <f ca="1">IFERROR(IF(INDEX(INDIRECT("'"&amp;$B$2&amp;"月"&amp;"'!A:AZ"),5,54+2)="","",INDEX(INDIRECT("'"&amp;$B$2&amp;"月"&amp;"'!A:AZ"),5,54+2)),"")</f>
        <v/>
      </c>
      <c r="F411" s="59" t="str">
        <f ca="1">IFERROR(IF(INDEX(INDIRECT("'"&amp;$B$2&amp;"月"&amp;"'!A:AZ"),5,54+3)="","",INDEX(INDIRECT("'"&amp;$B$2&amp;"月"&amp;"'!A:AZ"),5,54+3)),"")</f>
        <v/>
      </c>
      <c r="G411" s="57" t="str">
        <f ca="1">IFERROR(IF(INDEX(INDIRECT("'"&amp;$B$2&amp;"月"&amp;"'!A:AZ"),5,54+4)="","",INDEX(INDIRECT("'"&amp;$B$2&amp;"月"&amp;"'!A:AZ"),5,54+4)),"")</f>
        <v/>
      </c>
      <c r="H411" s="57"/>
    </row>
    <row r="412" spans="1:8" ht="13.5" customHeight="1">
      <c r="A412" s="57">
        <f>IF(DAY(DATE(対象年度,$B$2,3))&lt;&gt;3,"",3)</f>
        <v>3</v>
      </c>
      <c r="B412" s="57" t="str">
        <f>IF(DAY(DATE(対象年度,$B$2,3))&lt;&gt;3,"",CHOOSE(WEEKDAY(DATE(対象年度,$B$2,3),2),"月","火","水","木","金","土","日"))</f>
        <v>土</v>
      </c>
      <c r="C412" s="57" t="str">
        <f ca="1">IFERROR(IF(INDEX(INDIRECT("'"&amp;$B$2&amp;"月"&amp;"'!A:AZ"),6,54+0)="","",INDEX(INDIRECT("'"&amp;$B$2&amp;"月"&amp;"'!A:AZ"),6,54+0)),"")</f>
        <v/>
      </c>
      <c r="D412" s="58" t="str">
        <f ca="1">IFERROR(IF(INDEX(INDIRECT("'"&amp;$B$2&amp;"月"&amp;"'!A:AZ"),6,54+1)="","",INDEX(INDIRECT("'"&amp;$B$2&amp;"月"&amp;"'!A:AZ"),6,54+1)),"")</f>
        <v/>
      </c>
      <c r="E412" s="57" t="str">
        <f ca="1">IFERROR(IF(INDEX(INDIRECT("'"&amp;$B$2&amp;"月"&amp;"'!A:AZ"),6,54+2)="","",INDEX(INDIRECT("'"&amp;$B$2&amp;"月"&amp;"'!A:AZ"),6,54+2)),"")</f>
        <v/>
      </c>
      <c r="F412" s="59" t="str">
        <f ca="1">IFERROR(IF(INDEX(INDIRECT("'"&amp;$B$2&amp;"月"&amp;"'!A:AZ"),6,54+3)="","",INDEX(INDIRECT("'"&amp;$B$2&amp;"月"&amp;"'!A:AZ"),6,54+3)),"")</f>
        <v/>
      </c>
      <c r="G412" s="57" t="str">
        <f ca="1">IFERROR(IF(INDEX(INDIRECT("'"&amp;$B$2&amp;"月"&amp;"'!A:AZ"),6,54+4)="","",INDEX(INDIRECT("'"&amp;$B$2&amp;"月"&amp;"'!A:AZ"),6,54+4)),"")</f>
        <v/>
      </c>
      <c r="H412" s="57"/>
    </row>
    <row r="413" spans="1:8" ht="13.5" customHeight="1">
      <c r="A413" s="57">
        <f>IF(DAY(DATE(対象年度,$B$2,4))&lt;&gt;4,"",4)</f>
        <v>4</v>
      </c>
      <c r="B413" s="57" t="str">
        <f>IF(DAY(DATE(対象年度,$B$2,4))&lt;&gt;4,"",CHOOSE(WEEKDAY(DATE(対象年度,$B$2,4),2),"月","火","水","木","金","土","日"))</f>
        <v>日</v>
      </c>
      <c r="C413" s="57" t="str">
        <f ca="1">IFERROR(IF(INDEX(INDIRECT("'"&amp;$B$2&amp;"月"&amp;"'!A:AZ"),7,54+0)="","",INDEX(INDIRECT("'"&amp;$B$2&amp;"月"&amp;"'!A:AZ"),7,54+0)),"")</f>
        <v/>
      </c>
      <c r="D413" s="58" t="str">
        <f ca="1">IFERROR(IF(INDEX(INDIRECT("'"&amp;$B$2&amp;"月"&amp;"'!A:AZ"),7,54+1)="","",INDEX(INDIRECT("'"&amp;$B$2&amp;"月"&amp;"'!A:AZ"),7,54+1)),"")</f>
        <v/>
      </c>
      <c r="E413" s="57" t="str">
        <f ca="1">IFERROR(IF(INDEX(INDIRECT("'"&amp;$B$2&amp;"月"&amp;"'!A:AZ"),7,54+2)="","",INDEX(INDIRECT("'"&amp;$B$2&amp;"月"&amp;"'!A:AZ"),7,54+2)),"")</f>
        <v/>
      </c>
      <c r="F413" s="59" t="str">
        <f ca="1">IFERROR(IF(INDEX(INDIRECT("'"&amp;$B$2&amp;"月"&amp;"'!A:AZ"),7,54+3)="","",INDEX(INDIRECT("'"&amp;$B$2&amp;"月"&amp;"'!A:AZ"),7,54+3)),"")</f>
        <v/>
      </c>
      <c r="G413" s="57" t="str">
        <f ca="1">IFERROR(IF(INDEX(INDIRECT("'"&amp;$B$2&amp;"月"&amp;"'!A:AZ"),7,54+4)="","",INDEX(INDIRECT("'"&amp;$B$2&amp;"月"&amp;"'!A:AZ"),7,54+4)),"")</f>
        <v/>
      </c>
      <c r="H413" s="57"/>
    </row>
    <row r="414" spans="1:8" ht="13.5" customHeight="1">
      <c r="A414" s="57">
        <f>IF(DAY(DATE(対象年度,$B$2,5))&lt;&gt;5,"",5)</f>
        <v>5</v>
      </c>
      <c r="B414" s="57" t="str">
        <f>IF(DAY(DATE(対象年度,$B$2,5))&lt;&gt;5,"",CHOOSE(WEEKDAY(DATE(対象年度,$B$2,5),2),"月","火","水","木","金","土","日"))</f>
        <v>月</v>
      </c>
      <c r="C414" s="57" t="str">
        <f ca="1">IFERROR(IF(INDEX(INDIRECT("'"&amp;$B$2&amp;"月"&amp;"'!A:AZ"),8,54+0)="","",INDEX(INDIRECT("'"&amp;$B$2&amp;"月"&amp;"'!A:AZ"),8,54+0)),"")</f>
        <v/>
      </c>
      <c r="D414" s="58" t="str">
        <f ca="1">IFERROR(IF(INDEX(INDIRECT("'"&amp;$B$2&amp;"月"&amp;"'!A:AZ"),8,54+1)="","",INDEX(INDIRECT("'"&amp;$B$2&amp;"月"&amp;"'!A:AZ"),8,54+1)),"")</f>
        <v/>
      </c>
      <c r="E414" s="57" t="str">
        <f ca="1">IFERROR(IF(INDEX(INDIRECT("'"&amp;$B$2&amp;"月"&amp;"'!A:AZ"),8,54+2)="","",INDEX(INDIRECT("'"&amp;$B$2&amp;"月"&amp;"'!A:AZ"),8,54+2)),"")</f>
        <v/>
      </c>
      <c r="F414" s="59" t="str">
        <f ca="1">IFERROR(IF(INDEX(INDIRECT("'"&amp;$B$2&amp;"月"&amp;"'!A:AZ"),8,54+3)="","",INDEX(INDIRECT("'"&amp;$B$2&amp;"月"&amp;"'!A:AZ"),8,54+3)),"")</f>
        <v/>
      </c>
      <c r="G414" s="57" t="str">
        <f ca="1">IFERROR(IF(INDEX(INDIRECT("'"&amp;$B$2&amp;"月"&amp;"'!A:AZ"),8,54+4)="","",INDEX(INDIRECT("'"&amp;$B$2&amp;"月"&amp;"'!A:AZ"),8,54+4)),"")</f>
        <v/>
      </c>
      <c r="H414" s="57"/>
    </row>
    <row r="415" spans="1:8" ht="13.5" customHeight="1">
      <c r="A415" s="57">
        <f>IF(DAY(DATE(対象年度,$B$2,6))&lt;&gt;6,"",6)</f>
        <v>6</v>
      </c>
      <c r="B415" s="57" t="str">
        <f>IF(DAY(DATE(対象年度,$B$2,6))&lt;&gt;6,"",CHOOSE(WEEKDAY(DATE(対象年度,$B$2,6),2),"月","火","水","木","金","土","日"))</f>
        <v>火</v>
      </c>
      <c r="C415" s="57" t="str">
        <f ca="1">IFERROR(IF(INDEX(INDIRECT("'"&amp;$B$2&amp;"月"&amp;"'!A:AZ"),9,54+0)="","",INDEX(INDIRECT("'"&amp;$B$2&amp;"月"&amp;"'!A:AZ"),9,54+0)),"")</f>
        <v/>
      </c>
      <c r="D415" s="58" t="str">
        <f ca="1">IFERROR(IF(INDEX(INDIRECT("'"&amp;$B$2&amp;"月"&amp;"'!A:AZ"),9,54+1)="","",INDEX(INDIRECT("'"&amp;$B$2&amp;"月"&amp;"'!A:AZ"),9,54+1)),"")</f>
        <v/>
      </c>
      <c r="E415" s="57" t="str">
        <f ca="1">IFERROR(IF(INDEX(INDIRECT("'"&amp;$B$2&amp;"月"&amp;"'!A:AZ"),9,54+2)="","",INDEX(INDIRECT("'"&amp;$B$2&amp;"月"&amp;"'!A:AZ"),9,54+2)),"")</f>
        <v/>
      </c>
      <c r="F415" s="59" t="str">
        <f ca="1">IFERROR(IF(INDEX(INDIRECT("'"&amp;$B$2&amp;"月"&amp;"'!A:AZ"),9,54+3)="","",INDEX(INDIRECT("'"&amp;$B$2&amp;"月"&amp;"'!A:AZ"),9,54+3)),"")</f>
        <v/>
      </c>
      <c r="G415" s="57" t="str">
        <f ca="1">IFERROR(IF(INDEX(INDIRECT("'"&amp;$B$2&amp;"月"&amp;"'!A:AZ"),9,54+4)="","",INDEX(INDIRECT("'"&amp;$B$2&amp;"月"&amp;"'!A:AZ"),9,54+4)),"")</f>
        <v/>
      </c>
      <c r="H415" s="57"/>
    </row>
    <row r="416" spans="1:8" ht="13.5" customHeight="1">
      <c r="A416" s="57">
        <f>IF(DAY(DATE(対象年度,$B$2,7))&lt;&gt;7,"",7)</f>
        <v>7</v>
      </c>
      <c r="B416" s="57" t="str">
        <f>IF(DAY(DATE(対象年度,$B$2,7))&lt;&gt;7,"",CHOOSE(WEEKDAY(DATE(対象年度,$B$2,7),2),"月","火","水","木","金","土","日"))</f>
        <v>水</v>
      </c>
      <c r="C416" s="57" t="str">
        <f ca="1">IFERROR(IF(INDEX(INDIRECT("'"&amp;$B$2&amp;"月"&amp;"'!A:AZ"),10,54+0)="","",INDEX(INDIRECT("'"&amp;$B$2&amp;"月"&amp;"'!A:AZ"),10,54+0)),"")</f>
        <v/>
      </c>
      <c r="D416" s="58" t="str">
        <f ca="1">IFERROR(IF(INDEX(INDIRECT("'"&amp;$B$2&amp;"月"&amp;"'!A:AZ"),10,54+1)="","",INDEX(INDIRECT("'"&amp;$B$2&amp;"月"&amp;"'!A:AZ"),10,54+1)),"")</f>
        <v/>
      </c>
      <c r="E416" s="57" t="str">
        <f ca="1">IFERROR(IF(INDEX(INDIRECT("'"&amp;$B$2&amp;"月"&amp;"'!A:AZ"),10,54+2)="","",INDEX(INDIRECT("'"&amp;$B$2&amp;"月"&amp;"'!A:AZ"),10,54+2)),"")</f>
        <v/>
      </c>
      <c r="F416" s="59" t="str">
        <f ca="1">IFERROR(IF(INDEX(INDIRECT("'"&amp;$B$2&amp;"月"&amp;"'!A:AZ"),10,54+3)="","",INDEX(INDIRECT("'"&amp;$B$2&amp;"月"&amp;"'!A:AZ"),10,54+3)),"")</f>
        <v/>
      </c>
      <c r="G416" s="57" t="str">
        <f ca="1">IFERROR(IF(INDEX(INDIRECT("'"&amp;$B$2&amp;"月"&amp;"'!A:AZ"),10,54+4)="","",INDEX(INDIRECT("'"&amp;$B$2&amp;"月"&amp;"'!A:AZ"),10,54+4)),"")</f>
        <v/>
      </c>
      <c r="H416" s="57"/>
    </row>
    <row r="417" spans="1:8" ht="13.5" customHeight="1">
      <c r="A417" s="57">
        <f>IF(DAY(DATE(対象年度,$B$2,8))&lt;&gt;8,"",8)</f>
        <v>8</v>
      </c>
      <c r="B417" s="57" t="str">
        <f>IF(DAY(DATE(対象年度,$B$2,8))&lt;&gt;8,"",CHOOSE(WEEKDAY(DATE(対象年度,$B$2,8),2),"月","火","水","木","金","土","日"))</f>
        <v>木</v>
      </c>
      <c r="C417" s="57" t="str">
        <f ca="1">IFERROR(IF(INDEX(INDIRECT("'"&amp;$B$2&amp;"月"&amp;"'!A:AZ"),11,54+0)="","",INDEX(INDIRECT("'"&amp;$B$2&amp;"月"&amp;"'!A:AZ"),11,54+0)),"")</f>
        <v/>
      </c>
      <c r="D417" s="58" t="str">
        <f ca="1">IFERROR(IF(INDEX(INDIRECT("'"&amp;$B$2&amp;"月"&amp;"'!A:AZ"),11,54+1)="","",INDEX(INDIRECT("'"&amp;$B$2&amp;"月"&amp;"'!A:AZ"),11,54+1)),"")</f>
        <v/>
      </c>
      <c r="E417" s="57" t="str">
        <f ca="1">IFERROR(IF(INDEX(INDIRECT("'"&amp;$B$2&amp;"月"&amp;"'!A:AZ"),11,54+2)="","",INDEX(INDIRECT("'"&amp;$B$2&amp;"月"&amp;"'!A:AZ"),11,54+2)),"")</f>
        <v/>
      </c>
      <c r="F417" s="59" t="str">
        <f ca="1">IFERROR(IF(INDEX(INDIRECT("'"&amp;$B$2&amp;"月"&amp;"'!A:AZ"),11,54+3)="","",INDEX(INDIRECT("'"&amp;$B$2&amp;"月"&amp;"'!A:AZ"),11,54+3)),"")</f>
        <v/>
      </c>
      <c r="G417" s="57" t="str">
        <f ca="1">IFERROR(IF(INDEX(INDIRECT("'"&amp;$B$2&amp;"月"&amp;"'!A:AZ"),11,54+4)="","",INDEX(INDIRECT("'"&amp;$B$2&amp;"月"&amp;"'!A:AZ"),11,54+4)),"")</f>
        <v/>
      </c>
      <c r="H417" s="57"/>
    </row>
    <row r="418" spans="1:8" ht="13.5" customHeight="1">
      <c r="A418" s="57">
        <f>IF(DAY(DATE(対象年度,$B$2,9))&lt;&gt;9,"",9)</f>
        <v>9</v>
      </c>
      <c r="B418" s="57" t="str">
        <f>IF(DAY(DATE(対象年度,$B$2,9))&lt;&gt;9,"",CHOOSE(WEEKDAY(DATE(対象年度,$B$2,9),2),"月","火","水","木","金","土","日"))</f>
        <v>金</v>
      </c>
      <c r="C418" s="57" t="str">
        <f ca="1">IFERROR(IF(INDEX(INDIRECT("'"&amp;$B$2&amp;"月"&amp;"'!A:AZ"),12,54+0)="","",INDEX(INDIRECT("'"&amp;$B$2&amp;"月"&amp;"'!A:AZ"),12,54+0)),"")</f>
        <v/>
      </c>
      <c r="D418" s="58" t="str">
        <f ca="1">IFERROR(IF(INDEX(INDIRECT("'"&amp;$B$2&amp;"月"&amp;"'!A:AZ"),12,54+1)="","",INDEX(INDIRECT("'"&amp;$B$2&amp;"月"&amp;"'!A:AZ"),12,54+1)),"")</f>
        <v/>
      </c>
      <c r="E418" s="57" t="str">
        <f ca="1">IFERROR(IF(INDEX(INDIRECT("'"&amp;$B$2&amp;"月"&amp;"'!A:AZ"),12,54+2)="","",INDEX(INDIRECT("'"&amp;$B$2&amp;"月"&amp;"'!A:AZ"),12,54+2)),"")</f>
        <v/>
      </c>
      <c r="F418" s="59" t="str">
        <f ca="1">IFERROR(IF(INDEX(INDIRECT("'"&amp;$B$2&amp;"月"&amp;"'!A:AZ"),12,54+3)="","",INDEX(INDIRECT("'"&amp;$B$2&amp;"月"&amp;"'!A:AZ"),12,54+3)),"")</f>
        <v/>
      </c>
      <c r="G418" s="57" t="str">
        <f ca="1">IFERROR(IF(INDEX(INDIRECT("'"&amp;$B$2&amp;"月"&amp;"'!A:AZ"),12,54+4)="","",INDEX(INDIRECT("'"&amp;$B$2&amp;"月"&amp;"'!A:AZ"),12,54+4)),"")</f>
        <v/>
      </c>
      <c r="H418" s="57"/>
    </row>
    <row r="419" spans="1:8" ht="13.5" customHeight="1">
      <c r="A419" s="57">
        <f>IF(DAY(DATE(対象年度,$B$2,10))&lt;&gt;10,"",10)</f>
        <v>10</v>
      </c>
      <c r="B419" s="57" t="str">
        <f>IF(DAY(DATE(対象年度,$B$2,10))&lt;&gt;10,"",CHOOSE(WEEKDAY(DATE(対象年度,$B$2,10),2),"月","火","水","木","金","土","日"))</f>
        <v>土</v>
      </c>
      <c r="C419" s="57" t="str">
        <f ca="1">IFERROR(IF(INDEX(INDIRECT("'"&amp;$B$2&amp;"月"&amp;"'!A:AZ"),13,54+0)="","",INDEX(INDIRECT("'"&amp;$B$2&amp;"月"&amp;"'!A:AZ"),13,54+0)),"")</f>
        <v/>
      </c>
      <c r="D419" s="58" t="str">
        <f ca="1">IFERROR(IF(INDEX(INDIRECT("'"&amp;$B$2&amp;"月"&amp;"'!A:AZ"),13,54+1)="","",INDEX(INDIRECT("'"&amp;$B$2&amp;"月"&amp;"'!A:AZ"),13,54+1)),"")</f>
        <v/>
      </c>
      <c r="E419" s="57" t="str">
        <f ca="1">IFERROR(IF(INDEX(INDIRECT("'"&amp;$B$2&amp;"月"&amp;"'!A:AZ"),13,54+2)="","",INDEX(INDIRECT("'"&amp;$B$2&amp;"月"&amp;"'!A:AZ"),13,54+2)),"")</f>
        <v/>
      </c>
      <c r="F419" s="59" t="str">
        <f ca="1">IFERROR(IF(INDEX(INDIRECT("'"&amp;$B$2&amp;"月"&amp;"'!A:AZ"),13,54+3)="","",INDEX(INDIRECT("'"&amp;$B$2&amp;"月"&amp;"'!A:AZ"),13,54+3)),"")</f>
        <v/>
      </c>
      <c r="G419" s="57" t="str">
        <f ca="1">IFERROR(IF(INDEX(INDIRECT("'"&amp;$B$2&amp;"月"&amp;"'!A:AZ"),13,54+4)="","",INDEX(INDIRECT("'"&amp;$B$2&amp;"月"&amp;"'!A:AZ"),13,54+4)),"")</f>
        <v/>
      </c>
      <c r="H419" s="57"/>
    </row>
    <row r="420" spans="1:8" ht="13.5" customHeight="1">
      <c r="A420" s="57">
        <f>IF(DAY(DATE(対象年度,$B$2,11))&lt;&gt;11,"",11)</f>
        <v>11</v>
      </c>
      <c r="B420" s="57" t="str">
        <f>IF(DAY(DATE(対象年度,$B$2,11))&lt;&gt;11,"",CHOOSE(WEEKDAY(DATE(対象年度,$B$2,11),2),"月","火","水","木","金","土","日"))</f>
        <v>日</v>
      </c>
      <c r="C420" s="57" t="str">
        <f ca="1">IFERROR(IF(INDEX(INDIRECT("'"&amp;$B$2&amp;"月"&amp;"'!A:AZ"),14,54+0)="","",INDEX(INDIRECT("'"&amp;$B$2&amp;"月"&amp;"'!A:AZ"),14,54+0)),"")</f>
        <v/>
      </c>
      <c r="D420" s="58" t="str">
        <f ca="1">IFERROR(IF(INDEX(INDIRECT("'"&amp;$B$2&amp;"月"&amp;"'!A:AZ"),14,54+1)="","",INDEX(INDIRECT("'"&amp;$B$2&amp;"月"&amp;"'!A:AZ"),14,54+1)),"")</f>
        <v/>
      </c>
      <c r="E420" s="57" t="str">
        <f ca="1">IFERROR(IF(INDEX(INDIRECT("'"&amp;$B$2&amp;"月"&amp;"'!A:AZ"),14,54+2)="","",INDEX(INDIRECT("'"&amp;$B$2&amp;"月"&amp;"'!A:AZ"),14,54+2)),"")</f>
        <v/>
      </c>
      <c r="F420" s="59" t="str">
        <f ca="1">IFERROR(IF(INDEX(INDIRECT("'"&amp;$B$2&amp;"月"&amp;"'!A:AZ"),14,54+3)="","",INDEX(INDIRECT("'"&amp;$B$2&amp;"月"&amp;"'!A:AZ"),14,54+3)),"")</f>
        <v/>
      </c>
      <c r="G420" s="57" t="str">
        <f ca="1">IFERROR(IF(INDEX(INDIRECT("'"&amp;$B$2&amp;"月"&amp;"'!A:AZ"),14,54+4)="","",INDEX(INDIRECT("'"&amp;$B$2&amp;"月"&amp;"'!A:AZ"),14,54+4)),"")</f>
        <v/>
      </c>
      <c r="H420" s="57"/>
    </row>
    <row r="421" spans="1:8" ht="13.5" customHeight="1">
      <c r="A421" s="57">
        <f>IF(DAY(DATE(対象年度,$B$2,12))&lt;&gt;12,"",12)</f>
        <v>12</v>
      </c>
      <c r="B421" s="57" t="str">
        <f>IF(DAY(DATE(対象年度,$B$2,12))&lt;&gt;12,"",CHOOSE(WEEKDAY(DATE(対象年度,$B$2,12),2),"月","火","水","木","金","土","日"))</f>
        <v>月</v>
      </c>
      <c r="C421" s="57" t="str">
        <f ca="1">IFERROR(IF(INDEX(INDIRECT("'"&amp;$B$2&amp;"月"&amp;"'!A:AZ"),15,54+0)="","",INDEX(INDIRECT("'"&amp;$B$2&amp;"月"&amp;"'!A:AZ"),15,54+0)),"")</f>
        <v/>
      </c>
      <c r="D421" s="58" t="str">
        <f ca="1">IFERROR(IF(INDEX(INDIRECT("'"&amp;$B$2&amp;"月"&amp;"'!A:AZ"),15,54+1)="","",INDEX(INDIRECT("'"&amp;$B$2&amp;"月"&amp;"'!A:AZ"),15,54+1)),"")</f>
        <v/>
      </c>
      <c r="E421" s="57" t="str">
        <f ca="1">IFERROR(IF(INDEX(INDIRECT("'"&amp;$B$2&amp;"月"&amp;"'!A:AZ"),15,54+2)="","",INDEX(INDIRECT("'"&amp;$B$2&amp;"月"&amp;"'!A:AZ"),15,54+2)),"")</f>
        <v/>
      </c>
      <c r="F421" s="59" t="str">
        <f ca="1">IFERROR(IF(INDEX(INDIRECT("'"&amp;$B$2&amp;"月"&amp;"'!A:AZ"),15,54+3)="","",INDEX(INDIRECT("'"&amp;$B$2&amp;"月"&amp;"'!A:AZ"),15,54+3)),"")</f>
        <v/>
      </c>
      <c r="G421" s="57" t="str">
        <f ca="1">IFERROR(IF(INDEX(INDIRECT("'"&amp;$B$2&amp;"月"&amp;"'!A:AZ"),15,54+4)="","",INDEX(INDIRECT("'"&amp;$B$2&amp;"月"&amp;"'!A:AZ"),15,54+4)),"")</f>
        <v/>
      </c>
      <c r="H421" s="57"/>
    </row>
    <row r="422" spans="1:8" ht="13.5" customHeight="1">
      <c r="A422" s="57">
        <f>IF(DAY(DATE(対象年度,$B$2,13))&lt;&gt;13,"",13)</f>
        <v>13</v>
      </c>
      <c r="B422" s="57" t="str">
        <f>IF(DAY(DATE(対象年度,$B$2,13))&lt;&gt;13,"",CHOOSE(WEEKDAY(DATE(対象年度,$B$2,13),2),"月","火","水","木","金","土","日"))</f>
        <v>火</v>
      </c>
      <c r="C422" s="57" t="str">
        <f ca="1">IFERROR(IF(INDEX(INDIRECT("'"&amp;$B$2&amp;"月"&amp;"'!A:AZ"),16,54+0)="","",INDEX(INDIRECT("'"&amp;$B$2&amp;"月"&amp;"'!A:AZ"),16,54+0)),"")</f>
        <v/>
      </c>
      <c r="D422" s="58" t="str">
        <f ca="1">IFERROR(IF(INDEX(INDIRECT("'"&amp;$B$2&amp;"月"&amp;"'!A:AZ"),16,54+1)="","",INDEX(INDIRECT("'"&amp;$B$2&amp;"月"&amp;"'!A:AZ"),16,54+1)),"")</f>
        <v/>
      </c>
      <c r="E422" s="57" t="str">
        <f ca="1">IFERROR(IF(INDEX(INDIRECT("'"&amp;$B$2&amp;"月"&amp;"'!A:AZ"),16,54+2)="","",INDEX(INDIRECT("'"&amp;$B$2&amp;"月"&amp;"'!A:AZ"),16,54+2)),"")</f>
        <v/>
      </c>
      <c r="F422" s="59" t="str">
        <f ca="1">IFERROR(IF(INDEX(INDIRECT("'"&amp;$B$2&amp;"月"&amp;"'!A:AZ"),16,54+3)="","",INDEX(INDIRECT("'"&amp;$B$2&amp;"月"&amp;"'!A:AZ"),16,54+3)),"")</f>
        <v/>
      </c>
      <c r="G422" s="57" t="str">
        <f ca="1">IFERROR(IF(INDEX(INDIRECT("'"&amp;$B$2&amp;"月"&amp;"'!A:AZ"),16,54+4)="","",INDEX(INDIRECT("'"&amp;$B$2&amp;"月"&amp;"'!A:AZ"),16,54+4)),"")</f>
        <v/>
      </c>
      <c r="H422" s="57"/>
    </row>
    <row r="423" spans="1:8" ht="13.5" customHeight="1">
      <c r="A423" s="57">
        <f>IF(DAY(DATE(対象年度,$B$2,14))&lt;&gt;14,"",14)</f>
        <v>14</v>
      </c>
      <c r="B423" s="57" t="str">
        <f>IF(DAY(DATE(対象年度,$B$2,14))&lt;&gt;14,"",CHOOSE(WEEKDAY(DATE(対象年度,$B$2,14),2),"月","火","水","木","金","土","日"))</f>
        <v>水</v>
      </c>
      <c r="C423" s="57" t="str">
        <f ca="1">IFERROR(IF(INDEX(INDIRECT("'"&amp;$B$2&amp;"月"&amp;"'!A:AZ"),17,54+0)="","",INDEX(INDIRECT("'"&amp;$B$2&amp;"月"&amp;"'!A:AZ"),17,54+0)),"")</f>
        <v/>
      </c>
      <c r="D423" s="58" t="str">
        <f ca="1">IFERROR(IF(INDEX(INDIRECT("'"&amp;$B$2&amp;"月"&amp;"'!A:AZ"),17,54+1)="","",INDEX(INDIRECT("'"&amp;$B$2&amp;"月"&amp;"'!A:AZ"),17,54+1)),"")</f>
        <v/>
      </c>
      <c r="E423" s="57" t="str">
        <f ca="1">IFERROR(IF(INDEX(INDIRECT("'"&amp;$B$2&amp;"月"&amp;"'!A:AZ"),17,54+2)="","",INDEX(INDIRECT("'"&amp;$B$2&amp;"月"&amp;"'!A:AZ"),17,54+2)),"")</f>
        <v/>
      </c>
      <c r="F423" s="59" t="str">
        <f ca="1">IFERROR(IF(INDEX(INDIRECT("'"&amp;$B$2&amp;"月"&amp;"'!A:AZ"),17,54+3)="","",INDEX(INDIRECT("'"&amp;$B$2&amp;"月"&amp;"'!A:AZ"),17,54+3)),"")</f>
        <v/>
      </c>
      <c r="G423" s="57" t="str">
        <f ca="1">IFERROR(IF(INDEX(INDIRECT("'"&amp;$B$2&amp;"月"&amp;"'!A:AZ"),17,54+4)="","",INDEX(INDIRECT("'"&amp;$B$2&amp;"月"&amp;"'!A:AZ"),17,54+4)),"")</f>
        <v/>
      </c>
      <c r="H423" s="57"/>
    </row>
    <row r="424" spans="1:8" ht="13.5" customHeight="1">
      <c r="A424" s="57">
        <f>IF(DAY(DATE(対象年度,$B$2,15))&lt;&gt;15,"",15)</f>
        <v>15</v>
      </c>
      <c r="B424" s="57" t="str">
        <f>IF(DAY(DATE(対象年度,$B$2,15))&lt;&gt;15,"",CHOOSE(WEEKDAY(DATE(対象年度,$B$2,15),2),"月","火","水","木","金","土","日"))</f>
        <v>木</v>
      </c>
      <c r="C424" s="57" t="str">
        <f ca="1">IFERROR(IF(INDEX(INDIRECT("'"&amp;$B$2&amp;"月"&amp;"'!A:AZ"),18,54+0)="","",INDEX(INDIRECT("'"&amp;$B$2&amp;"月"&amp;"'!A:AZ"),18,54+0)),"")</f>
        <v/>
      </c>
      <c r="D424" s="58" t="str">
        <f ca="1">IFERROR(IF(INDEX(INDIRECT("'"&amp;$B$2&amp;"月"&amp;"'!A:AZ"),18,54+1)="","",INDEX(INDIRECT("'"&amp;$B$2&amp;"月"&amp;"'!A:AZ"),18,54+1)),"")</f>
        <v/>
      </c>
      <c r="E424" s="57" t="str">
        <f ca="1">IFERROR(IF(INDEX(INDIRECT("'"&amp;$B$2&amp;"月"&amp;"'!A:AZ"),18,54+2)="","",INDEX(INDIRECT("'"&amp;$B$2&amp;"月"&amp;"'!A:AZ"),18,54+2)),"")</f>
        <v/>
      </c>
      <c r="F424" s="59" t="str">
        <f ca="1">IFERROR(IF(INDEX(INDIRECT("'"&amp;$B$2&amp;"月"&amp;"'!A:AZ"),18,54+3)="","",INDEX(INDIRECT("'"&amp;$B$2&amp;"月"&amp;"'!A:AZ"),18,54+3)),"")</f>
        <v/>
      </c>
      <c r="G424" s="57" t="str">
        <f ca="1">IFERROR(IF(INDEX(INDIRECT("'"&amp;$B$2&amp;"月"&amp;"'!A:AZ"),18,54+4)="","",INDEX(INDIRECT("'"&amp;$B$2&amp;"月"&amp;"'!A:AZ"),18,54+4)),"")</f>
        <v/>
      </c>
      <c r="H424" s="57"/>
    </row>
    <row r="425" spans="1:8" ht="13.5" customHeight="1">
      <c r="A425" s="57">
        <f>IF(DAY(DATE(対象年度,$B$2,16))&lt;&gt;16,"",16)</f>
        <v>16</v>
      </c>
      <c r="B425" s="57" t="str">
        <f>IF(DAY(DATE(対象年度,$B$2,16))&lt;&gt;16,"",CHOOSE(WEEKDAY(DATE(対象年度,$B$2,16),2),"月","火","水","木","金","土","日"))</f>
        <v>金</v>
      </c>
      <c r="C425" s="57" t="str">
        <f ca="1">IFERROR(IF(INDEX(INDIRECT("'"&amp;$B$2&amp;"月"&amp;"'!A:AZ"),19,54+0)="","",INDEX(INDIRECT("'"&amp;$B$2&amp;"月"&amp;"'!A:AZ"),19,54+0)),"")</f>
        <v/>
      </c>
      <c r="D425" s="58" t="str">
        <f ca="1">IFERROR(IF(INDEX(INDIRECT("'"&amp;$B$2&amp;"月"&amp;"'!A:AZ"),19,54+1)="","",INDEX(INDIRECT("'"&amp;$B$2&amp;"月"&amp;"'!A:AZ"),19,54+1)),"")</f>
        <v/>
      </c>
      <c r="E425" s="57" t="str">
        <f ca="1">IFERROR(IF(INDEX(INDIRECT("'"&amp;$B$2&amp;"月"&amp;"'!A:AZ"),19,54+2)="","",INDEX(INDIRECT("'"&amp;$B$2&amp;"月"&amp;"'!A:AZ"),19,54+2)),"")</f>
        <v/>
      </c>
      <c r="F425" s="59" t="str">
        <f ca="1">IFERROR(IF(INDEX(INDIRECT("'"&amp;$B$2&amp;"月"&amp;"'!A:AZ"),19,54+3)="","",INDEX(INDIRECT("'"&amp;$B$2&amp;"月"&amp;"'!A:AZ"),19,54+3)),"")</f>
        <v/>
      </c>
      <c r="G425" s="57" t="str">
        <f ca="1">IFERROR(IF(INDEX(INDIRECT("'"&amp;$B$2&amp;"月"&amp;"'!A:AZ"),19,54+4)="","",INDEX(INDIRECT("'"&amp;$B$2&amp;"月"&amp;"'!A:AZ"),19,54+4)),"")</f>
        <v/>
      </c>
      <c r="H425" s="57"/>
    </row>
    <row r="426" spans="1:8" ht="13.5" customHeight="1">
      <c r="A426" s="57">
        <f>IF(DAY(DATE(対象年度,$B$2,17))&lt;&gt;17,"",17)</f>
        <v>17</v>
      </c>
      <c r="B426" s="57" t="str">
        <f>IF(DAY(DATE(対象年度,$B$2,17))&lt;&gt;17,"",CHOOSE(WEEKDAY(DATE(対象年度,$B$2,17),2),"月","火","水","木","金","土","日"))</f>
        <v>土</v>
      </c>
      <c r="C426" s="57" t="str">
        <f ca="1">IFERROR(IF(INDEX(INDIRECT("'"&amp;$B$2&amp;"月"&amp;"'!A:AZ"),20,54+0)="","",INDEX(INDIRECT("'"&amp;$B$2&amp;"月"&amp;"'!A:AZ"),20,54+0)),"")</f>
        <v/>
      </c>
      <c r="D426" s="58" t="str">
        <f ca="1">IFERROR(IF(INDEX(INDIRECT("'"&amp;$B$2&amp;"月"&amp;"'!A:AZ"),20,54+1)="","",INDEX(INDIRECT("'"&amp;$B$2&amp;"月"&amp;"'!A:AZ"),20,54+1)),"")</f>
        <v/>
      </c>
      <c r="E426" s="57" t="str">
        <f ca="1">IFERROR(IF(INDEX(INDIRECT("'"&amp;$B$2&amp;"月"&amp;"'!A:AZ"),20,54+2)="","",INDEX(INDIRECT("'"&amp;$B$2&amp;"月"&amp;"'!A:AZ"),20,54+2)),"")</f>
        <v/>
      </c>
      <c r="F426" s="59" t="str">
        <f ca="1">IFERROR(IF(INDEX(INDIRECT("'"&amp;$B$2&amp;"月"&amp;"'!A:AZ"),20,54+3)="","",INDEX(INDIRECT("'"&amp;$B$2&amp;"月"&amp;"'!A:AZ"),20,54+3)),"")</f>
        <v/>
      </c>
      <c r="G426" s="57" t="str">
        <f ca="1">IFERROR(IF(INDEX(INDIRECT("'"&amp;$B$2&amp;"月"&amp;"'!A:AZ"),20,54+4)="","",INDEX(INDIRECT("'"&amp;$B$2&amp;"月"&amp;"'!A:AZ"),20,54+4)),"")</f>
        <v/>
      </c>
      <c r="H426" s="57"/>
    </row>
    <row r="427" spans="1:8" ht="13.5" customHeight="1">
      <c r="A427" s="57">
        <f>IF(DAY(DATE(対象年度,$B$2,18))&lt;&gt;18,"",18)</f>
        <v>18</v>
      </c>
      <c r="B427" s="57" t="str">
        <f>IF(DAY(DATE(対象年度,$B$2,18))&lt;&gt;18,"",CHOOSE(WEEKDAY(DATE(対象年度,$B$2,18),2),"月","火","水","木","金","土","日"))</f>
        <v>日</v>
      </c>
      <c r="C427" s="57" t="str">
        <f ca="1">IFERROR(IF(INDEX(INDIRECT("'"&amp;$B$2&amp;"月"&amp;"'!A:AZ"),21,54+0)="","",INDEX(INDIRECT("'"&amp;$B$2&amp;"月"&amp;"'!A:AZ"),21,54+0)),"")</f>
        <v/>
      </c>
      <c r="D427" s="58" t="str">
        <f ca="1">IFERROR(IF(INDEX(INDIRECT("'"&amp;$B$2&amp;"月"&amp;"'!A:AZ"),21,54+1)="","",INDEX(INDIRECT("'"&amp;$B$2&amp;"月"&amp;"'!A:AZ"),21,54+1)),"")</f>
        <v/>
      </c>
      <c r="E427" s="57" t="str">
        <f ca="1">IFERROR(IF(INDEX(INDIRECT("'"&amp;$B$2&amp;"月"&amp;"'!A:AZ"),21,54+2)="","",INDEX(INDIRECT("'"&amp;$B$2&amp;"月"&amp;"'!A:AZ"),21,54+2)),"")</f>
        <v/>
      </c>
      <c r="F427" s="59" t="str">
        <f ca="1">IFERROR(IF(INDEX(INDIRECT("'"&amp;$B$2&amp;"月"&amp;"'!A:AZ"),21,54+3)="","",INDEX(INDIRECT("'"&amp;$B$2&amp;"月"&amp;"'!A:AZ"),21,54+3)),"")</f>
        <v/>
      </c>
      <c r="G427" s="57" t="str">
        <f ca="1">IFERROR(IF(INDEX(INDIRECT("'"&amp;$B$2&amp;"月"&amp;"'!A:AZ"),21,54+4)="","",INDEX(INDIRECT("'"&amp;$B$2&amp;"月"&amp;"'!A:AZ"),21,54+4)),"")</f>
        <v/>
      </c>
      <c r="H427" s="57"/>
    </row>
    <row r="428" spans="1:8" ht="13.5" customHeight="1">
      <c r="A428" s="57">
        <f>IF(DAY(DATE(対象年度,$B$2,19))&lt;&gt;19,"",19)</f>
        <v>19</v>
      </c>
      <c r="B428" s="57" t="str">
        <f>IF(DAY(DATE(対象年度,$B$2,19))&lt;&gt;19,"",CHOOSE(WEEKDAY(DATE(対象年度,$B$2,19),2),"月","火","水","木","金","土","日"))</f>
        <v>月</v>
      </c>
      <c r="C428" s="57" t="str">
        <f ca="1">IFERROR(IF(INDEX(INDIRECT("'"&amp;$B$2&amp;"月"&amp;"'!A:AZ"),22,54+0)="","",INDEX(INDIRECT("'"&amp;$B$2&amp;"月"&amp;"'!A:AZ"),22,54+0)),"")</f>
        <v/>
      </c>
      <c r="D428" s="58" t="str">
        <f ca="1">IFERROR(IF(INDEX(INDIRECT("'"&amp;$B$2&amp;"月"&amp;"'!A:AZ"),22,54+1)="","",INDEX(INDIRECT("'"&amp;$B$2&amp;"月"&amp;"'!A:AZ"),22,54+1)),"")</f>
        <v/>
      </c>
      <c r="E428" s="57" t="str">
        <f ca="1">IFERROR(IF(INDEX(INDIRECT("'"&amp;$B$2&amp;"月"&amp;"'!A:AZ"),22,54+2)="","",INDEX(INDIRECT("'"&amp;$B$2&amp;"月"&amp;"'!A:AZ"),22,54+2)),"")</f>
        <v/>
      </c>
      <c r="F428" s="59" t="str">
        <f ca="1">IFERROR(IF(INDEX(INDIRECT("'"&amp;$B$2&amp;"月"&amp;"'!A:AZ"),22,54+3)="","",INDEX(INDIRECT("'"&amp;$B$2&amp;"月"&amp;"'!A:AZ"),22,54+3)),"")</f>
        <v/>
      </c>
      <c r="G428" s="57" t="str">
        <f ca="1">IFERROR(IF(INDEX(INDIRECT("'"&amp;$B$2&amp;"月"&amp;"'!A:AZ"),22,54+4)="","",INDEX(INDIRECT("'"&amp;$B$2&amp;"月"&amp;"'!A:AZ"),22,54+4)),"")</f>
        <v/>
      </c>
      <c r="H428" s="57"/>
    </row>
    <row r="429" spans="1:8" ht="13.5" customHeight="1">
      <c r="A429" s="57">
        <f>IF(DAY(DATE(対象年度,$B$2,20))&lt;&gt;20,"",20)</f>
        <v>20</v>
      </c>
      <c r="B429" s="57" t="str">
        <f>IF(DAY(DATE(対象年度,$B$2,20))&lt;&gt;20,"",CHOOSE(WEEKDAY(DATE(対象年度,$B$2,20),2),"月","火","水","木","金","土","日"))</f>
        <v>火</v>
      </c>
      <c r="C429" s="57" t="str">
        <f ca="1">IFERROR(IF(INDEX(INDIRECT("'"&amp;$B$2&amp;"月"&amp;"'!A:AZ"),23,54+0)="","",INDEX(INDIRECT("'"&amp;$B$2&amp;"月"&amp;"'!A:AZ"),23,54+0)),"")</f>
        <v/>
      </c>
      <c r="D429" s="58" t="str">
        <f ca="1">IFERROR(IF(INDEX(INDIRECT("'"&amp;$B$2&amp;"月"&amp;"'!A:AZ"),23,54+1)="","",INDEX(INDIRECT("'"&amp;$B$2&amp;"月"&amp;"'!A:AZ"),23,54+1)),"")</f>
        <v/>
      </c>
      <c r="E429" s="57" t="str">
        <f ca="1">IFERROR(IF(INDEX(INDIRECT("'"&amp;$B$2&amp;"月"&amp;"'!A:AZ"),23,54+2)="","",INDEX(INDIRECT("'"&amp;$B$2&amp;"月"&amp;"'!A:AZ"),23,54+2)),"")</f>
        <v/>
      </c>
      <c r="F429" s="59" t="str">
        <f ca="1">IFERROR(IF(INDEX(INDIRECT("'"&amp;$B$2&amp;"月"&amp;"'!A:AZ"),23,54+3)="","",INDEX(INDIRECT("'"&amp;$B$2&amp;"月"&amp;"'!A:AZ"),23,54+3)),"")</f>
        <v/>
      </c>
      <c r="G429" s="57" t="str">
        <f ca="1">IFERROR(IF(INDEX(INDIRECT("'"&amp;$B$2&amp;"月"&amp;"'!A:AZ"),23,54+4)="","",INDEX(INDIRECT("'"&amp;$B$2&amp;"月"&amp;"'!A:AZ"),23,54+4)),"")</f>
        <v/>
      </c>
      <c r="H429" s="57"/>
    </row>
    <row r="430" spans="1:8" ht="13.5" customHeight="1">
      <c r="A430" s="57">
        <f>IF(DAY(DATE(対象年度,$B$2,21))&lt;&gt;21,"",21)</f>
        <v>21</v>
      </c>
      <c r="B430" s="57" t="str">
        <f>IF(DAY(DATE(対象年度,$B$2,21))&lt;&gt;21,"",CHOOSE(WEEKDAY(DATE(対象年度,$B$2,21),2),"月","火","水","木","金","土","日"))</f>
        <v>水</v>
      </c>
      <c r="C430" s="57" t="str">
        <f ca="1">IFERROR(IF(INDEX(INDIRECT("'"&amp;$B$2&amp;"月"&amp;"'!A:AZ"),24,54+0)="","",INDEX(INDIRECT("'"&amp;$B$2&amp;"月"&amp;"'!A:AZ"),24,54+0)),"")</f>
        <v/>
      </c>
      <c r="D430" s="58" t="str">
        <f ca="1">IFERROR(IF(INDEX(INDIRECT("'"&amp;$B$2&amp;"月"&amp;"'!A:AZ"),24,54+1)="","",INDEX(INDIRECT("'"&amp;$B$2&amp;"月"&amp;"'!A:AZ"),24,54+1)),"")</f>
        <v/>
      </c>
      <c r="E430" s="57" t="str">
        <f ca="1">IFERROR(IF(INDEX(INDIRECT("'"&amp;$B$2&amp;"月"&amp;"'!A:AZ"),24,54+2)="","",INDEX(INDIRECT("'"&amp;$B$2&amp;"月"&amp;"'!A:AZ"),24,54+2)),"")</f>
        <v/>
      </c>
      <c r="F430" s="59" t="str">
        <f ca="1">IFERROR(IF(INDEX(INDIRECT("'"&amp;$B$2&amp;"月"&amp;"'!A:AZ"),24,54+3)="","",INDEX(INDIRECT("'"&amp;$B$2&amp;"月"&amp;"'!A:AZ"),24,54+3)),"")</f>
        <v/>
      </c>
      <c r="G430" s="57" t="str">
        <f ca="1">IFERROR(IF(INDEX(INDIRECT("'"&amp;$B$2&amp;"月"&amp;"'!A:AZ"),24,54+4)="","",INDEX(INDIRECT("'"&amp;$B$2&amp;"月"&amp;"'!A:AZ"),24,54+4)),"")</f>
        <v/>
      </c>
      <c r="H430" s="57"/>
    </row>
    <row r="431" spans="1:8" ht="13.5" customHeight="1">
      <c r="A431" s="57">
        <f>IF(DAY(DATE(対象年度,$B$2,22))&lt;&gt;22,"",22)</f>
        <v>22</v>
      </c>
      <c r="B431" s="57" t="str">
        <f>IF(DAY(DATE(対象年度,$B$2,22))&lt;&gt;22,"",CHOOSE(WEEKDAY(DATE(対象年度,$B$2,22),2),"月","火","水","木","金","土","日"))</f>
        <v>木</v>
      </c>
      <c r="C431" s="57" t="str">
        <f ca="1">IFERROR(IF(INDEX(INDIRECT("'"&amp;$B$2&amp;"月"&amp;"'!A:AZ"),25,54+0)="","",INDEX(INDIRECT("'"&amp;$B$2&amp;"月"&amp;"'!A:AZ"),25,54+0)),"")</f>
        <v/>
      </c>
      <c r="D431" s="58" t="str">
        <f ca="1">IFERROR(IF(INDEX(INDIRECT("'"&amp;$B$2&amp;"月"&amp;"'!A:AZ"),25,54+1)="","",INDEX(INDIRECT("'"&amp;$B$2&amp;"月"&amp;"'!A:AZ"),25,54+1)),"")</f>
        <v/>
      </c>
      <c r="E431" s="57" t="str">
        <f ca="1">IFERROR(IF(INDEX(INDIRECT("'"&amp;$B$2&amp;"月"&amp;"'!A:AZ"),25,54+2)="","",INDEX(INDIRECT("'"&amp;$B$2&amp;"月"&amp;"'!A:AZ"),25,54+2)),"")</f>
        <v/>
      </c>
      <c r="F431" s="59" t="str">
        <f ca="1">IFERROR(IF(INDEX(INDIRECT("'"&amp;$B$2&amp;"月"&amp;"'!A:AZ"),25,54+3)="","",INDEX(INDIRECT("'"&amp;$B$2&amp;"月"&amp;"'!A:AZ"),25,54+3)),"")</f>
        <v/>
      </c>
      <c r="G431" s="57" t="str">
        <f ca="1">IFERROR(IF(INDEX(INDIRECT("'"&amp;$B$2&amp;"月"&amp;"'!A:AZ"),25,54+4)="","",INDEX(INDIRECT("'"&amp;$B$2&amp;"月"&amp;"'!A:AZ"),25,54+4)),"")</f>
        <v/>
      </c>
      <c r="H431" s="57"/>
    </row>
    <row r="432" spans="1:8" ht="13.5" customHeight="1">
      <c r="A432" s="57">
        <f>IF(DAY(DATE(対象年度,$B$2,23))&lt;&gt;23,"",23)</f>
        <v>23</v>
      </c>
      <c r="B432" s="57" t="str">
        <f>IF(DAY(DATE(対象年度,$B$2,23))&lt;&gt;23,"",CHOOSE(WEEKDAY(DATE(対象年度,$B$2,23),2),"月","火","水","木","金","土","日"))</f>
        <v>金</v>
      </c>
      <c r="C432" s="57" t="str">
        <f ca="1">IFERROR(IF(INDEX(INDIRECT("'"&amp;$B$2&amp;"月"&amp;"'!A:AZ"),26,54+0)="","",INDEX(INDIRECT("'"&amp;$B$2&amp;"月"&amp;"'!A:AZ"),26,54+0)),"")</f>
        <v/>
      </c>
      <c r="D432" s="58" t="str">
        <f ca="1">IFERROR(IF(INDEX(INDIRECT("'"&amp;$B$2&amp;"月"&amp;"'!A:AZ"),26,54+1)="","",INDEX(INDIRECT("'"&amp;$B$2&amp;"月"&amp;"'!A:AZ"),26,54+1)),"")</f>
        <v/>
      </c>
      <c r="E432" s="57" t="str">
        <f ca="1">IFERROR(IF(INDEX(INDIRECT("'"&amp;$B$2&amp;"月"&amp;"'!A:AZ"),26,54+2)="","",INDEX(INDIRECT("'"&amp;$B$2&amp;"月"&amp;"'!A:AZ"),26,54+2)),"")</f>
        <v/>
      </c>
      <c r="F432" s="59" t="str">
        <f ca="1">IFERROR(IF(INDEX(INDIRECT("'"&amp;$B$2&amp;"月"&amp;"'!A:AZ"),26,54+3)="","",INDEX(INDIRECT("'"&amp;$B$2&amp;"月"&amp;"'!A:AZ"),26,54+3)),"")</f>
        <v/>
      </c>
      <c r="G432" s="57" t="str">
        <f ca="1">IFERROR(IF(INDEX(INDIRECT("'"&amp;$B$2&amp;"月"&amp;"'!A:AZ"),26,54+4)="","",INDEX(INDIRECT("'"&amp;$B$2&amp;"月"&amp;"'!A:AZ"),26,54+4)),"")</f>
        <v/>
      </c>
      <c r="H432" s="57"/>
    </row>
    <row r="433" spans="1:8" ht="13.5" customHeight="1">
      <c r="A433" s="57">
        <f>IF(DAY(DATE(対象年度,$B$2,24))&lt;&gt;24,"",24)</f>
        <v>24</v>
      </c>
      <c r="B433" s="57" t="str">
        <f>IF(DAY(DATE(対象年度,$B$2,24))&lt;&gt;24,"",CHOOSE(WEEKDAY(DATE(対象年度,$B$2,24),2),"月","火","水","木","金","土","日"))</f>
        <v>土</v>
      </c>
      <c r="C433" s="57" t="str">
        <f ca="1">IFERROR(IF(INDEX(INDIRECT("'"&amp;$B$2&amp;"月"&amp;"'!A:AZ"),27,54+0)="","",INDEX(INDIRECT("'"&amp;$B$2&amp;"月"&amp;"'!A:AZ"),27,54+0)),"")</f>
        <v/>
      </c>
      <c r="D433" s="58" t="str">
        <f ca="1">IFERROR(IF(INDEX(INDIRECT("'"&amp;$B$2&amp;"月"&amp;"'!A:AZ"),27,54+1)="","",INDEX(INDIRECT("'"&amp;$B$2&amp;"月"&amp;"'!A:AZ"),27,54+1)),"")</f>
        <v/>
      </c>
      <c r="E433" s="57" t="str">
        <f ca="1">IFERROR(IF(INDEX(INDIRECT("'"&amp;$B$2&amp;"月"&amp;"'!A:AZ"),27,54+2)="","",INDEX(INDIRECT("'"&amp;$B$2&amp;"月"&amp;"'!A:AZ"),27,54+2)),"")</f>
        <v/>
      </c>
      <c r="F433" s="59" t="str">
        <f ca="1">IFERROR(IF(INDEX(INDIRECT("'"&amp;$B$2&amp;"月"&amp;"'!A:AZ"),27,54+3)="","",INDEX(INDIRECT("'"&amp;$B$2&amp;"月"&amp;"'!A:AZ"),27,54+3)),"")</f>
        <v/>
      </c>
      <c r="G433" s="57" t="str">
        <f ca="1">IFERROR(IF(INDEX(INDIRECT("'"&amp;$B$2&amp;"月"&amp;"'!A:AZ"),27,54+4)="","",INDEX(INDIRECT("'"&amp;$B$2&amp;"月"&amp;"'!A:AZ"),27,54+4)),"")</f>
        <v/>
      </c>
      <c r="H433" s="57"/>
    </row>
    <row r="434" spans="1:8" ht="13.5" customHeight="1">
      <c r="A434" s="57">
        <f>IF(DAY(DATE(対象年度,$B$2,25))&lt;&gt;25,"",25)</f>
        <v>25</v>
      </c>
      <c r="B434" s="57" t="str">
        <f>IF(DAY(DATE(対象年度,$B$2,25))&lt;&gt;25,"",CHOOSE(WEEKDAY(DATE(対象年度,$B$2,25),2),"月","火","水","木","金","土","日"))</f>
        <v>日</v>
      </c>
      <c r="C434" s="57" t="str">
        <f ca="1">IFERROR(IF(INDEX(INDIRECT("'"&amp;$B$2&amp;"月"&amp;"'!A:AZ"),28,54+0)="","",INDEX(INDIRECT("'"&amp;$B$2&amp;"月"&amp;"'!A:AZ"),28,54+0)),"")</f>
        <v/>
      </c>
      <c r="D434" s="58" t="str">
        <f ca="1">IFERROR(IF(INDEX(INDIRECT("'"&amp;$B$2&amp;"月"&amp;"'!A:AZ"),28,54+1)="","",INDEX(INDIRECT("'"&amp;$B$2&amp;"月"&amp;"'!A:AZ"),28,54+1)),"")</f>
        <v/>
      </c>
      <c r="E434" s="57" t="str">
        <f ca="1">IFERROR(IF(INDEX(INDIRECT("'"&amp;$B$2&amp;"月"&amp;"'!A:AZ"),28,54+2)="","",INDEX(INDIRECT("'"&amp;$B$2&amp;"月"&amp;"'!A:AZ"),28,54+2)),"")</f>
        <v/>
      </c>
      <c r="F434" s="59" t="str">
        <f ca="1">IFERROR(IF(INDEX(INDIRECT("'"&amp;$B$2&amp;"月"&amp;"'!A:AZ"),28,54+3)="","",INDEX(INDIRECT("'"&amp;$B$2&amp;"月"&amp;"'!A:AZ"),28,54+3)),"")</f>
        <v/>
      </c>
      <c r="G434" s="57" t="str">
        <f ca="1">IFERROR(IF(INDEX(INDIRECT("'"&amp;$B$2&amp;"月"&amp;"'!A:AZ"),28,54+4)="","",INDEX(INDIRECT("'"&amp;$B$2&amp;"月"&amp;"'!A:AZ"),28,54+4)),"")</f>
        <v/>
      </c>
      <c r="H434" s="57"/>
    </row>
    <row r="435" spans="1:8" ht="13.5" customHeight="1">
      <c r="A435" s="57">
        <f>IF(DAY(DATE(対象年度,$B$2,26))&lt;&gt;26,"",26)</f>
        <v>26</v>
      </c>
      <c r="B435" s="57" t="str">
        <f>IF(DAY(DATE(対象年度,$B$2,26))&lt;&gt;26,"",CHOOSE(WEEKDAY(DATE(対象年度,$B$2,26),2),"月","火","水","木","金","土","日"))</f>
        <v>月</v>
      </c>
      <c r="C435" s="57" t="str">
        <f ca="1">IFERROR(IF(INDEX(INDIRECT("'"&amp;$B$2&amp;"月"&amp;"'!A:AZ"),29,54+0)="","",INDEX(INDIRECT("'"&amp;$B$2&amp;"月"&amp;"'!A:AZ"),29,54+0)),"")</f>
        <v/>
      </c>
      <c r="D435" s="58" t="str">
        <f ca="1">IFERROR(IF(INDEX(INDIRECT("'"&amp;$B$2&amp;"月"&amp;"'!A:AZ"),29,54+1)="","",INDEX(INDIRECT("'"&amp;$B$2&amp;"月"&amp;"'!A:AZ"),29,54+1)),"")</f>
        <v/>
      </c>
      <c r="E435" s="57" t="str">
        <f ca="1">IFERROR(IF(INDEX(INDIRECT("'"&amp;$B$2&amp;"月"&amp;"'!A:AZ"),29,54+2)="","",INDEX(INDIRECT("'"&amp;$B$2&amp;"月"&amp;"'!A:AZ"),29,54+2)),"")</f>
        <v/>
      </c>
      <c r="F435" s="59" t="str">
        <f ca="1">IFERROR(IF(INDEX(INDIRECT("'"&amp;$B$2&amp;"月"&amp;"'!A:AZ"),29,54+3)="","",INDEX(INDIRECT("'"&amp;$B$2&amp;"月"&amp;"'!A:AZ"),29,54+3)),"")</f>
        <v/>
      </c>
      <c r="G435" s="57" t="str">
        <f ca="1">IFERROR(IF(INDEX(INDIRECT("'"&amp;$B$2&amp;"月"&amp;"'!A:AZ"),29,54+4)="","",INDEX(INDIRECT("'"&amp;$B$2&amp;"月"&amp;"'!A:AZ"),29,54+4)),"")</f>
        <v/>
      </c>
      <c r="H435" s="57"/>
    </row>
    <row r="436" spans="1:8" ht="13.5" customHeight="1">
      <c r="A436" s="57">
        <f>IF(DAY(DATE(対象年度,$B$2,27))&lt;&gt;27,"",27)</f>
        <v>27</v>
      </c>
      <c r="B436" s="57" t="str">
        <f>IF(DAY(DATE(対象年度,$B$2,27))&lt;&gt;27,"",CHOOSE(WEEKDAY(DATE(対象年度,$B$2,27),2),"月","火","水","木","金","土","日"))</f>
        <v>火</v>
      </c>
      <c r="C436" s="57" t="str">
        <f ca="1">IFERROR(IF(INDEX(INDIRECT("'"&amp;$B$2&amp;"月"&amp;"'!A:AZ"),30,54+0)="","",INDEX(INDIRECT("'"&amp;$B$2&amp;"月"&amp;"'!A:AZ"),30,54+0)),"")</f>
        <v/>
      </c>
      <c r="D436" s="58" t="str">
        <f ca="1">IFERROR(IF(INDEX(INDIRECT("'"&amp;$B$2&amp;"月"&amp;"'!A:AZ"),30,54+1)="","",INDEX(INDIRECT("'"&amp;$B$2&amp;"月"&amp;"'!A:AZ"),30,54+1)),"")</f>
        <v/>
      </c>
      <c r="E436" s="57" t="str">
        <f ca="1">IFERROR(IF(INDEX(INDIRECT("'"&amp;$B$2&amp;"月"&amp;"'!A:AZ"),30,54+2)="","",INDEX(INDIRECT("'"&amp;$B$2&amp;"月"&amp;"'!A:AZ"),30,54+2)),"")</f>
        <v/>
      </c>
      <c r="F436" s="59" t="str">
        <f ca="1">IFERROR(IF(INDEX(INDIRECT("'"&amp;$B$2&amp;"月"&amp;"'!A:AZ"),30,54+3)="","",INDEX(INDIRECT("'"&amp;$B$2&amp;"月"&amp;"'!A:AZ"),30,54+3)),"")</f>
        <v/>
      </c>
      <c r="G436" s="57" t="str">
        <f ca="1">IFERROR(IF(INDEX(INDIRECT("'"&amp;$B$2&amp;"月"&amp;"'!A:AZ"),30,54+4)="","",INDEX(INDIRECT("'"&amp;$B$2&amp;"月"&amp;"'!A:AZ"),30,54+4)),"")</f>
        <v/>
      </c>
      <c r="H436" s="57"/>
    </row>
    <row r="437" spans="1:8" ht="13.5" customHeight="1">
      <c r="A437" s="57">
        <f>IF(DAY(DATE(対象年度,$B$2,28))&lt;&gt;28,"",28)</f>
        <v>28</v>
      </c>
      <c r="B437" s="57" t="str">
        <f>IF(DAY(DATE(対象年度,$B$2,28))&lt;&gt;28,"",CHOOSE(WEEKDAY(DATE(対象年度,$B$2,28),2),"月","火","水","木","金","土","日"))</f>
        <v>水</v>
      </c>
      <c r="C437" s="57" t="str">
        <f ca="1">IFERROR(IF(INDEX(INDIRECT("'"&amp;$B$2&amp;"月"&amp;"'!A:AZ"),31,54+0)="","",INDEX(INDIRECT("'"&amp;$B$2&amp;"月"&amp;"'!A:AZ"),31,54+0)),"")</f>
        <v/>
      </c>
      <c r="D437" s="58" t="str">
        <f ca="1">IFERROR(IF(INDEX(INDIRECT("'"&amp;$B$2&amp;"月"&amp;"'!A:AZ"),31,54+1)="","",INDEX(INDIRECT("'"&amp;$B$2&amp;"月"&amp;"'!A:AZ"),31,54+1)),"")</f>
        <v/>
      </c>
      <c r="E437" s="57" t="str">
        <f ca="1">IFERROR(IF(INDEX(INDIRECT("'"&amp;$B$2&amp;"月"&amp;"'!A:AZ"),31,54+2)="","",INDEX(INDIRECT("'"&amp;$B$2&amp;"月"&amp;"'!A:AZ"),31,54+2)),"")</f>
        <v/>
      </c>
      <c r="F437" s="59" t="str">
        <f ca="1">IFERROR(IF(INDEX(INDIRECT("'"&amp;$B$2&amp;"月"&amp;"'!A:AZ"),31,54+3)="","",INDEX(INDIRECT("'"&amp;$B$2&amp;"月"&amp;"'!A:AZ"),31,54+3)),"")</f>
        <v/>
      </c>
      <c r="G437" s="57" t="str">
        <f ca="1">IFERROR(IF(INDEX(INDIRECT("'"&amp;$B$2&amp;"月"&amp;"'!A:AZ"),31,54+4)="","",INDEX(INDIRECT("'"&amp;$B$2&amp;"月"&amp;"'!A:AZ"),31,54+4)),"")</f>
        <v/>
      </c>
      <c r="H437" s="57"/>
    </row>
    <row r="438" spans="1:8" ht="13.5" customHeight="1">
      <c r="A438" s="57">
        <f>IF(DAY(DATE(対象年度,$B$2,29))&lt;&gt;29,"",29)</f>
        <v>29</v>
      </c>
      <c r="B438" s="57" t="str">
        <f>IF(DAY(DATE(対象年度,$B$2,29))&lt;&gt;29,"",CHOOSE(WEEKDAY(DATE(対象年度,$B$2,29),2),"月","火","水","木","金","土","日"))</f>
        <v>木</v>
      </c>
      <c r="C438" s="57" t="str">
        <f ca="1">IFERROR(IF(INDEX(INDIRECT("'"&amp;$B$2&amp;"月"&amp;"'!A:AZ"),32,54+0)="","",INDEX(INDIRECT("'"&amp;$B$2&amp;"月"&amp;"'!A:AZ"),32,54+0)),"")</f>
        <v/>
      </c>
      <c r="D438" s="58" t="str">
        <f ca="1">IFERROR(IF(INDEX(INDIRECT("'"&amp;$B$2&amp;"月"&amp;"'!A:AZ"),32,54+1)="","",INDEX(INDIRECT("'"&amp;$B$2&amp;"月"&amp;"'!A:AZ"),32,54+1)),"")</f>
        <v/>
      </c>
      <c r="E438" s="57" t="str">
        <f ca="1">IFERROR(IF(INDEX(INDIRECT("'"&amp;$B$2&amp;"月"&amp;"'!A:AZ"),32,54+2)="","",INDEX(INDIRECT("'"&amp;$B$2&amp;"月"&amp;"'!A:AZ"),32,54+2)),"")</f>
        <v/>
      </c>
      <c r="F438" s="59" t="str">
        <f ca="1">IFERROR(IF(INDEX(INDIRECT("'"&amp;$B$2&amp;"月"&amp;"'!A:AZ"),32,54+3)="","",INDEX(INDIRECT("'"&amp;$B$2&amp;"月"&amp;"'!A:AZ"),32,54+3)),"")</f>
        <v/>
      </c>
      <c r="G438" s="57" t="str">
        <f ca="1">IFERROR(IF(INDEX(INDIRECT("'"&amp;$B$2&amp;"月"&amp;"'!A:AZ"),32,54+4)="","",INDEX(INDIRECT("'"&amp;$B$2&amp;"月"&amp;"'!A:AZ"),32,54+4)),"")</f>
        <v/>
      </c>
      <c r="H438" s="57"/>
    </row>
    <row r="439" spans="1:8" ht="13.5" customHeight="1">
      <c r="A439" s="57">
        <f>IF(DAY(DATE(対象年度,$B$2,30))&lt;&gt;30,"",30)</f>
        <v>30</v>
      </c>
      <c r="B439" s="57" t="str">
        <f>IF(DAY(DATE(対象年度,$B$2,30))&lt;&gt;30,"",CHOOSE(WEEKDAY(DATE(対象年度,$B$2,30),2),"月","火","水","木","金","土","日"))</f>
        <v>金</v>
      </c>
      <c r="C439" s="57" t="str">
        <f ca="1">IFERROR(IF(INDEX(INDIRECT("'"&amp;$B$2&amp;"月"&amp;"'!A:AZ"),33,54+0)="","",INDEX(INDIRECT("'"&amp;$B$2&amp;"月"&amp;"'!A:AZ"),33,54+0)),"")</f>
        <v/>
      </c>
      <c r="D439" s="58" t="str">
        <f ca="1">IFERROR(IF(INDEX(INDIRECT("'"&amp;$B$2&amp;"月"&amp;"'!A:AZ"),33,54+1)="","",INDEX(INDIRECT("'"&amp;$B$2&amp;"月"&amp;"'!A:AZ"),33,54+1)),"")</f>
        <v/>
      </c>
      <c r="E439" s="57" t="str">
        <f ca="1">IFERROR(IF(INDEX(INDIRECT("'"&amp;$B$2&amp;"月"&amp;"'!A:AZ"),33,54+2)="","",INDEX(INDIRECT("'"&amp;$B$2&amp;"月"&amp;"'!A:AZ"),33,54+2)),"")</f>
        <v/>
      </c>
      <c r="F439" s="59" t="str">
        <f ca="1">IFERROR(IF(INDEX(INDIRECT("'"&amp;$B$2&amp;"月"&amp;"'!A:AZ"),33,54+3)="","",INDEX(INDIRECT("'"&amp;$B$2&amp;"月"&amp;"'!A:AZ"),33,54+3)),"")</f>
        <v/>
      </c>
      <c r="G439" s="57" t="str">
        <f ca="1">IFERROR(IF(INDEX(INDIRECT("'"&amp;$B$2&amp;"月"&amp;"'!A:AZ"),33,54+4)="","",INDEX(INDIRECT("'"&amp;$B$2&amp;"月"&amp;"'!A:AZ"),33,54+4)),"")</f>
        <v/>
      </c>
      <c r="H439" s="57"/>
    </row>
    <row r="440" spans="1:8" ht="13.5" customHeight="1">
      <c r="A440" s="57">
        <f>IF(DAY(DATE(対象年度,$B$2,31))&lt;&gt;31,"",31)</f>
        <v>31</v>
      </c>
      <c r="B440" s="57" t="str">
        <f>IF(DAY(DATE(対象年度,$B$2,31))&lt;&gt;31,"",CHOOSE(WEEKDAY(DATE(対象年度,$B$2,31),2),"月","火","水","木","金","土","日"))</f>
        <v>土</v>
      </c>
      <c r="C440" s="57" t="str">
        <f ca="1">IFERROR(IF(INDEX(INDIRECT("'"&amp;$B$2&amp;"月"&amp;"'!A:AZ"),34,54+0)="","",INDEX(INDIRECT("'"&amp;$B$2&amp;"月"&amp;"'!A:AZ"),34,54+0)),"")</f>
        <v/>
      </c>
      <c r="D440" s="58" t="str">
        <f ca="1">IFERROR(IF(INDEX(INDIRECT("'"&amp;$B$2&amp;"月"&amp;"'!A:AZ"),34,54+1)="","",INDEX(INDIRECT("'"&amp;$B$2&amp;"月"&amp;"'!A:AZ"),34,54+1)),"")</f>
        <v/>
      </c>
      <c r="E440" s="57" t="str">
        <f ca="1">IFERROR(IF(INDEX(INDIRECT("'"&amp;$B$2&amp;"月"&amp;"'!A:AZ"),34,54+2)="","",INDEX(INDIRECT("'"&amp;$B$2&amp;"月"&amp;"'!A:AZ"),34,54+2)),"")</f>
        <v/>
      </c>
      <c r="F440" s="59" t="str">
        <f ca="1">IFERROR(IF(INDEX(INDIRECT("'"&amp;$B$2&amp;"月"&amp;"'!A:AZ"),34,54+3)="","",INDEX(INDIRECT("'"&amp;$B$2&amp;"月"&amp;"'!A:AZ"),34,54+3)),"")</f>
        <v/>
      </c>
      <c r="G440" s="57" t="str">
        <f ca="1">IFERROR(IF(INDEX(INDIRECT("'"&amp;$B$2&amp;"月"&amp;"'!A:AZ"),34,54+4)="","",INDEX(INDIRECT("'"&amp;$B$2&amp;"月"&amp;"'!A:AZ"),34,54+4)),"")</f>
        <v/>
      </c>
      <c r="H440" s="57"/>
    </row>
    <row r="441" spans="1:8" ht="21.75" customHeight="1">
      <c r="A441" s="111" t="s">
        <v>144</v>
      </c>
      <c r="B441" s="111"/>
      <c r="C441" s="61" t="s">
        <v>113</v>
      </c>
      <c r="D441" s="62">
        <f ca="1">IFERROR(INDEX(INDIRECT("'"&amp;$B$2&amp;"月"&amp;"'!A:AZ"),35,54),0)</f>
        <v>0</v>
      </c>
      <c r="E441" s="63" t="s">
        <v>114</v>
      </c>
      <c r="F441" s="64">
        <f ca="1">IFERROR(INDEX(INDIRECT("'"&amp;$B$2&amp;"月"&amp;"'!A:AZ"),36,54),0)</f>
        <v>0</v>
      </c>
      <c r="G441" s="61" t="s">
        <v>115</v>
      </c>
      <c r="H441" s="62">
        <f ca="1">IFERROR(INDEX(INDIRECT("'"&amp;$B$2&amp;"月"&amp;"'!A:AZ"),38,54),0)</f>
        <v>0</v>
      </c>
    </row>
    <row r="442" spans="1:8" ht="24" customHeight="1">
      <c r="A442" s="112"/>
      <c r="B442" s="112"/>
      <c r="C442" s="65" t="s">
        <v>122</v>
      </c>
      <c r="D442" s="66">
        <f ca="1">IFERROR(INDEX(INDIRECT("'"&amp;$B$2&amp;"月"&amp;"'!A:AZ"),37,54),0)</f>
        <v>0</v>
      </c>
      <c r="E442" s="67" t="s">
        <v>105</v>
      </c>
      <c r="F442" s="68">
        <f ca="1">IFERROR(INDEX(INDIRECT("'"&amp;$B$2&amp;"月"&amp;"'!A:AZ"),39,54),0)</f>
        <v>0</v>
      </c>
      <c r="G442" s="69" t="s">
        <v>106</v>
      </c>
      <c r="H442" s="70">
        <f ca="1">IFERROR(INDEX(INDIRECT("'"&amp;$B$2&amp;"月"&amp;"'!A:AZ"),40,54),0)</f>
        <v>0</v>
      </c>
    </row>
    <row r="444" spans="1:8" ht="27.75" customHeight="1">
      <c r="A444" s="90" t="s">
        <v>133</v>
      </c>
      <c r="B444" s="90"/>
      <c r="C444" s="90"/>
      <c r="D444" s="90"/>
      <c r="E444" s="90"/>
      <c r="F444" s="90"/>
      <c r="G444" s="90"/>
      <c r="H444" s="90"/>
    </row>
    <row r="445" spans="1:8" ht="18" customHeight="1">
      <c r="A445" s="113" t="s">
        <v>134</v>
      </c>
      <c r="B445" s="113"/>
      <c r="C445" s="113"/>
      <c r="D445" s="113"/>
      <c r="E445" s="113"/>
      <c r="F445" s="113"/>
      <c r="G445" s="113"/>
      <c r="H445" s="113"/>
    </row>
    <row r="446" spans="1:8" ht="27.75" customHeight="1">
      <c r="A446" s="49" t="s">
        <v>135</v>
      </c>
      <c r="B446" s="114" t="str">
        <f>対象年度&amp;"年 "&amp;$B$2&amp;"月"</f>
        <v>2026年 1月</v>
      </c>
      <c r="C446" s="114"/>
      <c r="D446" s="49" t="s">
        <v>136</v>
      </c>
      <c r="E446" s="115" t="str">
        <f>IFERROR(従業員マスタ!$C$15,"")</f>
        <v>加藤 十郎</v>
      </c>
      <c r="F446" s="115"/>
      <c r="G446" s="115"/>
      <c r="H446" s="115"/>
    </row>
    <row r="447" spans="1:8" ht="19.5" customHeight="1">
      <c r="A447" s="73" t="s">
        <v>147</v>
      </c>
      <c r="B447" s="53" t="s">
        <v>148</v>
      </c>
      <c r="C447" s="119" t="s">
        <v>141</v>
      </c>
      <c r="D447" s="119"/>
      <c r="E447" s="119" t="s">
        <v>142</v>
      </c>
      <c r="F447" s="119"/>
      <c r="G447" s="116" t="s">
        <v>143</v>
      </c>
      <c r="H447" s="116"/>
    </row>
    <row r="448" spans="1:8" ht="43.5" customHeight="1">
      <c r="A448" s="74"/>
      <c r="B448" s="54"/>
      <c r="C448" s="110"/>
      <c r="D448" s="110"/>
      <c r="E448" s="110"/>
      <c r="F448" s="110"/>
      <c r="G448" s="110"/>
      <c r="H448" s="110"/>
    </row>
    <row r="449" spans="1:8" ht="19.5" customHeight="1">
      <c r="A449" s="55" t="s">
        <v>108</v>
      </c>
      <c r="B449" s="55" t="s">
        <v>109</v>
      </c>
      <c r="C449" s="55" t="s">
        <v>111</v>
      </c>
      <c r="D449" s="56" t="s">
        <v>112</v>
      </c>
      <c r="E449" s="55" t="s">
        <v>113</v>
      </c>
      <c r="F449" s="55" t="s">
        <v>114</v>
      </c>
      <c r="G449" s="55" t="s">
        <v>115</v>
      </c>
      <c r="H449" s="55" t="s">
        <v>75</v>
      </c>
    </row>
    <row r="450" spans="1:8" ht="13.5" customHeight="1">
      <c r="A450" s="57">
        <f>IF(DAY(DATE(対象年度,$B$2,1))&lt;&gt;1,"",1)</f>
        <v>1</v>
      </c>
      <c r="B450" s="57" t="str">
        <f>IF(DAY(DATE(対象年度,$B$2,1))&lt;&gt;1,"",CHOOSE(WEEKDAY(DATE(対象年度,$B$2,1),2),"月","火","水","木","金","土","日"))</f>
        <v>木</v>
      </c>
      <c r="C450" s="57" t="str">
        <f ca="1">IFERROR(IF(INDEX(INDIRECT("'"&amp;$B$2&amp;"月"&amp;"'!A:AZ"),4,59+0)="","",INDEX(INDIRECT("'"&amp;$B$2&amp;"月"&amp;"'!A:AZ"),4,59+0)),"")</f>
        <v/>
      </c>
      <c r="D450" s="58" t="str">
        <f ca="1">IFERROR(IF(INDEX(INDIRECT("'"&amp;$B$2&amp;"月"&amp;"'!A:AZ"),4,59+1)="","",INDEX(INDIRECT("'"&amp;$B$2&amp;"月"&amp;"'!A:AZ"),4,59+1)),"")</f>
        <v/>
      </c>
      <c r="E450" s="57" t="str">
        <f ca="1">IFERROR(IF(INDEX(INDIRECT("'"&amp;$B$2&amp;"月"&amp;"'!A:AZ"),4,59+2)="","",INDEX(INDIRECT("'"&amp;$B$2&amp;"月"&amp;"'!A:AZ"),4,59+2)),"")</f>
        <v/>
      </c>
      <c r="F450" s="59" t="str">
        <f ca="1">IFERROR(IF(INDEX(INDIRECT("'"&amp;$B$2&amp;"月"&amp;"'!A:AZ"),4,59+3)="","",INDEX(INDIRECT("'"&amp;$B$2&amp;"月"&amp;"'!A:AZ"),4,59+3)),"")</f>
        <v/>
      </c>
      <c r="G450" s="57" t="str">
        <f ca="1">IFERROR(IF(INDEX(INDIRECT("'"&amp;$B$2&amp;"月"&amp;"'!A:AZ"),4,59+4)="","",INDEX(INDIRECT("'"&amp;$B$2&amp;"月"&amp;"'!A:AZ"),4,59+4)),"")</f>
        <v/>
      </c>
      <c r="H450" s="57"/>
    </row>
    <row r="451" spans="1:8" ht="13.5" customHeight="1">
      <c r="A451" s="57">
        <f>IF(DAY(DATE(対象年度,$B$2,2))&lt;&gt;2,"",2)</f>
        <v>2</v>
      </c>
      <c r="B451" s="57" t="str">
        <f>IF(DAY(DATE(対象年度,$B$2,2))&lt;&gt;2,"",CHOOSE(WEEKDAY(DATE(対象年度,$B$2,2),2),"月","火","水","木","金","土","日"))</f>
        <v>金</v>
      </c>
      <c r="C451" s="57" t="str">
        <f ca="1">IFERROR(IF(INDEX(INDIRECT("'"&amp;$B$2&amp;"月"&amp;"'!A:AZ"),5,59+0)="","",INDEX(INDIRECT("'"&amp;$B$2&amp;"月"&amp;"'!A:AZ"),5,59+0)),"")</f>
        <v/>
      </c>
      <c r="D451" s="58" t="str">
        <f ca="1">IFERROR(IF(INDEX(INDIRECT("'"&amp;$B$2&amp;"月"&amp;"'!A:AZ"),5,59+1)="","",INDEX(INDIRECT("'"&amp;$B$2&amp;"月"&amp;"'!A:AZ"),5,59+1)),"")</f>
        <v/>
      </c>
      <c r="E451" s="57" t="str">
        <f ca="1">IFERROR(IF(INDEX(INDIRECT("'"&amp;$B$2&amp;"月"&amp;"'!A:AZ"),5,59+2)="","",INDEX(INDIRECT("'"&amp;$B$2&amp;"月"&amp;"'!A:AZ"),5,59+2)),"")</f>
        <v/>
      </c>
      <c r="F451" s="59" t="str">
        <f ca="1">IFERROR(IF(INDEX(INDIRECT("'"&amp;$B$2&amp;"月"&amp;"'!A:AZ"),5,59+3)="","",INDEX(INDIRECT("'"&amp;$B$2&amp;"月"&amp;"'!A:AZ"),5,59+3)),"")</f>
        <v/>
      </c>
      <c r="G451" s="57" t="str">
        <f ca="1">IFERROR(IF(INDEX(INDIRECT("'"&amp;$B$2&amp;"月"&amp;"'!A:AZ"),5,59+4)="","",INDEX(INDIRECT("'"&amp;$B$2&amp;"月"&amp;"'!A:AZ"),5,59+4)),"")</f>
        <v/>
      </c>
      <c r="H451" s="57"/>
    </row>
    <row r="452" spans="1:8" ht="13.5" customHeight="1">
      <c r="A452" s="57">
        <f>IF(DAY(DATE(対象年度,$B$2,3))&lt;&gt;3,"",3)</f>
        <v>3</v>
      </c>
      <c r="B452" s="57" t="str">
        <f>IF(DAY(DATE(対象年度,$B$2,3))&lt;&gt;3,"",CHOOSE(WEEKDAY(DATE(対象年度,$B$2,3),2),"月","火","水","木","金","土","日"))</f>
        <v>土</v>
      </c>
      <c r="C452" s="57" t="str">
        <f ca="1">IFERROR(IF(INDEX(INDIRECT("'"&amp;$B$2&amp;"月"&amp;"'!A:AZ"),6,59+0)="","",INDEX(INDIRECT("'"&amp;$B$2&amp;"月"&amp;"'!A:AZ"),6,59+0)),"")</f>
        <v/>
      </c>
      <c r="D452" s="58" t="str">
        <f ca="1">IFERROR(IF(INDEX(INDIRECT("'"&amp;$B$2&amp;"月"&amp;"'!A:AZ"),6,59+1)="","",INDEX(INDIRECT("'"&amp;$B$2&amp;"月"&amp;"'!A:AZ"),6,59+1)),"")</f>
        <v/>
      </c>
      <c r="E452" s="57" t="str">
        <f ca="1">IFERROR(IF(INDEX(INDIRECT("'"&amp;$B$2&amp;"月"&amp;"'!A:AZ"),6,59+2)="","",INDEX(INDIRECT("'"&amp;$B$2&amp;"月"&amp;"'!A:AZ"),6,59+2)),"")</f>
        <v/>
      </c>
      <c r="F452" s="59" t="str">
        <f ca="1">IFERROR(IF(INDEX(INDIRECT("'"&amp;$B$2&amp;"月"&amp;"'!A:AZ"),6,59+3)="","",INDEX(INDIRECT("'"&amp;$B$2&amp;"月"&amp;"'!A:AZ"),6,59+3)),"")</f>
        <v/>
      </c>
      <c r="G452" s="57" t="str">
        <f ca="1">IFERROR(IF(INDEX(INDIRECT("'"&amp;$B$2&amp;"月"&amp;"'!A:AZ"),6,59+4)="","",INDEX(INDIRECT("'"&amp;$B$2&amp;"月"&amp;"'!A:AZ"),6,59+4)),"")</f>
        <v/>
      </c>
      <c r="H452" s="57"/>
    </row>
    <row r="453" spans="1:8" ht="13.5" customHeight="1">
      <c r="A453" s="57">
        <f>IF(DAY(DATE(対象年度,$B$2,4))&lt;&gt;4,"",4)</f>
        <v>4</v>
      </c>
      <c r="B453" s="57" t="str">
        <f>IF(DAY(DATE(対象年度,$B$2,4))&lt;&gt;4,"",CHOOSE(WEEKDAY(DATE(対象年度,$B$2,4),2),"月","火","水","木","金","土","日"))</f>
        <v>日</v>
      </c>
      <c r="C453" s="57" t="str">
        <f ca="1">IFERROR(IF(INDEX(INDIRECT("'"&amp;$B$2&amp;"月"&amp;"'!A:AZ"),7,59+0)="","",INDEX(INDIRECT("'"&amp;$B$2&amp;"月"&amp;"'!A:AZ"),7,59+0)),"")</f>
        <v/>
      </c>
      <c r="D453" s="58" t="str">
        <f ca="1">IFERROR(IF(INDEX(INDIRECT("'"&amp;$B$2&amp;"月"&amp;"'!A:AZ"),7,59+1)="","",INDEX(INDIRECT("'"&amp;$B$2&amp;"月"&amp;"'!A:AZ"),7,59+1)),"")</f>
        <v/>
      </c>
      <c r="E453" s="57" t="str">
        <f ca="1">IFERROR(IF(INDEX(INDIRECT("'"&amp;$B$2&amp;"月"&amp;"'!A:AZ"),7,59+2)="","",INDEX(INDIRECT("'"&amp;$B$2&amp;"月"&amp;"'!A:AZ"),7,59+2)),"")</f>
        <v/>
      </c>
      <c r="F453" s="59" t="str">
        <f ca="1">IFERROR(IF(INDEX(INDIRECT("'"&amp;$B$2&amp;"月"&amp;"'!A:AZ"),7,59+3)="","",INDEX(INDIRECT("'"&amp;$B$2&amp;"月"&amp;"'!A:AZ"),7,59+3)),"")</f>
        <v/>
      </c>
      <c r="G453" s="57" t="str">
        <f ca="1">IFERROR(IF(INDEX(INDIRECT("'"&amp;$B$2&amp;"月"&amp;"'!A:AZ"),7,59+4)="","",INDEX(INDIRECT("'"&amp;$B$2&amp;"月"&amp;"'!A:AZ"),7,59+4)),"")</f>
        <v/>
      </c>
      <c r="H453" s="57"/>
    </row>
    <row r="454" spans="1:8" ht="13.5" customHeight="1">
      <c r="A454" s="57">
        <f>IF(DAY(DATE(対象年度,$B$2,5))&lt;&gt;5,"",5)</f>
        <v>5</v>
      </c>
      <c r="B454" s="57" t="str">
        <f>IF(DAY(DATE(対象年度,$B$2,5))&lt;&gt;5,"",CHOOSE(WEEKDAY(DATE(対象年度,$B$2,5),2),"月","火","水","木","金","土","日"))</f>
        <v>月</v>
      </c>
      <c r="C454" s="57" t="str">
        <f ca="1">IFERROR(IF(INDEX(INDIRECT("'"&amp;$B$2&amp;"月"&amp;"'!A:AZ"),8,59+0)="","",INDEX(INDIRECT("'"&amp;$B$2&amp;"月"&amp;"'!A:AZ"),8,59+0)),"")</f>
        <v/>
      </c>
      <c r="D454" s="58" t="str">
        <f ca="1">IFERROR(IF(INDEX(INDIRECT("'"&amp;$B$2&amp;"月"&amp;"'!A:AZ"),8,59+1)="","",INDEX(INDIRECT("'"&amp;$B$2&amp;"月"&amp;"'!A:AZ"),8,59+1)),"")</f>
        <v/>
      </c>
      <c r="E454" s="57" t="str">
        <f ca="1">IFERROR(IF(INDEX(INDIRECT("'"&amp;$B$2&amp;"月"&amp;"'!A:AZ"),8,59+2)="","",INDEX(INDIRECT("'"&amp;$B$2&amp;"月"&amp;"'!A:AZ"),8,59+2)),"")</f>
        <v/>
      </c>
      <c r="F454" s="59" t="str">
        <f ca="1">IFERROR(IF(INDEX(INDIRECT("'"&amp;$B$2&amp;"月"&amp;"'!A:AZ"),8,59+3)="","",INDEX(INDIRECT("'"&amp;$B$2&amp;"月"&amp;"'!A:AZ"),8,59+3)),"")</f>
        <v/>
      </c>
      <c r="G454" s="57" t="str">
        <f ca="1">IFERROR(IF(INDEX(INDIRECT("'"&amp;$B$2&amp;"月"&amp;"'!A:AZ"),8,59+4)="","",INDEX(INDIRECT("'"&amp;$B$2&amp;"月"&amp;"'!A:AZ"),8,59+4)),"")</f>
        <v/>
      </c>
      <c r="H454" s="57"/>
    </row>
    <row r="455" spans="1:8" ht="13.5" customHeight="1">
      <c r="A455" s="57">
        <f>IF(DAY(DATE(対象年度,$B$2,6))&lt;&gt;6,"",6)</f>
        <v>6</v>
      </c>
      <c r="B455" s="57" t="str">
        <f>IF(DAY(DATE(対象年度,$B$2,6))&lt;&gt;6,"",CHOOSE(WEEKDAY(DATE(対象年度,$B$2,6),2),"月","火","水","木","金","土","日"))</f>
        <v>火</v>
      </c>
      <c r="C455" s="57" t="str">
        <f ca="1">IFERROR(IF(INDEX(INDIRECT("'"&amp;$B$2&amp;"月"&amp;"'!A:AZ"),9,59+0)="","",INDEX(INDIRECT("'"&amp;$B$2&amp;"月"&amp;"'!A:AZ"),9,59+0)),"")</f>
        <v/>
      </c>
      <c r="D455" s="58" t="str">
        <f ca="1">IFERROR(IF(INDEX(INDIRECT("'"&amp;$B$2&amp;"月"&amp;"'!A:AZ"),9,59+1)="","",INDEX(INDIRECT("'"&amp;$B$2&amp;"月"&amp;"'!A:AZ"),9,59+1)),"")</f>
        <v/>
      </c>
      <c r="E455" s="57" t="str">
        <f ca="1">IFERROR(IF(INDEX(INDIRECT("'"&amp;$B$2&amp;"月"&amp;"'!A:AZ"),9,59+2)="","",INDEX(INDIRECT("'"&amp;$B$2&amp;"月"&amp;"'!A:AZ"),9,59+2)),"")</f>
        <v/>
      </c>
      <c r="F455" s="59" t="str">
        <f ca="1">IFERROR(IF(INDEX(INDIRECT("'"&amp;$B$2&amp;"月"&amp;"'!A:AZ"),9,59+3)="","",INDEX(INDIRECT("'"&amp;$B$2&amp;"月"&amp;"'!A:AZ"),9,59+3)),"")</f>
        <v/>
      </c>
      <c r="G455" s="57" t="str">
        <f ca="1">IFERROR(IF(INDEX(INDIRECT("'"&amp;$B$2&amp;"月"&amp;"'!A:AZ"),9,59+4)="","",INDEX(INDIRECT("'"&amp;$B$2&amp;"月"&amp;"'!A:AZ"),9,59+4)),"")</f>
        <v/>
      </c>
      <c r="H455" s="57"/>
    </row>
    <row r="456" spans="1:8" ht="13.5" customHeight="1">
      <c r="A456" s="57">
        <f>IF(DAY(DATE(対象年度,$B$2,7))&lt;&gt;7,"",7)</f>
        <v>7</v>
      </c>
      <c r="B456" s="57" t="str">
        <f>IF(DAY(DATE(対象年度,$B$2,7))&lt;&gt;7,"",CHOOSE(WEEKDAY(DATE(対象年度,$B$2,7),2),"月","火","水","木","金","土","日"))</f>
        <v>水</v>
      </c>
      <c r="C456" s="57" t="str">
        <f ca="1">IFERROR(IF(INDEX(INDIRECT("'"&amp;$B$2&amp;"月"&amp;"'!A:AZ"),10,59+0)="","",INDEX(INDIRECT("'"&amp;$B$2&amp;"月"&amp;"'!A:AZ"),10,59+0)),"")</f>
        <v/>
      </c>
      <c r="D456" s="58" t="str">
        <f ca="1">IFERROR(IF(INDEX(INDIRECT("'"&amp;$B$2&amp;"月"&amp;"'!A:AZ"),10,59+1)="","",INDEX(INDIRECT("'"&amp;$B$2&amp;"月"&amp;"'!A:AZ"),10,59+1)),"")</f>
        <v/>
      </c>
      <c r="E456" s="57" t="str">
        <f ca="1">IFERROR(IF(INDEX(INDIRECT("'"&amp;$B$2&amp;"月"&amp;"'!A:AZ"),10,59+2)="","",INDEX(INDIRECT("'"&amp;$B$2&amp;"月"&amp;"'!A:AZ"),10,59+2)),"")</f>
        <v/>
      </c>
      <c r="F456" s="59" t="str">
        <f ca="1">IFERROR(IF(INDEX(INDIRECT("'"&amp;$B$2&amp;"月"&amp;"'!A:AZ"),10,59+3)="","",INDEX(INDIRECT("'"&amp;$B$2&amp;"月"&amp;"'!A:AZ"),10,59+3)),"")</f>
        <v/>
      </c>
      <c r="G456" s="57" t="str">
        <f ca="1">IFERROR(IF(INDEX(INDIRECT("'"&amp;$B$2&amp;"月"&amp;"'!A:AZ"),10,59+4)="","",INDEX(INDIRECT("'"&amp;$B$2&amp;"月"&amp;"'!A:AZ"),10,59+4)),"")</f>
        <v/>
      </c>
      <c r="H456" s="57"/>
    </row>
    <row r="457" spans="1:8" ht="13.5" customHeight="1">
      <c r="A457" s="57">
        <f>IF(DAY(DATE(対象年度,$B$2,8))&lt;&gt;8,"",8)</f>
        <v>8</v>
      </c>
      <c r="B457" s="57" t="str">
        <f>IF(DAY(DATE(対象年度,$B$2,8))&lt;&gt;8,"",CHOOSE(WEEKDAY(DATE(対象年度,$B$2,8),2),"月","火","水","木","金","土","日"))</f>
        <v>木</v>
      </c>
      <c r="C457" s="57" t="str">
        <f ca="1">IFERROR(IF(INDEX(INDIRECT("'"&amp;$B$2&amp;"月"&amp;"'!A:AZ"),11,59+0)="","",INDEX(INDIRECT("'"&amp;$B$2&amp;"月"&amp;"'!A:AZ"),11,59+0)),"")</f>
        <v/>
      </c>
      <c r="D457" s="58" t="str">
        <f ca="1">IFERROR(IF(INDEX(INDIRECT("'"&amp;$B$2&amp;"月"&amp;"'!A:AZ"),11,59+1)="","",INDEX(INDIRECT("'"&amp;$B$2&amp;"月"&amp;"'!A:AZ"),11,59+1)),"")</f>
        <v/>
      </c>
      <c r="E457" s="57" t="str">
        <f ca="1">IFERROR(IF(INDEX(INDIRECT("'"&amp;$B$2&amp;"月"&amp;"'!A:AZ"),11,59+2)="","",INDEX(INDIRECT("'"&amp;$B$2&amp;"月"&amp;"'!A:AZ"),11,59+2)),"")</f>
        <v/>
      </c>
      <c r="F457" s="59" t="str">
        <f ca="1">IFERROR(IF(INDEX(INDIRECT("'"&amp;$B$2&amp;"月"&amp;"'!A:AZ"),11,59+3)="","",INDEX(INDIRECT("'"&amp;$B$2&amp;"月"&amp;"'!A:AZ"),11,59+3)),"")</f>
        <v/>
      </c>
      <c r="G457" s="57" t="str">
        <f ca="1">IFERROR(IF(INDEX(INDIRECT("'"&amp;$B$2&amp;"月"&amp;"'!A:AZ"),11,59+4)="","",INDEX(INDIRECT("'"&amp;$B$2&amp;"月"&amp;"'!A:AZ"),11,59+4)),"")</f>
        <v/>
      </c>
      <c r="H457" s="57"/>
    </row>
    <row r="458" spans="1:8" ht="13.5" customHeight="1">
      <c r="A458" s="57">
        <f>IF(DAY(DATE(対象年度,$B$2,9))&lt;&gt;9,"",9)</f>
        <v>9</v>
      </c>
      <c r="B458" s="57" t="str">
        <f>IF(DAY(DATE(対象年度,$B$2,9))&lt;&gt;9,"",CHOOSE(WEEKDAY(DATE(対象年度,$B$2,9),2),"月","火","水","木","金","土","日"))</f>
        <v>金</v>
      </c>
      <c r="C458" s="57" t="str">
        <f ca="1">IFERROR(IF(INDEX(INDIRECT("'"&amp;$B$2&amp;"月"&amp;"'!A:AZ"),12,59+0)="","",INDEX(INDIRECT("'"&amp;$B$2&amp;"月"&amp;"'!A:AZ"),12,59+0)),"")</f>
        <v/>
      </c>
      <c r="D458" s="58" t="str">
        <f ca="1">IFERROR(IF(INDEX(INDIRECT("'"&amp;$B$2&amp;"月"&amp;"'!A:AZ"),12,59+1)="","",INDEX(INDIRECT("'"&amp;$B$2&amp;"月"&amp;"'!A:AZ"),12,59+1)),"")</f>
        <v/>
      </c>
      <c r="E458" s="57" t="str">
        <f ca="1">IFERROR(IF(INDEX(INDIRECT("'"&amp;$B$2&amp;"月"&amp;"'!A:AZ"),12,59+2)="","",INDEX(INDIRECT("'"&amp;$B$2&amp;"月"&amp;"'!A:AZ"),12,59+2)),"")</f>
        <v/>
      </c>
      <c r="F458" s="59" t="str">
        <f ca="1">IFERROR(IF(INDEX(INDIRECT("'"&amp;$B$2&amp;"月"&amp;"'!A:AZ"),12,59+3)="","",INDEX(INDIRECT("'"&amp;$B$2&amp;"月"&amp;"'!A:AZ"),12,59+3)),"")</f>
        <v/>
      </c>
      <c r="G458" s="57" t="str">
        <f ca="1">IFERROR(IF(INDEX(INDIRECT("'"&amp;$B$2&amp;"月"&amp;"'!A:AZ"),12,59+4)="","",INDEX(INDIRECT("'"&amp;$B$2&amp;"月"&amp;"'!A:AZ"),12,59+4)),"")</f>
        <v/>
      </c>
      <c r="H458" s="57"/>
    </row>
    <row r="459" spans="1:8" ht="13.5" customHeight="1">
      <c r="A459" s="57">
        <f>IF(DAY(DATE(対象年度,$B$2,10))&lt;&gt;10,"",10)</f>
        <v>10</v>
      </c>
      <c r="B459" s="57" t="str">
        <f>IF(DAY(DATE(対象年度,$B$2,10))&lt;&gt;10,"",CHOOSE(WEEKDAY(DATE(対象年度,$B$2,10),2),"月","火","水","木","金","土","日"))</f>
        <v>土</v>
      </c>
      <c r="C459" s="57" t="str">
        <f ca="1">IFERROR(IF(INDEX(INDIRECT("'"&amp;$B$2&amp;"月"&amp;"'!A:AZ"),13,59+0)="","",INDEX(INDIRECT("'"&amp;$B$2&amp;"月"&amp;"'!A:AZ"),13,59+0)),"")</f>
        <v/>
      </c>
      <c r="D459" s="58" t="str">
        <f ca="1">IFERROR(IF(INDEX(INDIRECT("'"&amp;$B$2&amp;"月"&amp;"'!A:AZ"),13,59+1)="","",INDEX(INDIRECT("'"&amp;$B$2&amp;"月"&amp;"'!A:AZ"),13,59+1)),"")</f>
        <v/>
      </c>
      <c r="E459" s="57" t="str">
        <f ca="1">IFERROR(IF(INDEX(INDIRECT("'"&amp;$B$2&amp;"月"&amp;"'!A:AZ"),13,59+2)="","",INDEX(INDIRECT("'"&amp;$B$2&amp;"月"&amp;"'!A:AZ"),13,59+2)),"")</f>
        <v/>
      </c>
      <c r="F459" s="59" t="str">
        <f ca="1">IFERROR(IF(INDEX(INDIRECT("'"&amp;$B$2&amp;"月"&amp;"'!A:AZ"),13,59+3)="","",INDEX(INDIRECT("'"&amp;$B$2&amp;"月"&amp;"'!A:AZ"),13,59+3)),"")</f>
        <v/>
      </c>
      <c r="G459" s="57" t="str">
        <f ca="1">IFERROR(IF(INDEX(INDIRECT("'"&amp;$B$2&amp;"月"&amp;"'!A:AZ"),13,59+4)="","",INDEX(INDIRECT("'"&amp;$B$2&amp;"月"&amp;"'!A:AZ"),13,59+4)),"")</f>
        <v/>
      </c>
      <c r="H459" s="57"/>
    </row>
    <row r="460" spans="1:8" ht="13.5" customHeight="1">
      <c r="A460" s="57">
        <f>IF(DAY(DATE(対象年度,$B$2,11))&lt;&gt;11,"",11)</f>
        <v>11</v>
      </c>
      <c r="B460" s="57" t="str">
        <f>IF(DAY(DATE(対象年度,$B$2,11))&lt;&gt;11,"",CHOOSE(WEEKDAY(DATE(対象年度,$B$2,11),2),"月","火","水","木","金","土","日"))</f>
        <v>日</v>
      </c>
      <c r="C460" s="57" t="str">
        <f ca="1">IFERROR(IF(INDEX(INDIRECT("'"&amp;$B$2&amp;"月"&amp;"'!A:AZ"),14,59+0)="","",INDEX(INDIRECT("'"&amp;$B$2&amp;"月"&amp;"'!A:AZ"),14,59+0)),"")</f>
        <v/>
      </c>
      <c r="D460" s="58" t="str">
        <f ca="1">IFERROR(IF(INDEX(INDIRECT("'"&amp;$B$2&amp;"月"&amp;"'!A:AZ"),14,59+1)="","",INDEX(INDIRECT("'"&amp;$B$2&amp;"月"&amp;"'!A:AZ"),14,59+1)),"")</f>
        <v/>
      </c>
      <c r="E460" s="57" t="str">
        <f ca="1">IFERROR(IF(INDEX(INDIRECT("'"&amp;$B$2&amp;"月"&amp;"'!A:AZ"),14,59+2)="","",INDEX(INDIRECT("'"&amp;$B$2&amp;"月"&amp;"'!A:AZ"),14,59+2)),"")</f>
        <v/>
      </c>
      <c r="F460" s="59" t="str">
        <f ca="1">IFERROR(IF(INDEX(INDIRECT("'"&amp;$B$2&amp;"月"&amp;"'!A:AZ"),14,59+3)="","",INDEX(INDIRECT("'"&amp;$B$2&amp;"月"&amp;"'!A:AZ"),14,59+3)),"")</f>
        <v/>
      </c>
      <c r="G460" s="57" t="str">
        <f ca="1">IFERROR(IF(INDEX(INDIRECT("'"&amp;$B$2&amp;"月"&amp;"'!A:AZ"),14,59+4)="","",INDEX(INDIRECT("'"&amp;$B$2&amp;"月"&amp;"'!A:AZ"),14,59+4)),"")</f>
        <v/>
      </c>
      <c r="H460" s="57"/>
    </row>
    <row r="461" spans="1:8" ht="13.5" customHeight="1">
      <c r="A461" s="57">
        <f>IF(DAY(DATE(対象年度,$B$2,12))&lt;&gt;12,"",12)</f>
        <v>12</v>
      </c>
      <c r="B461" s="57" t="str">
        <f>IF(DAY(DATE(対象年度,$B$2,12))&lt;&gt;12,"",CHOOSE(WEEKDAY(DATE(対象年度,$B$2,12),2),"月","火","水","木","金","土","日"))</f>
        <v>月</v>
      </c>
      <c r="C461" s="57" t="str">
        <f ca="1">IFERROR(IF(INDEX(INDIRECT("'"&amp;$B$2&amp;"月"&amp;"'!A:AZ"),15,59+0)="","",INDEX(INDIRECT("'"&amp;$B$2&amp;"月"&amp;"'!A:AZ"),15,59+0)),"")</f>
        <v/>
      </c>
      <c r="D461" s="58" t="str">
        <f ca="1">IFERROR(IF(INDEX(INDIRECT("'"&amp;$B$2&amp;"月"&amp;"'!A:AZ"),15,59+1)="","",INDEX(INDIRECT("'"&amp;$B$2&amp;"月"&amp;"'!A:AZ"),15,59+1)),"")</f>
        <v/>
      </c>
      <c r="E461" s="57" t="str">
        <f ca="1">IFERROR(IF(INDEX(INDIRECT("'"&amp;$B$2&amp;"月"&amp;"'!A:AZ"),15,59+2)="","",INDEX(INDIRECT("'"&amp;$B$2&amp;"月"&amp;"'!A:AZ"),15,59+2)),"")</f>
        <v/>
      </c>
      <c r="F461" s="59" t="str">
        <f ca="1">IFERROR(IF(INDEX(INDIRECT("'"&amp;$B$2&amp;"月"&amp;"'!A:AZ"),15,59+3)="","",INDEX(INDIRECT("'"&amp;$B$2&amp;"月"&amp;"'!A:AZ"),15,59+3)),"")</f>
        <v/>
      </c>
      <c r="G461" s="57" t="str">
        <f ca="1">IFERROR(IF(INDEX(INDIRECT("'"&amp;$B$2&amp;"月"&amp;"'!A:AZ"),15,59+4)="","",INDEX(INDIRECT("'"&amp;$B$2&amp;"月"&amp;"'!A:AZ"),15,59+4)),"")</f>
        <v/>
      </c>
      <c r="H461" s="57"/>
    </row>
    <row r="462" spans="1:8" ht="13.5" customHeight="1">
      <c r="A462" s="57">
        <f>IF(DAY(DATE(対象年度,$B$2,13))&lt;&gt;13,"",13)</f>
        <v>13</v>
      </c>
      <c r="B462" s="57" t="str">
        <f>IF(DAY(DATE(対象年度,$B$2,13))&lt;&gt;13,"",CHOOSE(WEEKDAY(DATE(対象年度,$B$2,13),2),"月","火","水","木","金","土","日"))</f>
        <v>火</v>
      </c>
      <c r="C462" s="57" t="str">
        <f ca="1">IFERROR(IF(INDEX(INDIRECT("'"&amp;$B$2&amp;"月"&amp;"'!A:AZ"),16,59+0)="","",INDEX(INDIRECT("'"&amp;$B$2&amp;"月"&amp;"'!A:AZ"),16,59+0)),"")</f>
        <v/>
      </c>
      <c r="D462" s="58" t="str">
        <f ca="1">IFERROR(IF(INDEX(INDIRECT("'"&amp;$B$2&amp;"月"&amp;"'!A:AZ"),16,59+1)="","",INDEX(INDIRECT("'"&amp;$B$2&amp;"月"&amp;"'!A:AZ"),16,59+1)),"")</f>
        <v/>
      </c>
      <c r="E462" s="57" t="str">
        <f ca="1">IFERROR(IF(INDEX(INDIRECT("'"&amp;$B$2&amp;"月"&amp;"'!A:AZ"),16,59+2)="","",INDEX(INDIRECT("'"&amp;$B$2&amp;"月"&amp;"'!A:AZ"),16,59+2)),"")</f>
        <v/>
      </c>
      <c r="F462" s="59" t="str">
        <f ca="1">IFERROR(IF(INDEX(INDIRECT("'"&amp;$B$2&amp;"月"&amp;"'!A:AZ"),16,59+3)="","",INDEX(INDIRECT("'"&amp;$B$2&amp;"月"&amp;"'!A:AZ"),16,59+3)),"")</f>
        <v/>
      </c>
      <c r="G462" s="57" t="str">
        <f ca="1">IFERROR(IF(INDEX(INDIRECT("'"&amp;$B$2&amp;"月"&amp;"'!A:AZ"),16,59+4)="","",INDEX(INDIRECT("'"&amp;$B$2&amp;"月"&amp;"'!A:AZ"),16,59+4)),"")</f>
        <v/>
      </c>
      <c r="H462" s="57"/>
    </row>
    <row r="463" spans="1:8" ht="13.5" customHeight="1">
      <c r="A463" s="57">
        <f>IF(DAY(DATE(対象年度,$B$2,14))&lt;&gt;14,"",14)</f>
        <v>14</v>
      </c>
      <c r="B463" s="57" t="str">
        <f>IF(DAY(DATE(対象年度,$B$2,14))&lt;&gt;14,"",CHOOSE(WEEKDAY(DATE(対象年度,$B$2,14),2),"月","火","水","木","金","土","日"))</f>
        <v>水</v>
      </c>
      <c r="C463" s="57" t="str">
        <f ca="1">IFERROR(IF(INDEX(INDIRECT("'"&amp;$B$2&amp;"月"&amp;"'!A:AZ"),17,59+0)="","",INDEX(INDIRECT("'"&amp;$B$2&amp;"月"&amp;"'!A:AZ"),17,59+0)),"")</f>
        <v/>
      </c>
      <c r="D463" s="58" t="str">
        <f ca="1">IFERROR(IF(INDEX(INDIRECT("'"&amp;$B$2&amp;"月"&amp;"'!A:AZ"),17,59+1)="","",INDEX(INDIRECT("'"&amp;$B$2&amp;"月"&amp;"'!A:AZ"),17,59+1)),"")</f>
        <v/>
      </c>
      <c r="E463" s="57" t="str">
        <f ca="1">IFERROR(IF(INDEX(INDIRECT("'"&amp;$B$2&amp;"月"&amp;"'!A:AZ"),17,59+2)="","",INDEX(INDIRECT("'"&amp;$B$2&amp;"月"&amp;"'!A:AZ"),17,59+2)),"")</f>
        <v/>
      </c>
      <c r="F463" s="59" t="str">
        <f ca="1">IFERROR(IF(INDEX(INDIRECT("'"&amp;$B$2&amp;"月"&amp;"'!A:AZ"),17,59+3)="","",INDEX(INDIRECT("'"&amp;$B$2&amp;"月"&amp;"'!A:AZ"),17,59+3)),"")</f>
        <v/>
      </c>
      <c r="G463" s="57" t="str">
        <f ca="1">IFERROR(IF(INDEX(INDIRECT("'"&amp;$B$2&amp;"月"&amp;"'!A:AZ"),17,59+4)="","",INDEX(INDIRECT("'"&amp;$B$2&amp;"月"&amp;"'!A:AZ"),17,59+4)),"")</f>
        <v/>
      </c>
      <c r="H463" s="57"/>
    </row>
    <row r="464" spans="1:8" ht="13.5" customHeight="1">
      <c r="A464" s="57">
        <f>IF(DAY(DATE(対象年度,$B$2,15))&lt;&gt;15,"",15)</f>
        <v>15</v>
      </c>
      <c r="B464" s="57" t="str">
        <f>IF(DAY(DATE(対象年度,$B$2,15))&lt;&gt;15,"",CHOOSE(WEEKDAY(DATE(対象年度,$B$2,15),2),"月","火","水","木","金","土","日"))</f>
        <v>木</v>
      </c>
      <c r="C464" s="57" t="str">
        <f ca="1">IFERROR(IF(INDEX(INDIRECT("'"&amp;$B$2&amp;"月"&amp;"'!A:AZ"),18,59+0)="","",INDEX(INDIRECT("'"&amp;$B$2&amp;"月"&amp;"'!A:AZ"),18,59+0)),"")</f>
        <v/>
      </c>
      <c r="D464" s="58" t="str">
        <f ca="1">IFERROR(IF(INDEX(INDIRECT("'"&amp;$B$2&amp;"月"&amp;"'!A:AZ"),18,59+1)="","",INDEX(INDIRECT("'"&amp;$B$2&amp;"月"&amp;"'!A:AZ"),18,59+1)),"")</f>
        <v/>
      </c>
      <c r="E464" s="57" t="str">
        <f ca="1">IFERROR(IF(INDEX(INDIRECT("'"&amp;$B$2&amp;"月"&amp;"'!A:AZ"),18,59+2)="","",INDEX(INDIRECT("'"&amp;$B$2&amp;"月"&amp;"'!A:AZ"),18,59+2)),"")</f>
        <v/>
      </c>
      <c r="F464" s="59" t="str">
        <f ca="1">IFERROR(IF(INDEX(INDIRECT("'"&amp;$B$2&amp;"月"&amp;"'!A:AZ"),18,59+3)="","",INDEX(INDIRECT("'"&amp;$B$2&amp;"月"&amp;"'!A:AZ"),18,59+3)),"")</f>
        <v/>
      </c>
      <c r="G464" s="57" t="str">
        <f ca="1">IFERROR(IF(INDEX(INDIRECT("'"&amp;$B$2&amp;"月"&amp;"'!A:AZ"),18,59+4)="","",INDEX(INDIRECT("'"&amp;$B$2&amp;"月"&amp;"'!A:AZ"),18,59+4)),"")</f>
        <v/>
      </c>
      <c r="H464" s="57"/>
    </row>
    <row r="465" spans="1:8" ht="13.5" customHeight="1">
      <c r="A465" s="57">
        <f>IF(DAY(DATE(対象年度,$B$2,16))&lt;&gt;16,"",16)</f>
        <v>16</v>
      </c>
      <c r="B465" s="57" t="str">
        <f>IF(DAY(DATE(対象年度,$B$2,16))&lt;&gt;16,"",CHOOSE(WEEKDAY(DATE(対象年度,$B$2,16),2),"月","火","水","木","金","土","日"))</f>
        <v>金</v>
      </c>
      <c r="C465" s="57" t="str">
        <f ca="1">IFERROR(IF(INDEX(INDIRECT("'"&amp;$B$2&amp;"月"&amp;"'!A:AZ"),19,59+0)="","",INDEX(INDIRECT("'"&amp;$B$2&amp;"月"&amp;"'!A:AZ"),19,59+0)),"")</f>
        <v/>
      </c>
      <c r="D465" s="58" t="str">
        <f ca="1">IFERROR(IF(INDEX(INDIRECT("'"&amp;$B$2&amp;"月"&amp;"'!A:AZ"),19,59+1)="","",INDEX(INDIRECT("'"&amp;$B$2&amp;"月"&amp;"'!A:AZ"),19,59+1)),"")</f>
        <v/>
      </c>
      <c r="E465" s="57" t="str">
        <f ca="1">IFERROR(IF(INDEX(INDIRECT("'"&amp;$B$2&amp;"月"&amp;"'!A:AZ"),19,59+2)="","",INDEX(INDIRECT("'"&amp;$B$2&amp;"月"&amp;"'!A:AZ"),19,59+2)),"")</f>
        <v/>
      </c>
      <c r="F465" s="59" t="str">
        <f ca="1">IFERROR(IF(INDEX(INDIRECT("'"&amp;$B$2&amp;"月"&amp;"'!A:AZ"),19,59+3)="","",INDEX(INDIRECT("'"&amp;$B$2&amp;"月"&amp;"'!A:AZ"),19,59+3)),"")</f>
        <v/>
      </c>
      <c r="G465" s="57" t="str">
        <f ca="1">IFERROR(IF(INDEX(INDIRECT("'"&amp;$B$2&amp;"月"&amp;"'!A:AZ"),19,59+4)="","",INDEX(INDIRECT("'"&amp;$B$2&amp;"月"&amp;"'!A:AZ"),19,59+4)),"")</f>
        <v/>
      </c>
      <c r="H465" s="57"/>
    </row>
    <row r="466" spans="1:8" ht="13.5" customHeight="1">
      <c r="A466" s="57">
        <f>IF(DAY(DATE(対象年度,$B$2,17))&lt;&gt;17,"",17)</f>
        <v>17</v>
      </c>
      <c r="B466" s="57" t="str">
        <f>IF(DAY(DATE(対象年度,$B$2,17))&lt;&gt;17,"",CHOOSE(WEEKDAY(DATE(対象年度,$B$2,17),2),"月","火","水","木","金","土","日"))</f>
        <v>土</v>
      </c>
      <c r="C466" s="57" t="str">
        <f ca="1">IFERROR(IF(INDEX(INDIRECT("'"&amp;$B$2&amp;"月"&amp;"'!A:AZ"),20,59+0)="","",INDEX(INDIRECT("'"&amp;$B$2&amp;"月"&amp;"'!A:AZ"),20,59+0)),"")</f>
        <v/>
      </c>
      <c r="D466" s="58" t="str">
        <f ca="1">IFERROR(IF(INDEX(INDIRECT("'"&amp;$B$2&amp;"月"&amp;"'!A:AZ"),20,59+1)="","",INDEX(INDIRECT("'"&amp;$B$2&amp;"月"&amp;"'!A:AZ"),20,59+1)),"")</f>
        <v/>
      </c>
      <c r="E466" s="57" t="str">
        <f ca="1">IFERROR(IF(INDEX(INDIRECT("'"&amp;$B$2&amp;"月"&amp;"'!A:AZ"),20,59+2)="","",INDEX(INDIRECT("'"&amp;$B$2&amp;"月"&amp;"'!A:AZ"),20,59+2)),"")</f>
        <v/>
      </c>
      <c r="F466" s="59" t="str">
        <f ca="1">IFERROR(IF(INDEX(INDIRECT("'"&amp;$B$2&amp;"月"&amp;"'!A:AZ"),20,59+3)="","",INDEX(INDIRECT("'"&amp;$B$2&amp;"月"&amp;"'!A:AZ"),20,59+3)),"")</f>
        <v/>
      </c>
      <c r="G466" s="57" t="str">
        <f ca="1">IFERROR(IF(INDEX(INDIRECT("'"&amp;$B$2&amp;"月"&amp;"'!A:AZ"),20,59+4)="","",INDEX(INDIRECT("'"&amp;$B$2&amp;"月"&amp;"'!A:AZ"),20,59+4)),"")</f>
        <v/>
      </c>
      <c r="H466" s="57"/>
    </row>
    <row r="467" spans="1:8" ht="13.5" customHeight="1">
      <c r="A467" s="57">
        <f>IF(DAY(DATE(対象年度,$B$2,18))&lt;&gt;18,"",18)</f>
        <v>18</v>
      </c>
      <c r="B467" s="57" t="str">
        <f>IF(DAY(DATE(対象年度,$B$2,18))&lt;&gt;18,"",CHOOSE(WEEKDAY(DATE(対象年度,$B$2,18),2),"月","火","水","木","金","土","日"))</f>
        <v>日</v>
      </c>
      <c r="C467" s="57" t="str">
        <f ca="1">IFERROR(IF(INDEX(INDIRECT("'"&amp;$B$2&amp;"月"&amp;"'!A:AZ"),21,59+0)="","",INDEX(INDIRECT("'"&amp;$B$2&amp;"月"&amp;"'!A:AZ"),21,59+0)),"")</f>
        <v/>
      </c>
      <c r="D467" s="58" t="str">
        <f ca="1">IFERROR(IF(INDEX(INDIRECT("'"&amp;$B$2&amp;"月"&amp;"'!A:AZ"),21,59+1)="","",INDEX(INDIRECT("'"&amp;$B$2&amp;"月"&amp;"'!A:AZ"),21,59+1)),"")</f>
        <v/>
      </c>
      <c r="E467" s="57" t="str">
        <f ca="1">IFERROR(IF(INDEX(INDIRECT("'"&amp;$B$2&amp;"月"&amp;"'!A:AZ"),21,59+2)="","",INDEX(INDIRECT("'"&amp;$B$2&amp;"月"&amp;"'!A:AZ"),21,59+2)),"")</f>
        <v/>
      </c>
      <c r="F467" s="59" t="str">
        <f ca="1">IFERROR(IF(INDEX(INDIRECT("'"&amp;$B$2&amp;"月"&amp;"'!A:AZ"),21,59+3)="","",INDEX(INDIRECT("'"&amp;$B$2&amp;"月"&amp;"'!A:AZ"),21,59+3)),"")</f>
        <v/>
      </c>
      <c r="G467" s="57" t="str">
        <f ca="1">IFERROR(IF(INDEX(INDIRECT("'"&amp;$B$2&amp;"月"&amp;"'!A:AZ"),21,59+4)="","",INDEX(INDIRECT("'"&amp;$B$2&amp;"月"&amp;"'!A:AZ"),21,59+4)),"")</f>
        <v/>
      </c>
      <c r="H467" s="57"/>
    </row>
    <row r="468" spans="1:8" ht="13.5" customHeight="1">
      <c r="A468" s="57">
        <f>IF(DAY(DATE(対象年度,$B$2,19))&lt;&gt;19,"",19)</f>
        <v>19</v>
      </c>
      <c r="B468" s="57" t="str">
        <f>IF(DAY(DATE(対象年度,$B$2,19))&lt;&gt;19,"",CHOOSE(WEEKDAY(DATE(対象年度,$B$2,19),2),"月","火","水","木","金","土","日"))</f>
        <v>月</v>
      </c>
      <c r="C468" s="57" t="str">
        <f ca="1">IFERROR(IF(INDEX(INDIRECT("'"&amp;$B$2&amp;"月"&amp;"'!A:AZ"),22,59+0)="","",INDEX(INDIRECT("'"&amp;$B$2&amp;"月"&amp;"'!A:AZ"),22,59+0)),"")</f>
        <v/>
      </c>
      <c r="D468" s="58" t="str">
        <f ca="1">IFERROR(IF(INDEX(INDIRECT("'"&amp;$B$2&amp;"月"&amp;"'!A:AZ"),22,59+1)="","",INDEX(INDIRECT("'"&amp;$B$2&amp;"月"&amp;"'!A:AZ"),22,59+1)),"")</f>
        <v/>
      </c>
      <c r="E468" s="57" t="str">
        <f ca="1">IFERROR(IF(INDEX(INDIRECT("'"&amp;$B$2&amp;"月"&amp;"'!A:AZ"),22,59+2)="","",INDEX(INDIRECT("'"&amp;$B$2&amp;"月"&amp;"'!A:AZ"),22,59+2)),"")</f>
        <v/>
      </c>
      <c r="F468" s="59" t="str">
        <f ca="1">IFERROR(IF(INDEX(INDIRECT("'"&amp;$B$2&amp;"月"&amp;"'!A:AZ"),22,59+3)="","",INDEX(INDIRECT("'"&amp;$B$2&amp;"月"&amp;"'!A:AZ"),22,59+3)),"")</f>
        <v/>
      </c>
      <c r="G468" s="57" t="str">
        <f ca="1">IFERROR(IF(INDEX(INDIRECT("'"&amp;$B$2&amp;"月"&amp;"'!A:AZ"),22,59+4)="","",INDEX(INDIRECT("'"&amp;$B$2&amp;"月"&amp;"'!A:AZ"),22,59+4)),"")</f>
        <v/>
      </c>
      <c r="H468" s="57"/>
    </row>
    <row r="469" spans="1:8" ht="13.5" customHeight="1">
      <c r="A469" s="57">
        <f>IF(DAY(DATE(対象年度,$B$2,20))&lt;&gt;20,"",20)</f>
        <v>20</v>
      </c>
      <c r="B469" s="57" t="str">
        <f>IF(DAY(DATE(対象年度,$B$2,20))&lt;&gt;20,"",CHOOSE(WEEKDAY(DATE(対象年度,$B$2,20),2),"月","火","水","木","金","土","日"))</f>
        <v>火</v>
      </c>
      <c r="C469" s="57" t="str">
        <f ca="1">IFERROR(IF(INDEX(INDIRECT("'"&amp;$B$2&amp;"月"&amp;"'!A:AZ"),23,59+0)="","",INDEX(INDIRECT("'"&amp;$B$2&amp;"月"&amp;"'!A:AZ"),23,59+0)),"")</f>
        <v/>
      </c>
      <c r="D469" s="58" t="str">
        <f ca="1">IFERROR(IF(INDEX(INDIRECT("'"&amp;$B$2&amp;"月"&amp;"'!A:AZ"),23,59+1)="","",INDEX(INDIRECT("'"&amp;$B$2&amp;"月"&amp;"'!A:AZ"),23,59+1)),"")</f>
        <v/>
      </c>
      <c r="E469" s="57" t="str">
        <f ca="1">IFERROR(IF(INDEX(INDIRECT("'"&amp;$B$2&amp;"月"&amp;"'!A:AZ"),23,59+2)="","",INDEX(INDIRECT("'"&amp;$B$2&amp;"月"&amp;"'!A:AZ"),23,59+2)),"")</f>
        <v/>
      </c>
      <c r="F469" s="59" t="str">
        <f ca="1">IFERROR(IF(INDEX(INDIRECT("'"&amp;$B$2&amp;"月"&amp;"'!A:AZ"),23,59+3)="","",INDEX(INDIRECT("'"&amp;$B$2&amp;"月"&amp;"'!A:AZ"),23,59+3)),"")</f>
        <v/>
      </c>
      <c r="G469" s="57" t="str">
        <f ca="1">IFERROR(IF(INDEX(INDIRECT("'"&amp;$B$2&amp;"月"&amp;"'!A:AZ"),23,59+4)="","",INDEX(INDIRECT("'"&amp;$B$2&amp;"月"&amp;"'!A:AZ"),23,59+4)),"")</f>
        <v/>
      </c>
      <c r="H469" s="57"/>
    </row>
    <row r="470" spans="1:8" ht="13.5" customHeight="1">
      <c r="A470" s="57">
        <f>IF(DAY(DATE(対象年度,$B$2,21))&lt;&gt;21,"",21)</f>
        <v>21</v>
      </c>
      <c r="B470" s="57" t="str">
        <f>IF(DAY(DATE(対象年度,$B$2,21))&lt;&gt;21,"",CHOOSE(WEEKDAY(DATE(対象年度,$B$2,21),2),"月","火","水","木","金","土","日"))</f>
        <v>水</v>
      </c>
      <c r="C470" s="57" t="str">
        <f ca="1">IFERROR(IF(INDEX(INDIRECT("'"&amp;$B$2&amp;"月"&amp;"'!A:AZ"),24,59+0)="","",INDEX(INDIRECT("'"&amp;$B$2&amp;"月"&amp;"'!A:AZ"),24,59+0)),"")</f>
        <v/>
      </c>
      <c r="D470" s="58" t="str">
        <f ca="1">IFERROR(IF(INDEX(INDIRECT("'"&amp;$B$2&amp;"月"&amp;"'!A:AZ"),24,59+1)="","",INDEX(INDIRECT("'"&amp;$B$2&amp;"月"&amp;"'!A:AZ"),24,59+1)),"")</f>
        <v/>
      </c>
      <c r="E470" s="57" t="str">
        <f ca="1">IFERROR(IF(INDEX(INDIRECT("'"&amp;$B$2&amp;"月"&amp;"'!A:AZ"),24,59+2)="","",INDEX(INDIRECT("'"&amp;$B$2&amp;"月"&amp;"'!A:AZ"),24,59+2)),"")</f>
        <v/>
      </c>
      <c r="F470" s="59" t="str">
        <f ca="1">IFERROR(IF(INDEX(INDIRECT("'"&amp;$B$2&amp;"月"&amp;"'!A:AZ"),24,59+3)="","",INDEX(INDIRECT("'"&amp;$B$2&amp;"月"&amp;"'!A:AZ"),24,59+3)),"")</f>
        <v/>
      </c>
      <c r="G470" s="57" t="str">
        <f ca="1">IFERROR(IF(INDEX(INDIRECT("'"&amp;$B$2&amp;"月"&amp;"'!A:AZ"),24,59+4)="","",INDEX(INDIRECT("'"&amp;$B$2&amp;"月"&amp;"'!A:AZ"),24,59+4)),"")</f>
        <v/>
      </c>
      <c r="H470" s="57"/>
    </row>
    <row r="471" spans="1:8" ht="13.5" customHeight="1">
      <c r="A471" s="57">
        <f>IF(DAY(DATE(対象年度,$B$2,22))&lt;&gt;22,"",22)</f>
        <v>22</v>
      </c>
      <c r="B471" s="57" t="str">
        <f>IF(DAY(DATE(対象年度,$B$2,22))&lt;&gt;22,"",CHOOSE(WEEKDAY(DATE(対象年度,$B$2,22),2),"月","火","水","木","金","土","日"))</f>
        <v>木</v>
      </c>
      <c r="C471" s="57" t="str">
        <f ca="1">IFERROR(IF(INDEX(INDIRECT("'"&amp;$B$2&amp;"月"&amp;"'!A:AZ"),25,59+0)="","",INDEX(INDIRECT("'"&amp;$B$2&amp;"月"&amp;"'!A:AZ"),25,59+0)),"")</f>
        <v/>
      </c>
      <c r="D471" s="58" t="str">
        <f ca="1">IFERROR(IF(INDEX(INDIRECT("'"&amp;$B$2&amp;"月"&amp;"'!A:AZ"),25,59+1)="","",INDEX(INDIRECT("'"&amp;$B$2&amp;"月"&amp;"'!A:AZ"),25,59+1)),"")</f>
        <v/>
      </c>
      <c r="E471" s="57" t="str">
        <f ca="1">IFERROR(IF(INDEX(INDIRECT("'"&amp;$B$2&amp;"月"&amp;"'!A:AZ"),25,59+2)="","",INDEX(INDIRECT("'"&amp;$B$2&amp;"月"&amp;"'!A:AZ"),25,59+2)),"")</f>
        <v/>
      </c>
      <c r="F471" s="59" t="str">
        <f ca="1">IFERROR(IF(INDEX(INDIRECT("'"&amp;$B$2&amp;"月"&amp;"'!A:AZ"),25,59+3)="","",INDEX(INDIRECT("'"&amp;$B$2&amp;"月"&amp;"'!A:AZ"),25,59+3)),"")</f>
        <v/>
      </c>
      <c r="G471" s="57" t="str">
        <f ca="1">IFERROR(IF(INDEX(INDIRECT("'"&amp;$B$2&amp;"月"&amp;"'!A:AZ"),25,59+4)="","",INDEX(INDIRECT("'"&amp;$B$2&amp;"月"&amp;"'!A:AZ"),25,59+4)),"")</f>
        <v/>
      </c>
      <c r="H471" s="57"/>
    </row>
    <row r="472" spans="1:8" ht="13.5" customHeight="1">
      <c r="A472" s="57">
        <f>IF(DAY(DATE(対象年度,$B$2,23))&lt;&gt;23,"",23)</f>
        <v>23</v>
      </c>
      <c r="B472" s="57" t="str">
        <f>IF(DAY(DATE(対象年度,$B$2,23))&lt;&gt;23,"",CHOOSE(WEEKDAY(DATE(対象年度,$B$2,23),2),"月","火","水","木","金","土","日"))</f>
        <v>金</v>
      </c>
      <c r="C472" s="57" t="str">
        <f ca="1">IFERROR(IF(INDEX(INDIRECT("'"&amp;$B$2&amp;"月"&amp;"'!A:AZ"),26,59+0)="","",INDEX(INDIRECT("'"&amp;$B$2&amp;"月"&amp;"'!A:AZ"),26,59+0)),"")</f>
        <v/>
      </c>
      <c r="D472" s="58" t="str">
        <f ca="1">IFERROR(IF(INDEX(INDIRECT("'"&amp;$B$2&amp;"月"&amp;"'!A:AZ"),26,59+1)="","",INDEX(INDIRECT("'"&amp;$B$2&amp;"月"&amp;"'!A:AZ"),26,59+1)),"")</f>
        <v/>
      </c>
      <c r="E472" s="57" t="str">
        <f ca="1">IFERROR(IF(INDEX(INDIRECT("'"&amp;$B$2&amp;"月"&amp;"'!A:AZ"),26,59+2)="","",INDEX(INDIRECT("'"&amp;$B$2&amp;"月"&amp;"'!A:AZ"),26,59+2)),"")</f>
        <v/>
      </c>
      <c r="F472" s="59" t="str">
        <f ca="1">IFERROR(IF(INDEX(INDIRECT("'"&amp;$B$2&amp;"月"&amp;"'!A:AZ"),26,59+3)="","",INDEX(INDIRECT("'"&amp;$B$2&amp;"月"&amp;"'!A:AZ"),26,59+3)),"")</f>
        <v/>
      </c>
      <c r="G472" s="57" t="str">
        <f ca="1">IFERROR(IF(INDEX(INDIRECT("'"&amp;$B$2&amp;"月"&amp;"'!A:AZ"),26,59+4)="","",INDEX(INDIRECT("'"&amp;$B$2&amp;"月"&amp;"'!A:AZ"),26,59+4)),"")</f>
        <v/>
      </c>
      <c r="H472" s="57"/>
    </row>
    <row r="473" spans="1:8" ht="13.5" customHeight="1">
      <c r="A473" s="57">
        <f>IF(DAY(DATE(対象年度,$B$2,24))&lt;&gt;24,"",24)</f>
        <v>24</v>
      </c>
      <c r="B473" s="57" t="str">
        <f>IF(DAY(DATE(対象年度,$B$2,24))&lt;&gt;24,"",CHOOSE(WEEKDAY(DATE(対象年度,$B$2,24),2),"月","火","水","木","金","土","日"))</f>
        <v>土</v>
      </c>
      <c r="C473" s="57" t="str">
        <f ca="1">IFERROR(IF(INDEX(INDIRECT("'"&amp;$B$2&amp;"月"&amp;"'!A:AZ"),27,59+0)="","",INDEX(INDIRECT("'"&amp;$B$2&amp;"月"&amp;"'!A:AZ"),27,59+0)),"")</f>
        <v/>
      </c>
      <c r="D473" s="58" t="str">
        <f ca="1">IFERROR(IF(INDEX(INDIRECT("'"&amp;$B$2&amp;"月"&amp;"'!A:AZ"),27,59+1)="","",INDEX(INDIRECT("'"&amp;$B$2&amp;"月"&amp;"'!A:AZ"),27,59+1)),"")</f>
        <v/>
      </c>
      <c r="E473" s="57" t="str">
        <f ca="1">IFERROR(IF(INDEX(INDIRECT("'"&amp;$B$2&amp;"月"&amp;"'!A:AZ"),27,59+2)="","",INDEX(INDIRECT("'"&amp;$B$2&amp;"月"&amp;"'!A:AZ"),27,59+2)),"")</f>
        <v/>
      </c>
      <c r="F473" s="59" t="str">
        <f ca="1">IFERROR(IF(INDEX(INDIRECT("'"&amp;$B$2&amp;"月"&amp;"'!A:AZ"),27,59+3)="","",INDEX(INDIRECT("'"&amp;$B$2&amp;"月"&amp;"'!A:AZ"),27,59+3)),"")</f>
        <v/>
      </c>
      <c r="G473" s="57" t="str">
        <f ca="1">IFERROR(IF(INDEX(INDIRECT("'"&amp;$B$2&amp;"月"&amp;"'!A:AZ"),27,59+4)="","",INDEX(INDIRECT("'"&amp;$B$2&amp;"月"&amp;"'!A:AZ"),27,59+4)),"")</f>
        <v/>
      </c>
      <c r="H473" s="57"/>
    </row>
    <row r="474" spans="1:8" ht="13.5" customHeight="1">
      <c r="A474" s="57">
        <f>IF(DAY(DATE(対象年度,$B$2,25))&lt;&gt;25,"",25)</f>
        <v>25</v>
      </c>
      <c r="B474" s="57" t="str">
        <f>IF(DAY(DATE(対象年度,$B$2,25))&lt;&gt;25,"",CHOOSE(WEEKDAY(DATE(対象年度,$B$2,25),2),"月","火","水","木","金","土","日"))</f>
        <v>日</v>
      </c>
      <c r="C474" s="57" t="str">
        <f ca="1">IFERROR(IF(INDEX(INDIRECT("'"&amp;$B$2&amp;"月"&amp;"'!A:AZ"),28,59+0)="","",INDEX(INDIRECT("'"&amp;$B$2&amp;"月"&amp;"'!A:AZ"),28,59+0)),"")</f>
        <v/>
      </c>
      <c r="D474" s="58" t="str">
        <f ca="1">IFERROR(IF(INDEX(INDIRECT("'"&amp;$B$2&amp;"月"&amp;"'!A:AZ"),28,59+1)="","",INDEX(INDIRECT("'"&amp;$B$2&amp;"月"&amp;"'!A:AZ"),28,59+1)),"")</f>
        <v/>
      </c>
      <c r="E474" s="57" t="str">
        <f ca="1">IFERROR(IF(INDEX(INDIRECT("'"&amp;$B$2&amp;"月"&amp;"'!A:AZ"),28,59+2)="","",INDEX(INDIRECT("'"&amp;$B$2&amp;"月"&amp;"'!A:AZ"),28,59+2)),"")</f>
        <v/>
      </c>
      <c r="F474" s="59" t="str">
        <f ca="1">IFERROR(IF(INDEX(INDIRECT("'"&amp;$B$2&amp;"月"&amp;"'!A:AZ"),28,59+3)="","",INDEX(INDIRECT("'"&amp;$B$2&amp;"月"&amp;"'!A:AZ"),28,59+3)),"")</f>
        <v/>
      </c>
      <c r="G474" s="57" t="str">
        <f ca="1">IFERROR(IF(INDEX(INDIRECT("'"&amp;$B$2&amp;"月"&amp;"'!A:AZ"),28,59+4)="","",INDEX(INDIRECT("'"&amp;$B$2&amp;"月"&amp;"'!A:AZ"),28,59+4)),"")</f>
        <v/>
      </c>
      <c r="H474" s="57"/>
    </row>
    <row r="475" spans="1:8" ht="13.5" customHeight="1">
      <c r="A475" s="57">
        <f>IF(DAY(DATE(対象年度,$B$2,26))&lt;&gt;26,"",26)</f>
        <v>26</v>
      </c>
      <c r="B475" s="57" t="str">
        <f>IF(DAY(DATE(対象年度,$B$2,26))&lt;&gt;26,"",CHOOSE(WEEKDAY(DATE(対象年度,$B$2,26),2),"月","火","水","木","金","土","日"))</f>
        <v>月</v>
      </c>
      <c r="C475" s="57" t="str">
        <f ca="1">IFERROR(IF(INDEX(INDIRECT("'"&amp;$B$2&amp;"月"&amp;"'!A:AZ"),29,59+0)="","",INDEX(INDIRECT("'"&amp;$B$2&amp;"月"&amp;"'!A:AZ"),29,59+0)),"")</f>
        <v/>
      </c>
      <c r="D475" s="58" t="str">
        <f ca="1">IFERROR(IF(INDEX(INDIRECT("'"&amp;$B$2&amp;"月"&amp;"'!A:AZ"),29,59+1)="","",INDEX(INDIRECT("'"&amp;$B$2&amp;"月"&amp;"'!A:AZ"),29,59+1)),"")</f>
        <v/>
      </c>
      <c r="E475" s="57" t="str">
        <f ca="1">IFERROR(IF(INDEX(INDIRECT("'"&amp;$B$2&amp;"月"&amp;"'!A:AZ"),29,59+2)="","",INDEX(INDIRECT("'"&amp;$B$2&amp;"月"&amp;"'!A:AZ"),29,59+2)),"")</f>
        <v/>
      </c>
      <c r="F475" s="59" t="str">
        <f ca="1">IFERROR(IF(INDEX(INDIRECT("'"&amp;$B$2&amp;"月"&amp;"'!A:AZ"),29,59+3)="","",INDEX(INDIRECT("'"&amp;$B$2&amp;"月"&amp;"'!A:AZ"),29,59+3)),"")</f>
        <v/>
      </c>
      <c r="G475" s="57" t="str">
        <f ca="1">IFERROR(IF(INDEX(INDIRECT("'"&amp;$B$2&amp;"月"&amp;"'!A:AZ"),29,59+4)="","",INDEX(INDIRECT("'"&amp;$B$2&amp;"月"&amp;"'!A:AZ"),29,59+4)),"")</f>
        <v/>
      </c>
      <c r="H475" s="57"/>
    </row>
    <row r="476" spans="1:8" ht="13.5" customHeight="1">
      <c r="A476" s="57">
        <f>IF(DAY(DATE(対象年度,$B$2,27))&lt;&gt;27,"",27)</f>
        <v>27</v>
      </c>
      <c r="B476" s="57" t="str">
        <f>IF(DAY(DATE(対象年度,$B$2,27))&lt;&gt;27,"",CHOOSE(WEEKDAY(DATE(対象年度,$B$2,27),2),"月","火","水","木","金","土","日"))</f>
        <v>火</v>
      </c>
      <c r="C476" s="57" t="str">
        <f ca="1">IFERROR(IF(INDEX(INDIRECT("'"&amp;$B$2&amp;"月"&amp;"'!A:AZ"),30,59+0)="","",INDEX(INDIRECT("'"&amp;$B$2&amp;"月"&amp;"'!A:AZ"),30,59+0)),"")</f>
        <v/>
      </c>
      <c r="D476" s="58" t="str">
        <f ca="1">IFERROR(IF(INDEX(INDIRECT("'"&amp;$B$2&amp;"月"&amp;"'!A:AZ"),30,59+1)="","",INDEX(INDIRECT("'"&amp;$B$2&amp;"月"&amp;"'!A:AZ"),30,59+1)),"")</f>
        <v/>
      </c>
      <c r="E476" s="57" t="str">
        <f ca="1">IFERROR(IF(INDEX(INDIRECT("'"&amp;$B$2&amp;"月"&amp;"'!A:AZ"),30,59+2)="","",INDEX(INDIRECT("'"&amp;$B$2&amp;"月"&amp;"'!A:AZ"),30,59+2)),"")</f>
        <v/>
      </c>
      <c r="F476" s="59" t="str">
        <f ca="1">IFERROR(IF(INDEX(INDIRECT("'"&amp;$B$2&amp;"月"&amp;"'!A:AZ"),30,59+3)="","",INDEX(INDIRECT("'"&amp;$B$2&amp;"月"&amp;"'!A:AZ"),30,59+3)),"")</f>
        <v/>
      </c>
      <c r="G476" s="57" t="str">
        <f ca="1">IFERROR(IF(INDEX(INDIRECT("'"&amp;$B$2&amp;"月"&amp;"'!A:AZ"),30,59+4)="","",INDEX(INDIRECT("'"&amp;$B$2&amp;"月"&amp;"'!A:AZ"),30,59+4)),"")</f>
        <v/>
      </c>
      <c r="H476" s="57"/>
    </row>
    <row r="477" spans="1:8" ht="13.5" customHeight="1">
      <c r="A477" s="57">
        <f>IF(DAY(DATE(対象年度,$B$2,28))&lt;&gt;28,"",28)</f>
        <v>28</v>
      </c>
      <c r="B477" s="57" t="str">
        <f>IF(DAY(DATE(対象年度,$B$2,28))&lt;&gt;28,"",CHOOSE(WEEKDAY(DATE(対象年度,$B$2,28),2),"月","火","水","木","金","土","日"))</f>
        <v>水</v>
      </c>
      <c r="C477" s="57" t="str">
        <f ca="1">IFERROR(IF(INDEX(INDIRECT("'"&amp;$B$2&amp;"月"&amp;"'!A:AZ"),31,59+0)="","",INDEX(INDIRECT("'"&amp;$B$2&amp;"月"&amp;"'!A:AZ"),31,59+0)),"")</f>
        <v/>
      </c>
      <c r="D477" s="58" t="str">
        <f ca="1">IFERROR(IF(INDEX(INDIRECT("'"&amp;$B$2&amp;"月"&amp;"'!A:AZ"),31,59+1)="","",INDEX(INDIRECT("'"&amp;$B$2&amp;"月"&amp;"'!A:AZ"),31,59+1)),"")</f>
        <v/>
      </c>
      <c r="E477" s="57" t="str">
        <f ca="1">IFERROR(IF(INDEX(INDIRECT("'"&amp;$B$2&amp;"月"&amp;"'!A:AZ"),31,59+2)="","",INDEX(INDIRECT("'"&amp;$B$2&amp;"月"&amp;"'!A:AZ"),31,59+2)),"")</f>
        <v/>
      </c>
      <c r="F477" s="59" t="str">
        <f ca="1">IFERROR(IF(INDEX(INDIRECT("'"&amp;$B$2&amp;"月"&amp;"'!A:AZ"),31,59+3)="","",INDEX(INDIRECT("'"&amp;$B$2&amp;"月"&amp;"'!A:AZ"),31,59+3)),"")</f>
        <v/>
      </c>
      <c r="G477" s="57" t="str">
        <f ca="1">IFERROR(IF(INDEX(INDIRECT("'"&amp;$B$2&amp;"月"&amp;"'!A:AZ"),31,59+4)="","",INDEX(INDIRECT("'"&amp;$B$2&amp;"月"&amp;"'!A:AZ"),31,59+4)),"")</f>
        <v/>
      </c>
      <c r="H477" s="57"/>
    </row>
    <row r="478" spans="1:8" ht="13.5" customHeight="1">
      <c r="A478" s="57">
        <f>IF(DAY(DATE(対象年度,$B$2,29))&lt;&gt;29,"",29)</f>
        <v>29</v>
      </c>
      <c r="B478" s="57" t="str">
        <f>IF(DAY(DATE(対象年度,$B$2,29))&lt;&gt;29,"",CHOOSE(WEEKDAY(DATE(対象年度,$B$2,29),2),"月","火","水","木","金","土","日"))</f>
        <v>木</v>
      </c>
      <c r="C478" s="57" t="str">
        <f ca="1">IFERROR(IF(INDEX(INDIRECT("'"&amp;$B$2&amp;"月"&amp;"'!A:AZ"),32,59+0)="","",INDEX(INDIRECT("'"&amp;$B$2&amp;"月"&amp;"'!A:AZ"),32,59+0)),"")</f>
        <v/>
      </c>
      <c r="D478" s="58" t="str">
        <f ca="1">IFERROR(IF(INDEX(INDIRECT("'"&amp;$B$2&amp;"月"&amp;"'!A:AZ"),32,59+1)="","",INDEX(INDIRECT("'"&amp;$B$2&amp;"月"&amp;"'!A:AZ"),32,59+1)),"")</f>
        <v/>
      </c>
      <c r="E478" s="57" t="str">
        <f ca="1">IFERROR(IF(INDEX(INDIRECT("'"&amp;$B$2&amp;"月"&amp;"'!A:AZ"),32,59+2)="","",INDEX(INDIRECT("'"&amp;$B$2&amp;"月"&amp;"'!A:AZ"),32,59+2)),"")</f>
        <v/>
      </c>
      <c r="F478" s="59" t="str">
        <f ca="1">IFERROR(IF(INDEX(INDIRECT("'"&amp;$B$2&amp;"月"&amp;"'!A:AZ"),32,59+3)="","",INDEX(INDIRECT("'"&amp;$B$2&amp;"月"&amp;"'!A:AZ"),32,59+3)),"")</f>
        <v/>
      </c>
      <c r="G478" s="57" t="str">
        <f ca="1">IFERROR(IF(INDEX(INDIRECT("'"&amp;$B$2&amp;"月"&amp;"'!A:AZ"),32,59+4)="","",INDEX(INDIRECT("'"&amp;$B$2&amp;"月"&amp;"'!A:AZ"),32,59+4)),"")</f>
        <v/>
      </c>
      <c r="H478" s="57"/>
    </row>
    <row r="479" spans="1:8" ht="13.5" customHeight="1">
      <c r="A479" s="57">
        <f>IF(DAY(DATE(対象年度,$B$2,30))&lt;&gt;30,"",30)</f>
        <v>30</v>
      </c>
      <c r="B479" s="57" t="str">
        <f>IF(DAY(DATE(対象年度,$B$2,30))&lt;&gt;30,"",CHOOSE(WEEKDAY(DATE(対象年度,$B$2,30),2),"月","火","水","木","金","土","日"))</f>
        <v>金</v>
      </c>
      <c r="C479" s="57" t="str">
        <f ca="1">IFERROR(IF(INDEX(INDIRECT("'"&amp;$B$2&amp;"月"&amp;"'!A:AZ"),33,59+0)="","",INDEX(INDIRECT("'"&amp;$B$2&amp;"月"&amp;"'!A:AZ"),33,59+0)),"")</f>
        <v/>
      </c>
      <c r="D479" s="58" t="str">
        <f ca="1">IFERROR(IF(INDEX(INDIRECT("'"&amp;$B$2&amp;"月"&amp;"'!A:AZ"),33,59+1)="","",INDEX(INDIRECT("'"&amp;$B$2&amp;"月"&amp;"'!A:AZ"),33,59+1)),"")</f>
        <v/>
      </c>
      <c r="E479" s="57" t="str">
        <f ca="1">IFERROR(IF(INDEX(INDIRECT("'"&amp;$B$2&amp;"月"&amp;"'!A:AZ"),33,59+2)="","",INDEX(INDIRECT("'"&amp;$B$2&amp;"月"&amp;"'!A:AZ"),33,59+2)),"")</f>
        <v/>
      </c>
      <c r="F479" s="59" t="str">
        <f ca="1">IFERROR(IF(INDEX(INDIRECT("'"&amp;$B$2&amp;"月"&amp;"'!A:AZ"),33,59+3)="","",INDEX(INDIRECT("'"&amp;$B$2&amp;"月"&amp;"'!A:AZ"),33,59+3)),"")</f>
        <v/>
      </c>
      <c r="G479" s="57" t="str">
        <f ca="1">IFERROR(IF(INDEX(INDIRECT("'"&amp;$B$2&amp;"月"&amp;"'!A:AZ"),33,59+4)="","",INDEX(INDIRECT("'"&amp;$B$2&amp;"月"&amp;"'!A:AZ"),33,59+4)),"")</f>
        <v/>
      </c>
      <c r="H479" s="57"/>
    </row>
    <row r="480" spans="1:8" ht="13.5" customHeight="1">
      <c r="A480" s="57">
        <f>IF(DAY(DATE(対象年度,$B$2,31))&lt;&gt;31,"",31)</f>
        <v>31</v>
      </c>
      <c r="B480" s="57" t="str">
        <f>IF(DAY(DATE(対象年度,$B$2,31))&lt;&gt;31,"",CHOOSE(WEEKDAY(DATE(対象年度,$B$2,31),2),"月","火","水","木","金","土","日"))</f>
        <v>土</v>
      </c>
      <c r="C480" s="57" t="str">
        <f ca="1">IFERROR(IF(INDEX(INDIRECT("'"&amp;$B$2&amp;"月"&amp;"'!A:AZ"),34,59+0)="","",INDEX(INDIRECT("'"&amp;$B$2&amp;"月"&amp;"'!A:AZ"),34,59+0)),"")</f>
        <v/>
      </c>
      <c r="D480" s="58" t="str">
        <f ca="1">IFERROR(IF(INDEX(INDIRECT("'"&amp;$B$2&amp;"月"&amp;"'!A:AZ"),34,59+1)="","",INDEX(INDIRECT("'"&amp;$B$2&amp;"月"&amp;"'!A:AZ"),34,59+1)),"")</f>
        <v/>
      </c>
      <c r="E480" s="57" t="str">
        <f ca="1">IFERROR(IF(INDEX(INDIRECT("'"&amp;$B$2&amp;"月"&amp;"'!A:AZ"),34,59+2)="","",INDEX(INDIRECT("'"&amp;$B$2&amp;"月"&amp;"'!A:AZ"),34,59+2)),"")</f>
        <v/>
      </c>
      <c r="F480" s="59" t="str">
        <f ca="1">IFERROR(IF(INDEX(INDIRECT("'"&amp;$B$2&amp;"月"&amp;"'!A:AZ"),34,59+3)="","",INDEX(INDIRECT("'"&amp;$B$2&amp;"月"&amp;"'!A:AZ"),34,59+3)),"")</f>
        <v/>
      </c>
      <c r="G480" s="57" t="str">
        <f ca="1">IFERROR(IF(INDEX(INDIRECT("'"&amp;$B$2&amp;"月"&amp;"'!A:AZ"),34,59+4)="","",INDEX(INDIRECT("'"&amp;$B$2&amp;"月"&amp;"'!A:AZ"),34,59+4)),"")</f>
        <v/>
      </c>
      <c r="H480" s="57"/>
    </row>
    <row r="481" spans="1:8" ht="21.75" customHeight="1">
      <c r="A481" s="111" t="s">
        <v>144</v>
      </c>
      <c r="B481" s="111"/>
      <c r="C481" s="61" t="s">
        <v>113</v>
      </c>
      <c r="D481" s="62">
        <f ca="1">IFERROR(INDEX(INDIRECT("'"&amp;$B$2&amp;"月"&amp;"'!A:AZ"),35,59),0)</f>
        <v>0</v>
      </c>
      <c r="E481" s="63" t="s">
        <v>114</v>
      </c>
      <c r="F481" s="64">
        <f ca="1">IFERROR(INDEX(INDIRECT("'"&amp;$B$2&amp;"月"&amp;"'!A:AZ"),36,59),0)</f>
        <v>0</v>
      </c>
      <c r="G481" s="61" t="s">
        <v>115</v>
      </c>
      <c r="H481" s="62">
        <f ca="1">IFERROR(INDEX(INDIRECT("'"&amp;$B$2&amp;"月"&amp;"'!A:AZ"),38,59),0)</f>
        <v>0</v>
      </c>
    </row>
    <row r="482" spans="1:8" ht="24" customHeight="1">
      <c r="A482" s="112"/>
      <c r="B482" s="112"/>
      <c r="C482" s="65" t="s">
        <v>122</v>
      </c>
      <c r="D482" s="66">
        <f ca="1">IFERROR(INDEX(INDIRECT("'"&amp;$B$2&amp;"月"&amp;"'!A:AZ"),37,59),0)</f>
        <v>0</v>
      </c>
      <c r="E482" s="67" t="s">
        <v>105</v>
      </c>
      <c r="F482" s="68">
        <f ca="1">IFERROR(INDEX(INDIRECT("'"&amp;$B$2&amp;"月"&amp;"'!A:AZ"),39,59),0)</f>
        <v>0</v>
      </c>
      <c r="G482" s="69" t="s">
        <v>106</v>
      </c>
      <c r="H482" s="70">
        <f ca="1">IFERROR(INDEX(INDIRECT("'"&amp;$B$2&amp;"月"&amp;"'!A:AZ"),40,59),0)</f>
        <v>0</v>
      </c>
    </row>
  </sheetData>
  <mergeCells count="146">
    <mergeCell ref="A481:B481"/>
    <mergeCell ref="A482:B482"/>
    <mergeCell ref="A445:H445"/>
    <mergeCell ref="B446:C446"/>
    <mergeCell ref="E446:H446"/>
    <mergeCell ref="C447:D447"/>
    <mergeCell ref="E447:F447"/>
    <mergeCell ref="G447:H447"/>
    <mergeCell ref="C448:D448"/>
    <mergeCell ref="E448:F448"/>
    <mergeCell ref="G448:H448"/>
    <mergeCell ref="C407:D407"/>
    <mergeCell ref="E407:F407"/>
    <mergeCell ref="G407:H407"/>
    <mergeCell ref="C408:D408"/>
    <mergeCell ref="E408:F408"/>
    <mergeCell ref="G408:H408"/>
    <mergeCell ref="A441:B441"/>
    <mergeCell ref="A442:B442"/>
    <mergeCell ref="A444:H444"/>
    <mergeCell ref="C368:D368"/>
    <mergeCell ref="E368:F368"/>
    <mergeCell ref="G368:H368"/>
    <mergeCell ref="A401:B401"/>
    <mergeCell ref="A402:B402"/>
    <mergeCell ref="A404:H404"/>
    <mergeCell ref="A405:H405"/>
    <mergeCell ref="B406:C406"/>
    <mergeCell ref="E406:H406"/>
    <mergeCell ref="A361:B361"/>
    <mergeCell ref="A362:B362"/>
    <mergeCell ref="A364:H364"/>
    <mergeCell ref="A365:H365"/>
    <mergeCell ref="B366:C366"/>
    <mergeCell ref="E366:H366"/>
    <mergeCell ref="C367:D367"/>
    <mergeCell ref="E367:F367"/>
    <mergeCell ref="G367:H367"/>
    <mergeCell ref="A325:H325"/>
    <mergeCell ref="B326:C326"/>
    <mergeCell ref="E326:H326"/>
    <mergeCell ref="C327:D327"/>
    <mergeCell ref="E327:F327"/>
    <mergeCell ref="G327:H327"/>
    <mergeCell ref="C328:D328"/>
    <mergeCell ref="E328:F328"/>
    <mergeCell ref="G328:H328"/>
    <mergeCell ref="C287:D287"/>
    <mergeCell ref="E287:F287"/>
    <mergeCell ref="G287:H287"/>
    <mergeCell ref="C288:D288"/>
    <mergeCell ref="E288:F288"/>
    <mergeCell ref="G288:H288"/>
    <mergeCell ref="A321:B321"/>
    <mergeCell ref="A322:B322"/>
    <mergeCell ref="A324:H324"/>
    <mergeCell ref="C248:D248"/>
    <mergeCell ref="E248:F248"/>
    <mergeCell ref="G248:H248"/>
    <mergeCell ref="A281:B281"/>
    <mergeCell ref="A282:B282"/>
    <mergeCell ref="A284:H284"/>
    <mergeCell ref="A285:H285"/>
    <mergeCell ref="B286:C286"/>
    <mergeCell ref="E286:H286"/>
    <mergeCell ref="A241:B241"/>
    <mergeCell ref="A242:B242"/>
    <mergeCell ref="A244:H244"/>
    <mergeCell ref="A245:H245"/>
    <mergeCell ref="B246:C246"/>
    <mergeCell ref="E246:H246"/>
    <mergeCell ref="C247:D247"/>
    <mergeCell ref="E247:F247"/>
    <mergeCell ref="G247:H247"/>
    <mergeCell ref="A205:H205"/>
    <mergeCell ref="B206:C206"/>
    <mergeCell ref="E206:H206"/>
    <mergeCell ref="C207:D207"/>
    <mergeCell ref="E207:F207"/>
    <mergeCell ref="G207:H207"/>
    <mergeCell ref="C208:D208"/>
    <mergeCell ref="E208:F208"/>
    <mergeCell ref="G208:H208"/>
    <mergeCell ref="C167:D167"/>
    <mergeCell ref="E167:F167"/>
    <mergeCell ref="G167:H167"/>
    <mergeCell ref="C168:D168"/>
    <mergeCell ref="E168:F168"/>
    <mergeCell ref="G168:H168"/>
    <mergeCell ref="A201:B201"/>
    <mergeCell ref="A202:B202"/>
    <mergeCell ref="A204:H204"/>
    <mergeCell ref="C128:D128"/>
    <mergeCell ref="E128:F128"/>
    <mergeCell ref="G128:H128"/>
    <mergeCell ref="A161:B161"/>
    <mergeCell ref="A162:B162"/>
    <mergeCell ref="A164:H164"/>
    <mergeCell ref="A165:H165"/>
    <mergeCell ref="B166:C166"/>
    <mergeCell ref="E166:H166"/>
    <mergeCell ref="A121:B121"/>
    <mergeCell ref="A122:B122"/>
    <mergeCell ref="A124:H124"/>
    <mergeCell ref="A125:H125"/>
    <mergeCell ref="B126:C126"/>
    <mergeCell ref="E126:H126"/>
    <mergeCell ref="C127:D127"/>
    <mergeCell ref="E127:F127"/>
    <mergeCell ref="G127:H127"/>
    <mergeCell ref="A85:H85"/>
    <mergeCell ref="B86:C86"/>
    <mergeCell ref="E86:H86"/>
    <mergeCell ref="C87:D87"/>
    <mergeCell ref="E87:F87"/>
    <mergeCell ref="G87:H87"/>
    <mergeCell ref="C88:D88"/>
    <mergeCell ref="E88:F88"/>
    <mergeCell ref="G88:H88"/>
    <mergeCell ref="C47:D47"/>
    <mergeCell ref="E47:F47"/>
    <mergeCell ref="G47:H47"/>
    <mergeCell ref="C48:D48"/>
    <mergeCell ref="E48:F48"/>
    <mergeCell ref="G48:H48"/>
    <mergeCell ref="A81:B81"/>
    <mergeCell ref="A82:B82"/>
    <mergeCell ref="A84:H84"/>
    <mergeCell ref="C8:D8"/>
    <mergeCell ref="E8:F8"/>
    <mergeCell ref="G8:H8"/>
    <mergeCell ref="A41:B41"/>
    <mergeCell ref="A42:B42"/>
    <mergeCell ref="A44:H44"/>
    <mergeCell ref="A45:H45"/>
    <mergeCell ref="B46:C46"/>
    <mergeCell ref="E46:H46"/>
    <mergeCell ref="A1:H1"/>
    <mergeCell ref="D2:H2"/>
    <mergeCell ref="A4:H4"/>
    <mergeCell ref="A5:H5"/>
    <mergeCell ref="B6:C6"/>
    <mergeCell ref="E6:H6"/>
    <mergeCell ref="C7:D7"/>
    <mergeCell ref="E7:F7"/>
    <mergeCell ref="G7:H7"/>
  </mergeCells>
  <phoneticPr fontId="51"/>
  <conditionalFormatting sqref="A10:H40">
    <cfRule type="expression" dxfId="59" priority="2">
      <formula>$C10="有給"</formula>
    </cfRule>
    <cfRule type="expression" dxfId="58" priority="3">
      <formula>$C10="休業"</formula>
    </cfRule>
    <cfRule type="expression" dxfId="57" priority="4">
      <formula>AND($A10&lt;&gt;"",ISNUMBER(MATCH(DATE(対象年度,$B$2,$A10),祝日リスト,0)))</formula>
    </cfRule>
    <cfRule type="expression" dxfId="56" priority="5">
      <formula>$B10="日"</formula>
    </cfRule>
    <cfRule type="expression" dxfId="55" priority="6">
      <formula>$B10="土"</formula>
    </cfRule>
  </conditionalFormatting>
  <conditionalFormatting sqref="A50:H80">
    <cfRule type="expression" dxfId="54" priority="7">
      <formula>$C50="有給"</formula>
    </cfRule>
    <cfRule type="expression" dxfId="53" priority="8">
      <formula>$C50="休業"</formula>
    </cfRule>
    <cfRule type="expression" dxfId="52" priority="9">
      <formula>AND($A50&lt;&gt;"",ISNUMBER(MATCH(DATE(対象年度,$B$2,$A50),祝日リスト,0)))</formula>
    </cfRule>
    <cfRule type="expression" dxfId="51" priority="10">
      <formula>$B50="日"</formula>
    </cfRule>
    <cfRule type="expression" dxfId="50" priority="11">
      <formula>$B50="土"</formula>
    </cfRule>
  </conditionalFormatting>
  <conditionalFormatting sqref="A90:H120">
    <cfRule type="expression" dxfId="49" priority="12">
      <formula>$C90="有給"</formula>
    </cfRule>
    <cfRule type="expression" dxfId="48" priority="13">
      <formula>$C90="休業"</formula>
    </cfRule>
    <cfRule type="expression" dxfId="47" priority="14">
      <formula>AND($A90&lt;&gt;"",ISNUMBER(MATCH(DATE(対象年度,$B$2,$A90),祝日リスト,0)))</formula>
    </cfRule>
    <cfRule type="expression" dxfId="46" priority="15">
      <formula>$B90="日"</formula>
    </cfRule>
    <cfRule type="expression" dxfId="45" priority="16">
      <formula>$B90="土"</formula>
    </cfRule>
  </conditionalFormatting>
  <conditionalFormatting sqref="A130:H160">
    <cfRule type="expression" dxfId="44" priority="17">
      <formula>$C130="有給"</formula>
    </cfRule>
    <cfRule type="expression" dxfId="43" priority="18">
      <formula>$C130="休業"</formula>
    </cfRule>
    <cfRule type="expression" dxfId="42" priority="19">
      <formula>AND($A130&lt;&gt;"",ISNUMBER(MATCH(DATE(対象年度,$B$2,$A130),祝日リスト,0)))</formula>
    </cfRule>
    <cfRule type="expression" dxfId="41" priority="20">
      <formula>$B130="日"</formula>
    </cfRule>
    <cfRule type="expression" dxfId="40" priority="21">
      <formula>$B130="土"</formula>
    </cfRule>
  </conditionalFormatting>
  <conditionalFormatting sqref="A170:H200">
    <cfRule type="expression" dxfId="39" priority="22">
      <formula>$C170="有給"</formula>
    </cfRule>
    <cfRule type="expression" dxfId="38" priority="23">
      <formula>$C170="休業"</formula>
    </cfRule>
    <cfRule type="expression" dxfId="37" priority="24">
      <formula>AND($A170&lt;&gt;"",ISNUMBER(MATCH(DATE(対象年度,$B$2,$A170),祝日リスト,0)))</formula>
    </cfRule>
    <cfRule type="expression" dxfId="36" priority="25">
      <formula>$B170="日"</formula>
    </cfRule>
    <cfRule type="expression" dxfId="35" priority="26">
      <formula>$B170="土"</formula>
    </cfRule>
  </conditionalFormatting>
  <conditionalFormatting sqref="A210:H240">
    <cfRule type="expression" dxfId="34" priority="27">
      <formula>$C210="有給"</formula>
    </cfRule>
    <cfRule type="expression" dxfId="33" priority="28">
      <formula>$C210="休業"</formula>
    </cfRule>
    <cfRule type="expression" dxfId="32" priority="29">
      <formula>AND($A210&lt;&gt;"",ISNUMBER(MATCH(DATE(対象年度,$B$2,$A210),祝日リスト,0)))</formula>
    </cfRule>
    <cfRule type="expression" dxfId="31" priority="30">
      <formula>$B210="日"</formula>
    </cfRule>
    <cfRule type="expression" dxfId="30" priority="31">
      <formula>$B210="土"</formula>
    </cfRule>
  </conditionalFormatting>
  <conditionalFormatting sqref="A250:H280">
    <cfRule type="expression" dxfId="29" priority="32">
      <formula>$C250="有給"</formula>
    </cfRule>
    <cfRule type="expression" dxfId="28" priority="33">
      <formula>$C250="休業"</formula>
    </cfRule>
    <cfRule type="expression" dxfId="27" priority="34">
      <formula>AND($A250&lt;&gt;"",ISNUMBER(MATCH(DATE(対象年度,$B$2,$A250),祝日リスト,0)))</formula>
    </cfRule>
    <cfRule type="expression" dxfId="26" priority="35">
      <formula>$B250="日"</formula>
    </cfRule>
    <cfRule type="expression" dxfId="25" priority="36">
      <formula>$B250="土"</formula>
    </cfRule>
  </conditionalFormatting>
  <conditionalFormatting sqref="A290:H320">
    <cfRule type="expression" dxfId="24" priority="37">
      <formula>$C290="有給"</formula>
    </cfRule>
    <cfRule type="expression" dxfId="23" priority="38">
      <formula>$C290="休業"</formula>
    </cfRule>
    <cfRule type="expression" dxfId="22" priority="39">
      <formula>AND($A290&lt;&gt;"",ISNUMBER(MATCH(DATE(対象年度,$B$2,$A290),祝日リスト,0)))</formula>
    </cfRule>
    <cfRule type="expression" dxfId="21" priority="40">
      <formula>$B290="日"</formula>
    </cfRule>
    <cfRule type="expression" dxfId="20" priority="41">
      <formula>$B290="土"</formula>
    </cfRule>
  </conditionalFormatting>
  <conditionalFormatting sqref="A330:H360">
    <cfRule type="expression" dxfId="19" priority="42">
      <formula>$C330="有給"</formula>
    </cfRule>
    <cfRule type="expression" dxfId="18" priority="43">
      <formula>$C330="休業"</formula>
    </cfRule>
    <cfRule type="expression" dxfId="17" priority="44">
      <formula>AND($A330&lt;&gt;"",ISNUMBER(MATCH(DATE(対象年度,$B$2,$A330),祝日リスト,0)))</formula>
    </cfRule>
    <cfRule type="expression" dxfId="16" priority="45">
      <formula>$B330="日"</formula>
    </cfRule>
    <cfRule type="expression" dxfId="15" priority="46">
      <formula>$B330="土"</formula>
    </cfRule>
  </conditionalFormatting>
  <conditionalFormatting sqref="A370:H400">
    <cfRule type="expression" dxfId="14" priority="47">
      <formula>$C370="有給"</formula>
    </cfRule>
    <cfRule type="expression" dxfId="13" priority="48">
      <formula>$C370="休業"</formula>
    </cfRule>
    <cfRule type="expression" dxfId="12" priority="49">
      <formula>AND($A370&lt;&gt;"",ISNUMBER(MATCH(DATE(対象年度,$B$2,$A370),祝日リスト,0)))</formula>
    </cfRule>
    <cfRule type="expression" dxfId="11" priority="50">
      <formula>$B370="日"</formula>
    </cfRule>
    <cfRule type="expression" dxfId="10" priority="51">
      <formula>$B370="土"</formula>
    </cfRule>
  </conditionalFormatting>
  <conditionalFormatting sqref="A410:H440">
    <cfRule type="expression" dxfId="9" priority="52">
      <formula>$C410="有給"</formula>
    </cfRule>
    <cfRule type="expression" dxfId="8" priority="53">
      <formula>$C410="休業"</formula>
    </cfRule>
    <cfRule type="expression" dxfId="7" priority="54">
      <formula>AND($A410&lt;&gt;"",ISNUMBER(MATCH(DATE(対象年度,$B$2,$A410),祝日リスト,0)))</formula>
    </cfRule>
    <cfRule type="expression" dxfId="6" priority="55">
      <formula>$B410="日"</formula>
    </cfRule>
    <cfRule type="expression" dxfId="5" priority="56">
      <formula>$B410="土"</formula>
    </cfRule>
  </conditionalFormatting>
  <conditionalFormatting sqref="A450:H480">
    <cfRule type="expression" dxfId="4" priority="57">
      <formula>$C450="有給"</formula>
    </cfRule>
    <cfRule type="expression" dxfId="3" priority="58">
      <formula>$C450="休業"</formula>
    </cfRule>
    <cfRule type="expression" dxfId="2" priority="59">
      <formula>AND($A450&lt;&gt;"",ISNUMBER(MATCH(DATE(対象年度,$B$2,$A450),祝日リスト,0)))</formula>
    </cfRule>
    <cfRule type="expression" dxfId="1" priority="60">
      <formula>$B450="日"</formula>
    </cfRule>
    <cfRule type="expression" dxfId="0" priority="61">
      <formula>$B450="土"</formula>
    </cfRule>
  </conditionalFormatting>
  <dataValidations count="1">
    <dataValidation type="list" sqref="B2" xr:uid="{00000000-0002-0000-1100-000000000000}">
      <formula1>"1,2,3,4,5,6,7,8,9,10,11,12"</formula1>
      <formula2>0</formula2>
    </dataValidation>
  </dataValidations>
  <pageMargins left="0.51181102362204722" right="0.51181102362204722" top="0.51181102362204722" bottom="0.51181102362204722" header="0.51181102362204722" footer="0.51181102362204722"/>
  <pageSetup paperSize="9" scale="10" orientation="portrait" horizontalDpi="300" verticalDpi="300" r:id="rId1"/>
  <headerFooter>
    <oddFooter>&amp;C&amp;"ＭＳ Ｐゴシック,標準"制作：有限会社水越設備&amp;Rsp-mizukoshi.jp</oddFooter>
  </headerFooter>
  <rowBreaks count="11" manualBreakCount="11">
    <brk id="42" max="16383" man="1"/>
    <brk id="82" max="16383" man="1"/>
    <brk id="122" max="16383" man="1"/>
    <brk id="162" max="16383" man="1"/>
    <brk id="202" max="16383" man="1"/>
    <brk id="242" max="16383" man="1"/>
    <brk id="282" max="16383" man="1"/>
    <brk id="322" max="16383" man="1"/>
    <brk id="362" max="16383" man="1"/>
    <brk id="402" max="16383" man="1"/>
    <brk id="442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U34"/>
  <sheetViews>
    <sheetView zoomScaleNormal="100" workbookViewId="0">
      <pane xSplit="2" ySplit="3" topLeftCell="C4" activePane="bottomRight" state="frozen"/>
      <selection sqref="A1:EW1"/>
      <selection pane="topRight" sqref="A1:EW1"/>
      <selection pane="bottomLeft" sqref="A1:EW1"/>
      <selection pane="bottomRight" sqref="A1:EW1"/>
    </sheetView>
  </sheetViews>
  <sheetFormatPr defaultColWidth="8.7109375" defaultRowHeight="15"/>
  <cols>
    <col min="1" max="1" width="5" customWidth="1"/>
    <col min="2" max="2" width="18" customWidth="1"/>
    <col min="3" max="14" width="6.5703125" customWidth="1"/>
    <col min="15" max="20" width="8" customWidth="1"/>
  </cols>
  <sheetData>
    <row r="1" spans="1:21" ht="30" customHeight="1">
      <c r="A1" s="121" t="str">
        <f>対象年度&amp;"年 年間集計（社員別）"</f>
        <v>2026年 年間集計（社員別）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</row>
    <row r="2" spans="1:21" ht="24" customHeight="1">
      <c r="A2" s="122" t="s">
        <v>72</v>
      </c>
      <c r="B2" s="111" t="s">
        <v>73</v>
      </c>
      <c r="C2" s="123" t="s">
        <v>149</v>
      </c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4" t="s">
        <v>150</v>
      </c>
      <c r="P2" s="124"/>
      <c r="Q2" s="124"/>
      <c r="R2" s="124"/>
      <c r="S2" s="124"/>
      <c r="T2" s="124"/>
    </row>
    <row r="3" spans="1:21" ht="21.75" customHeight="1">
      <c r="A3" s="122"/>
      <c r="B3" s="122"/>
      <c r="C3" s="75" t="s">
        <v>151</v>
      </c>
      <c r="D3" s="75" t="s">
        <v>152</v>
      </c>
      <c r="E3" s="75" t="s">
        <v>153</v>
      </c>
      <c r="F3" s="75" t="s">
        <v>154</v>
      </c>
      <c r="G3" s="75" t="s">
        <v>155</v>
      </c>
      <c r="H3" s="75" t="s">
        <v>156</v>
      </c>
      <c r="I3" s="75" t="s">
        <v>157</v>
      </c>
      <c r="J3" s="75" t="s">
        <v>158</v>
      </c>
      <c r="K3" s="75" t="s">
        <v>159</v>
      </c>
      <c r="L3" s="75" t="s">
        <v>160</v>
      </c>
      <c r="M3" s="75" t="s">
        <v>161</v>
      </c>
      <c r="N3" s="75" t="s">
        <v>162</v>
      </c>
      <c r="O3" s="65" t="s">
        <v>113</v>
      </c>
      <c r="P3" s="65" t="s">
        <v>114</v>
      </c>
      <c r="Q3" s="65" t="s">
        <v>122</v>
      </c>
      <c r="R3" s="65" t="s">
        <v>115</v>
      </c>
      <c r="S3" s="65" t="s">
        <v>105</v>
      </c>
      <c r="T3" s="65" t="s">
        <v>106</v>
      </c>
    </row>
    <row r="4" spans="1:21" ht="19.5" customHeight="1">
      <c r="A4" s="76">
        <v>1</v>
      </c>
      <c r="B4" s="77" t="str">
        <f>IFERROR(従業員マスタ!$C$4,"")</f>
        <v>代表 太郎</v>
      </c>
      <c r="C4" s="76">
        <f>IFERROR('1月'!D37,0)</f>
        <v>8</v>
      </c>
      <c r="D4" s="76">
        <f>IFERROR('2月'!D37,0)</f>
        <v>18</v>
      </c>
      <c r="E4" s="76">
        <f>IFERROR('3月'!D37,0)</f>
        <v>21</v>
      </c>
      <c r="F4" s="76">
        <f>IFERROR('4月'!D37,0)</f>
        <v>21</v>
      </c>
      <c r="G4" s="76">
        <f>IFERROR('5月'!D37,0)</f>
        <v>0</v>
      </c>
      <c r="H4" s="76">
        <f>IFERROR('6月'!D37,0)</f>
        <v>0</v>
      </c>
      <c r="I4" s="76">
        <f>IFERROR('7月'!D37,0)</f>
        <v>0</v>
      </c>
      <c r="J4" s="76">
        <f>IFERROR('8月'!D37,0)</f>
        <v>0</v>
      </c>
      <c r="K4" s="76">
        <f>IFERROR('9月'!D37,0)</f>
        <v>0</v>
      </c>
      <c r="L4" s="76">
        <f>IFERROR('10月'!D37,0)</f>
        <v>0</v>
      </c>
      <c r="M4" s="76">
        <f>IFERROR('11月'!D37,0)</f>
        <v>0</v>
      </c>
      <c r="N4" s="76">
        <f>IFERROR('12月'!D37,0)</f>
        <v>0</v>
      </c>
      <c r="O4" s="78">
        <f>IFERROR('1月'!D35,0)+IFERROR('2月'!D35,0)+IFERROR('3月'!D35,0)+IFERROR('4月'!D35,0)+IFERROR('5月'!D35,0)+IFERROR('6月'!D35,0)+IFERROR('7月'!D35,0)+IFERROR('8月'!D35,0)+IFERROR('9月'!D35,0)+IFERROR('10月'!D35,0)+IFERROR('11月'!D35,0)+IFERROR('12月'!D35,0)</f>
        <v>67</v>
      </c>
      <c r="P4" s="64">
        <f>IFERROR('1月'!D36,0)+IFERROR('2月'!D36,0)+IFERROR('3月'!D36,0)+IFERROR('4月'!D36,0)+IFERROR('5月'!D36,0)+IFERROR('6月'!D36,0)+IFERROR('7月'!D36,0)+IFERROR('8月'!D36,0)+IFERROR('9月'!D36,0)+IFERROR('10月'!D36,0)+IFERROR('11月'!D36,0)+IFERROR('12月'!D36,0)</f>
        <v>1</v>
      </c>
      <c r="Q4" s="79">
        <f t="shared" ref="Q4:Q33" si="0">SUM(C4:N4)</f>
        <v>68</v>
      </c>
      <c r="R4" s="78">
        <f>IFERROR('1月'!D38,0)+IFERROR('2月'!D38,0)+IFERROR('3月'!D38,0)+IFERROR('4月'!D38,0)+IFERROR('5月'!D38,0)+IFERROR('6月'!D38,0)+IFERROR('7月'!D38,0)+IFERROR('8月'!D38,0)+IFERROR('9月'!D38,0)+IFERROR('10月'!D38,0)+IFERROR('11月'!D38,0)+IFERROR('12月'!D38,0)</f>
        <v>0</v>
      </c>
      <c r="S4" s="80">
        <f>IFERROR('1月'!D39,0)+IFERROR('2月'!D39,0)+IFERROR('3月'!D39,0)+IFERROR('4月'!D39,0)+IFERROR('5月'!D39,0)+IFERROR('6月'!D39,0)+IFERROR('7月'!D39,0)+IFERROR('8月'!D39,0)+IFERROR('9月'!D39,0)+IFERROR('10月'!D39,0)+IFERROR('11月'!D39,0)+IFERROR('12月'!D39,0)</f>
        <v>0</v>
      </c>
      <c r="T4" s="81">
        <f>IFERROR('1月'!D40,0)+IFERROR('2月'!D40,0)+IFERROR('3月'!D40,0)+IFERROR('4月'!D40,0)+IFERROR('5月'!D40,0)+IFERROR('6月'!D40,0)+IFERROR('7月'!D40,0)+IFERROR('8月'!D40,0)+IFERROR('9月'!D40,0)+IFERROR('10月'!D40,0)+IFERROR('11月'!D40,0)+IFERROR('12月'!D40,0)</f>
        <v>0</v>
      </c>
    </row>
    <row r="5" spans="1:21" ht="19.5" customHeight="1">
      <c r="A5" s="76">
        <v>2</v>
      </c>
      <c r="B5" s="77" t="str">
        <f>IFERROR(従業員マスタ!$C$5,"")</f>
        <v>専務 次郎</v>
      </c>
      <c r="C5" s="76">
        <f>IFERROR('1月'!I37,0)</f>
        <v>10</v>
      </c>
      <c r="D5" s="76">
        <f>IFERROR('2月'!I37,0)</f>
        <v>23</v>
      </c>
      <c r="E5" s="76">
        <f>IFERROR('3月'!I37,0)</f>
        <v>20</v>
      </c>
      <c r="F5" s="76">
        <f>IFERROR('4月'!I37,0)</f>
        <v>13</v>
      </c>
      <c r="G5" s="76">
        <f>IFERROR('5月'!I37,0)</f>
        <v>0</v>
      </c>
      <c r="H5" s="76">
        <f>IFERROR('6月'!I37,0)</f>
        <v>0</v>
      </c>
      <c r="I5" s="76">
        <f>IFERROR('7月'!I37,0)</f>
        <v>0</v>
      </c>
      <c r="J5" s="76">
        <f>IFERROR('8月'!I37,0)</f>
        <v>0</v>
      </c>
      <c r="K5" s="76">
        <f>IFERROR('9月'!I37,0)</f>
        <v>0</v>
      </c>
      <c r="L5" s="76">
        <f>IFERROR('10月'!I37,0)</f>
        <v>0</v>
      </c>
      <c r="M5" s="76">
        <f>IFERROR('11月'!I37,0)</f>
        <v>0</v>
      </c>
      <c r="N5" s="76">
        <f>IFERROR('12月'!I37,0)</f>
        <v>0</v>
      </c>
      <c r="O5" s="78">
        <f>IFERROR('1月'!I35,0)+IFERROR('2月'!I35,0)+IFERROR('3月'!I35,0)+IFERROR('4月'!I35,0)+IFERROR('5月'!I35,0)+IFERROR('6月'!I35,0)+IFERROR('7月'!I35,0)+IFERROR('8月'!I35,0)+IFERROR('9月'!I35,0)+IFERROR('10月'!I35,0)+IFERROR('11月'!I35,0)+IFERROR('12月'!I35,0)</f>
        <v>47</v>
      </c>
      <c r="P5" s="64">
        <f>IFERROR('1月'!I36,0)+IFERROR('2月'!I36,0)+IFERROR('3月'!I36,0)+IFERROR('4月'!I36,0)+IFERROR('5月'!I36,0)+IFERROR('6月'!I36,0)+IFERROR('7月'!I36,0)+IFERROR('8月'!I36,0)+IFERROR('9月'!I36,0)+IFERROR('10月'!I36,0)+IFERROR('11月'!I36,0)+IFERROR('12月'!I36,0)</f>
        <v>19</v>
      </c>
      <c r="Q5" s="79">
        <f t="shared" si="0"/>
        <v>66</v>
      </c>
      <c r="R5" s="78">
        <f>IFERROR('1月'!I38,0)+IFERROR('2月'!I38,0)+IFERROR('3月'!I38,0)+IFERROR('4月'!I38,0)+IFERROR('5月'!I38,0)+IFERROR('6月'!I38,0)+IFERROR('7月'!I38,0)+IFERROR('8月'!I38,0)+IFERROR('9月'!I38,0)+IFERROR('10月'!I38,0)+IFERROR('11月'!I38,0)+IFERROR('12月'!I38,0)</f>
        <v>0</v>
      </c>
      <c r="S5" s="80">
        <f>IFERROR('1月'!I39,0)+IFERROR('2月'!I39,0)+IFERROR('3月'!I39,0)+IFERROR('4月'!I39,0)+IFERROR('5月'!I39,0)+IFERROR('6月'!I39,0)+IFERROR('7月'!I39,0)+IFERROR('8月'!I39,0)+IFERROR('9月'!I39,0)+IFERROR('10月'!I39,0)+IFERROR('11月'!I39,0)+IFERROR('12月'!I39,0)</f>
        <v>2</v>
      </c>
      <c r="T5" s="81">
        <f>IFERROR('1月'!I40,0)+IFERROR('2月'!I40,0)+IFERROR('3月'!I40,0)+IFERROR('4月'!I40,0)+IFERROR('5月'!I40,0)+IFERROR('6月'!I40,0)+IFERROR('7月'!I40,0)+IFERROR('8月'!I40,0)+IFERROR('9月'!I40,0)+IFERROR('10月'!I40,0)+IFERROR('11月'!I40,0)+IFERROR('12月'!I40,0)</f>
        <v>0</v>
      </c>
    </row>
    <row r="6" spans="1:21" ht="19.5" customHeight="1">
      <c r="A6" s="76">
        <v>3</v>
      </c>
      <c r="B6" s="77" t="str">
        <f>IFERROR(従業員マスタ!$C$6,"")</f>
        <v>山田 一郎</v>
      </c>
      <c r="C6" s="76">
        <f>IFERROR('1月'!N37,0)</f>
        <v>10</v>
      </c>
      <c r="D6" s="76">
        <f>IFERROR('2月'!N37,0)</f>
        <v>23</v>
      </c>
      <c r="E6" s="76">
        <f>IFERROR('3月'!N37,0)</f>
        <v>26</v>
      </c>
      <c r="F6" s="76">
        <f>IFERROR('4月'!N37,0)</f>
        <v>16</v>
      </c>
      <c r="G6" s="76">
        <f>IFERROR('5月'!N37,0)</f>
        <v>0</v>
      </c>
      <c r="H6" s="76">
        <f>IFERROR('6月'!N37,0)</f>
        <v>0</v>
      </c>
      <c r="I6" s="76">
        <f>IFERROR('7月'!N37,0)</f>
        <v>0</v>
      </c>
      <c r="J6" s="76">
        <f>IFERROR('8月'!N37,0)</f>
        <v>0</v>
      </c>
      <c r="K6" s="76">
        <f>IFERROR('9月'!N37,0)</f>
        <v>0</v>
      </c>
      <c r="L6" s="76">
        <f>IFERROR('10月'!N37,0)</f>
        <v>0</v>
      </c>
      <c r="M6" s="76">
        <f>IFERROR('11月'!N37,0)</f>
        <v>0</v>
      </c>
      <c r="N6" s="76">
        <f>IFERROR('12月'!N37,0)</f>
        <v>0</v>
      </c>
      <c r="O6" s="78">
        <f>IFERROR('1月'!N35,0)+IFERROR('2月'!N35,0)+IFERROR('3月'!N35,0)+IFERROR('4月'!N35,0)+IFERROR('5月'!N35,0)+IFERROR('6月'!N35,0)+IFERROR('7月'!N35,0)+IFERROR('8月'!N35,0)+IFERROR('9月'!N35,0)+IFERROR('10月'!N35,0)+IFERROR('11月'!N35,0)+IFERROR('12月'!N35,0)</f>
        <v>75</v>
      </c>
      <c r="P6" s="64">
        <f>IFERROR('1月'!N36,0)+IFERROR('2月'!N36,0)+IFERROR('3月'!N36,0)+IFERROR('4月'!N36,0)+IFERROR('5月'!N36,0)+IFERROR('6月'!N36,0)+IFERROR('7月'!N36,0)+IFERROR('8月'!N36,0)+IFERROR('9月'!N36,0)+IFERROR('10月'!N36,0)+IFERROR('11月'!N36,0)+IFERROR('12月'!N36,0)</f>
        <v>0</v>
      </c>
      <c r="Q6" s="79">
        <f t="shared" si="0"/>
        <v>75</v>
      </c>
      <c r="R6" s="78">
        <f>IFERROR('1月'!N38,0)+IFERROR('2月'!N38,0)+IFERROR('3月'!N38,0)+IFERROR('4月'!N38,0)+IFERROR('5月'!N38,0)+IFERROR('6月'!N38,0)+IFERROR('7月'!N38,0)+IFERROR('8月'!N38,0)+IFERROR('9月'!N38,0)+IFERROR('10月'!N38,0)+IFERROR('11月'!N38,0)+IFERROR('12月'!N38,0)</f>
        <v>0</v>
      </c>
      <c r="S6" s="80">
        <f>IFERROR('1月'!N39,0)+IFERROR('2月'!N39,0)+IFERROR('3月'!N39,0)+IFERROR('4月'!N39,0)+IFERROR('5月'!N39,0)+IFERROR('6月'!N39,0)+IFERROR('7月'!N39,0)+IFERROR('8月'!N39,0)+IFERROR('9月'!N39,0)+IFERROR('10月'!N39,0)+IFERROR('11月'!N39,0)+IFERROR('12月'!N39,0)</f>
        <v>2</v>
      </c>
      <c r="T6" s="81">
        <f>IFERROR('1月'!N40,0)+IFERROR('2月'!N40,0)+IFERROR('3月'!N40,0)+IFERROR('4月'!N40,0)+IFERROR('5月'!N40,0)+IFERROR('6月'!N40,0)+IFERROR('7月'!N40,0)+IFERROR('8月'!N40,0)+IFERROR('9月'!N40,0)+IFERROR('10月'!N40,0)+IFERROR('11月'!N40,0)+IFERROR('12月'!N40,0)</f>
        <v>0</v>
      </c>
    </row>
    <row r="7" spans="1:21" ht="19.5" customHeight="1">
      <c r="A7" s="76">
        <v>4</v>
      </c>
      <c r="B7" s="77" t="str">
        <f>IFERROR(従業員マスタ!$C$7,"")</f>
        <v>鈴木 二郎</v>
      </c>
      <c r="C7" s="76">
        <f>IFERROR('1月'!S37,0)</f>
        <v>10</v>
      </c>
      <c r="D7" s="76">
        <f>IFERROR('2月'!S37,0)</f>
        <v>23</v>
      </c>
      <c r="E7" s="76">
        <f>IFERROR('3月'!S37,0)</f>
        <v>26</v>
      </c>
      <c r="F7" s="76">
        <f>IFERROR('4月'!S37,0)</f>
        <v>14</v>
      </c>
      <c r="G7" s="76">
        <f>IFERROR('5月'!S37,0)</f>
        <v>0</v>
      </c>
      <c r="H7" s="76">
        <f>IFERROR('6月'!S37,0)</f>
        <v>0</v>
      </c>
      <c r="I7" s="76">
        <f>IFERROR('7月'!S37,0)</f>
        <v>0</v>
      </c>
      <c r="J7" s="76">
        <f>IFERROR('8月'!S37,0)</f>
        <v>0</v>
      </c>
      <c r="K7" s="76">
        <f>IFERROR('9月'!S37,0)</f>
        <v>0</v>
      </c>
      <c r="L7" s="76">
        <f>IFERROR('10月'!S37,0)</f>
        <v>0</v>
      </c>
      <c r="M7" s="76">
        <f>IFERROR('11月'!S37,0)</f>
        <v>0</v>
      </c>
      <c r="N7" s="76">
        <f>IFERROR('12月'!S37,0)</f>
        <v>0</v>
      </c>
      <c r="O7" s="78">
        <f>IFERROR('1月'!S35,0)+IFERROR('2月'!S35,0)+IFERROR('3月'!S35,0)+IFERROR('4月'!S35,0)+IFERROR('5月'!S35,0)+IFERROR('6月'!S35,0)+IFERROR('7月'!S35,0)+IFERROR('8月'!S35,0)+IFERROR('9月'!S35,0)+IFERROR('10月'!S35,0)+IFERROR('11月'!S35,0)+IFERROR('12月'!S35,0)</f>
        <v>73</v>
      </c>
      <c r="P7" s="64">
        <f>IFERROR('1月'!S36,0)+IFERROR('2月'!S36,0)+IFERROR('3月'!S36,0)+IFERROR('4月'!S36,0)+IFERROR('5月'!S36,0)+IFERROR('6月'!S36,0)+IFERROR('7月'!S36,0)+IFERROR('8月'!S36,0)+IFERROR('9月'!S36,0)+IFERROR('10月'!S36,0)+IFERROR('11月'!S36,0)+IFERROR('12月'!S36,0)</f>
        <v>0</v>
      </c>
      <c r="Q7" s="79">
        <f t="shared" si="0"/>
        <v>73</v>
      </c>
      <c r="R7" s="78">
        <f>IFERROR('1月'!S38,0)+IFERROR('2月'!S38,0)+IFERROR('3月'!S38,0)+IFERROR('4月'!S38,0)+IFERROR('5月'!S38,0)+IFERROR('6月'!S38,0)+IFERROR('7月'!S38,0)+IFERROR('8月'!S38,0)+IFERROR('9月'!S38,0)+IFERROR('10月'!S38,0)+IFERROR('11月'!S38,0)+IFERROR('12月'!S38,0)</f>
        <v>0</v>
      </c>
      <c r="S7" s="80">
        <f>IFERROR('1月'!S39,0)+IFERROR('2月'!S39,0)+IFERROR('3月'!S39,0)+IFERROR('4月'!S39,0)+IFERROR('5月'!S39,0)+IFERROR('6月'!S39,0)+IFERROR('7月'!S39,0)+IFERROR('8月'!S39,0)+IFERROR('9月'!S39,0)+IFERROR('10月'!S39,0)+IFERROR('11月'!S39,0)+IFERROR('12月'!S39,0)</f>
        <v>0</v>
      </c>
      <c r="T7" s="81">
        <f>IFERROR('1月'!S40,0)+IFERROR('2月'!S40,0)+IFERROR('3月'!S40,0)+IFERROR('4月'!S40,0)+IFERROR('5月'!S40,0)+IFERROR('6月'!S40,0)+IFERROR('7月'!S40,0)+IFERROR('8月'!S40,0)+IFERROR('9月'!S40,0)+IFERROR('10月'!S40,0)+IFERROR('11月'!S40,0)+IFERROR('12月'!S40,0)</f>
        <v>0</v>
      </c>
    </row>
    <row r="8" spans="1:21" ht="19.5" customHeight="1">
      <c r="A8" s="76">
        <v>5</v>
      </c>
      <c r="B8" s="77" t="str">
        <f>IFERROR(従業員マスタ!$C$8,"")</f>
        <v>佐藤 三郎</v>
      </c>
      <c r="C8" s="76">
        <f>IFERROR('1月'!X37,0)</f>
        <v>10</v>
      </c>
      <c r="D8" s="76">
        <f>IFERROR('2月'!X37,0)</f>
        <v>23</v>
      </c>
      <c r="E8" s="76">
        <f>IFERROR('3月'!X37,0)</f>
        <v>26</v>
      </c>
      <c r="F8" s="76">
        <f>IFERROR('4月'!X37,0)</f>
        <v>17</v>
      </c>
      <c r="G8" s="76">
        <f>IFERROR('5月'!X37,0)</f>
        <v>0</v>
      </c>
      <c r="H8" s="76">
        <f>IFERROR('6月'!X37,0)</f>
        <v>0</v>
      </c>
      <c r="I8" s="76">
        <f>IFERROR('7月'!X37,0)</f>
        <v>0</v>
      </c>
      <c r="J8" s="76">
        <f>IFERROR('8月'!X37,0)</f>
        <v>0</v>
      </c>
      <c r="K8" s="76">
        <f>IFERROR('9月'!X37,0)</f>
        <v>0</v>
      </c>
      <c r="L8" s="76">
        <f>IFERROR('10月'!X37,0)</f>
        <v>0</v>
      </c>
      <c r="M8" s="76">
        <f>IFERROR('11月'!X37,0)</f>
        <v>0</v>
      </c>
      <c r="N8" s="76">
        <f>IFERROR('12月'!X37,0)</f>
        <v>0</v>
      </c>
      <c r="O8" s="78">
        <f>IFERROR('1月'!X35,0)+IFERROR('2月'!X35,0)+IFERROR('3月'!X35,0)+IFERROR('4月'!X35,0)+IFERROR('5月'!X35,0)+IFERROR('6月'!X35,0)+IFERROR('7月'!X35,0)+IFERROR('8月'!X35,0)+IFERROR('9月'!X35,0)+IFERROR('10月'!X35,0)+IFERROR('11月'!X35,0)+IFERROR('12月'!X35,0)</f>
        <v>76</v>
      </c>
      <c r="P8" s="64">
        <f>IFERROR('1月'!X36,0)+IFERROR('2月'!X36,0)+IFERROR('3月'!X36,0)+IFERROR('4月'!X36,0)+IFERROR('5月'!X36,0)+IFERROR('6月'!X36,0)+IFERROR('7月'!X36,0)+IFERROR('8月'!X36,0)+IFERROR('9月'!X36,0)+IFERROR('10月'!X36,0)+IFERROR('11月'!X36,0)+IFERROR('12月'!X36,0)</f>
        <v>0</v>
      </c>
      <c r="Q8" s="79">
        <f t="shared" si="0"/>
        <v>76</v>
      </c>
      <c r="R8" s="78">
        <f>IFERROR('1月'!X38,0)+IFERROR('2月'!X38,0)+IFERROR('3月'!X38,0)+IFERROR('4月'!X38,0)+IFERROR('5月'!X38,0)+IFERROR('6月'!X38,0)+IFERROR('7月'!X38,0)+IFERROR('8月'!X38,0)+IFERROR('9月'!X38,0)+IFERROR('10月'!X38,0)+IFERROR('11月'!X38,0)+IFERROR('12月'!X38,0)</f>
        <v>0</v>
      </c>
      <c r="S8" s="80">
        <f>IFERROR('1月'!X39,0)+IFERROR('2月'!X39,0)+IFERROR('3月'!X39,0)+IFERROR('4月'!X39,0)+IFERROR('5月'!X39,0)+IFERROR('6月'!X39,0)+IFERROR('7月'!X39,0)+IFERROR('8月'!X39,0)+IFERROR('9月'!X39,0)+IFERROR('10月'!X39,0)+IFERROR('11月'!X39,0)+IFERROR('12月'!X39,0)</f>
        <v>6</v>
      </c>
      <c r="T8" s="81">
        <f>IFERROR('1月'!X40,0)+IFERROR('2月'!X40,0)+IFERROR('3月'!X40,0)+IFERROR('4月'!X40,0)+IFERROR('5月'!X40,0)+IFERROR('6月'!X40,0)+IFERROR('7月'!X40,0)+IFERROR('8月'!X40,0)+IFERROR('9月'!X40,0)+IFERROR('10月'!X40,0)+IFERROR('11月'!X40,0)+IFERROR('12月'!X40,0)</f>
        <v>0</v>
      </c>
    </row>
    <row r="9" spans="1:21" ht="19.5" customHeight="1">
      <c r="A9" s="76">
        <v>6</v>
      </c>
      <c r="B9" s="77" t="str">
        <f>IFERROR(従業員マスタ!$C$9,"")</f>
        <v>高橋 四郎</v>
      </c>
      <c r="C9" s="76">
        <f>IFERROR('1月'!AC37,0)</f>
        <v>10</v>
      </c>
      <c r="D9" s="76">
        <f>IFERROR('2月'!AC37,0)</f>
        <v>22</v>
      </c>
      <c r="E9" s="76">
        <f>IFERROR('3月'!AC37,0)</f>
        <v>21</v>
      </c>
      <c r="F9" s="76">
        <f>IFERROR('4月'!AC37,0)</f>
        <v>13</v>
      </c>
      <c r="G9" s="76">
        <f>IFERROR('5月'!AC37,0)</f>
        <v>0</v>
      </c>
      <c r="H9" s="76">
        <f>IFERROR('6月'!AC37,0)</f>
        <v>0</v>
      </c>
      <c r="I9" s="76">
        <f>IFERROR('7月'!AC37,0)</f>
        <v>0</v>
      </c>
      <c r="J9" s="76">
        <f>IFERROR('8月'!AC37,0)</f>
        <v>0</v>
      </c>
      <c r="K9" s="76">
        <f>IFERROR('9月'!AC37,0)</f>
        <v>0</v>
      </c>
      <c r="L9" s="76">
        <f>IFERROR('10月'!AC37,0)</f>
        <v>0</v>
      </c>
      <c r="M9" s="76">
        <f>IFERROR('11月'!AC37,0)</f>
        <v>0</v>
      </c>
      <c r="N9" s="76">
        <f>IFERROR('12月'!AC37,0)</f>
        <v>0</v>
      </c>
      <c r="O9" s="78">
        <f>IFERROR('1月'!AC35,0)+IFERROR('2月'!AC35,0)+IFERROR('3月'!AC35,0)+IFERROR('4月'!AC35,0)+IFERROR('5月'!AC35,0)+IFERROR('6月'!AC35,0)+IFERROR('7月'!AC35,0)+IFERROR('8月'!AC35,0)+IFERROR('9月'!AC35,0)+IFERROR('10月'!AC35,0)+IFERROR('11月'!AC35,0)+IFERROR('12月'!AC35,0)</f>
        <v>51</v>
      </c>
      <c r="P9" s="64">
        <f>IFERROR('1月'!AC36,0)+IFERROR('2月'!AC36,0)+IFERROR('3月'!AC36,0)+IFERROR('4月'!AC36,0)+IFERROR('5月'!AC36,0)+IFERROR('6月'!AC36,0)+IFERROR('7月'!AC36,0)+IFERROR('8月'!AC36,0)+IFERROR('9月'!AC36,0)+IFERROR('10月'!AC36,0)+IFERROR('11月'!AC36,0)+IFERROR('12月'!AC36,0)</f>
        <v>15</v>
      </c>
      <c r="Q9" s="79">
        <f t="shared" si="0"/>
        <v>66</v>
      </c>
      <c r="R9" s="78">
        <f>IFERROR('1月'!AC38,0)+IFERROR('2月'!AC38,0)+IFERROR('3月'!AC38,0)+IFERROR('4月'!AC38,0)+IFERROR('5月'!AC38,0)+IFERROR('6月'!AC38,0)+IFERROR('7月'!AC38,0)+IFERROR('8月'!AC38,0)+IFERROR('9月'!AC38,0)+IFERROR('10月'!AC38,0)+IFERROR('11月'!AC38,0)+IFERROR('12月'!AC38,0)</f>
        <v>0</v>
      </c>
      <c r="S9" s="80">
        <f>IFERROR('1月'!AC39,0)+IFERROR('2月'!AC39,0)+IFERROR('3月'!AC39,0)+IFERROR('4月'!AC39,0)+IFERROR('5月'!AC39,0)+IFERROR('6月'!AC39,0)+IFERROR('7月'!AC39,0)+IFERROR('8月'!AC39,0)+IFERROR('9月'!AC39,0)+IFERROR('10月'!AC39,0)+IFERROR('11月'!AC39,0)+IFERROR('12月'!AC39,0)</f>
        <v>4</v>
      </c>
      <c r="T9" s="81">
        <f>IFERROR('1月'!AC40,0)+IFERROR('2月'!AC40,0)+IFERROR('3月'!AC40,0)+IFERROR('4月'!AC40,0)+IFERROR('5月'!AC40,0)+IFERROR('6月'!AC40,0)+IFERROR('7月'!AC40,0)+IFERROR('8月'!AC40,0)+IFERROR('9月'!AC40,0)+IFERROR('10月'!AC40,0)+IFERROR('11月'!AC40,0)+IFERROR('12月'!AC40,0)</f>
        <v>0</v>
      </c>
    </row>
    <row r="10" spans="1:21" ht="19.5" customHeight="1">
      <c r="A10" s="76">
        <v>7</v>
      </c>
      <c r="B10" s="77" t="str">
        <f>IFERROR(従業員マスタ!$C$10,"")</f>
        <v>田中 五郎</v>
      </c>
      <c r="C10" s="76">
        <f>IFERROR('1月'!AH37,0)</f>
        <v>5</v>
      </c>
      <c r="D10" s="76">
        <f>IFERROR('2月'!AH37,0)</f>
        <v>13</v>
      </c>
      <c r="E10" s="76">
        <f>IFERROR('3月'!AH37,0)</f>
        <v>14</v>
      </c>
      <c r="F10" s="76">
        <f>IFERROR('4月'!AH37,0)</f>
        <v>12</v>
      </c>
      <c r="G10" s="76">
        <f>IFERROR('5月'!AH37,0)</f>
        <v>0</v>
      </c>
      <c r="H10" s="76">
        <f>IFERROR('6月'!AH37,0)</f>
        <v>0</v>
      </c>
      <c r="I10" s="76">
        <f>IFERROR('7月'!AH37,0)</f>
        <v>0</v>
      </c>
      <c r="J10" s="76">
        <f>IFERROR('8月'!AH37,0)</f>
        <v>0</v>
      </c>
      <c r="K10" s="76">
        <f>IFERROR('9月'!AH37,0)</f>
        <v>0</v>
      </c>
      <c r="L10" s="76">
        <f>IFERROR('10月'!AH37,0)</f>
        <v>0</v>
      </c>
      <c r="M10" s="76">
        <f>IFERROR('11月'!AH37,0)</f>
        <v>0</v>
      </c>
      <c r="N10" s="76">
        <f>IFERROR('12月'!AH37,0)</f>
        <v>0</v>
      </c>
      <c r="O10" s="78">
        <f>IFERROR('1月'!AH35,0)+IFERROR('2月'!AH35,0)+IFERROR('3月'!AH35,0)+IFERROR('4月'!AH35,0)+IFERROR('5月'!AH35,0)+IFERROR('6月'!AH35,0)+IFERROR('7月'!AH35,0)+IFERROR('8月'!AH35,0)+IFERROR('9月'!AH35,0)+IFERROR('10月'!AH35,0)+IFERROR('11月'!AH35,0)+IFERROR('12月'!AH35,0)</f>
        <v>44</v>
      </c>
      <c r="P10" s="64">
        <f>IFERROR('1月'!AH36,0)+IFERROR('2月'!AH36,0)+IFERROR('3月'!AH36,0)+IFERROR('4月'!AH36,0)+IFERROR('5月'!AH36,0)+IFERROR('6月'!AH36,0)+IFERROR('7月'!AH36,0)+IFERROR('8月'!AH36,0)+IFERROR('9月'!AH36,0)+IFERROR('10月'!AH36,0)+IFERROR('11月'!AH36,0)+IFERROR('12月'!AH36,0)</f>
        <v>0</v>
      </c>
      <c r="Q10" s="79">
        <f t="shared" si="0"/>
        <v>44</v>
      </c>
      <c r="R10" s="78">
        <f>IFERROR('1月'!AH38,0)+IFERROR('2月'!AH38,0)+IFERROR('3月'!AH38,0)+IFERROR('4月'!AH38,0)+IFERROR('5月'!AH38,0)+IFERROR('6月'!AH38,0)+IFERROR('7月'!AH38,0)+IFERROR('8月'!AH38,0)+IFERROR('9月'!AH38,0)+IFERROR('10月'!AH38,0)+IFERROR('11月'!AH38,0)+IFERROR('12月'!AH38,0)</f>
        <v>0</v>
      </c>
      <c r="S10" s="80">
        <f>IFERROR('1月'!AH39,0)+IFERROR('2月'!AH39,0)+IFERROR('3月'!AH39,0)+IFERROR('4月'!AH39,0)+IFERROR('5月'!AH39,0)+IFERROR('6月'!AH39,0)+IFERROR('7月'!AH39,0)+IFERROR('8月'!AH39,0)+IFERROR('9月'!AH39,0)+IFERROR('10月'!AH39,0)+IFERROR('11月'!AH39,0)+IFERROR('12月'!AH39,0)</f>
        <v>0</v>
      </c>
      <c r="T10" s="81">
        <f>IFERROR('1月'!AH40,0)+IFERROR('2月'!AH40,0)+IFERROR('3月'!AH40,0)+IFERROR('4月'!AH40,0)+IFERROR('5月'!AH40,0)+IFERROR('6月'!AH40,0)+IFERROR('7月'!AH40,0)+IFERROR('8月'!AH40,0)+IFERROR('9月'!AH40,0)+IFERROR('10月'!AH40,0)+IFERROR('11月'!AH40,0)+IFERROR('12月'!AH40,0)</f>
        <v>0</v>
      </c>
    </row>
    <row r="11" spans="1:21" ht="19.5" customHeight="1">
      <c r="A11" s="76">
        <v>8</v>
      </c>
      <c r="B11" s="77" t="str">
        <f>IFERROR(従業員マスタ!$C$11,"")</f>
        <v>伊藤 六郎</v>
      </c>
      <c r="C11" s="76">
        <f>IFERROR('1月'!AM37,0)</f>
        <v>10</v>
      </c>
      <c r="D11" s="76">
        <f>IFERROR('2月'!AM37,0)</f>
        <v>22</v>
      </c>
      <c r="E11" s="76">
        <f>IFERROR('3月'!AM37,0)</f>
        <v>19</v>
      </c>
      <c r="F11" s="76">
        <f>IFERROR('4月'!AM37,0)</f>
        <v>13</v>
      </c>
      <c r="G11" s="76">
        <f>IFERROR('5月'!AM37,0)</f>
        <v>0</v>
      </c>
      <c r="H11" s="76">
        <f>IFERROR('6月'!AM37,0)</f>
        <v>0</v>
      </c>
      <c r="I11" s="76">
        <f>IFERROR('7月'!AM37,0)</f>
        <v>0</v>
      </c>
      <c r="J11" s="76">
        <f>IFERROR('8月'!AM37,0)</f>
        <v>0</v>
      </c>
      <c r="K11" s="76">
        <f>IFERROR('9月'!AM37,0)</f>
        <v>0</v>
      </c>
      <c r="L11" s="76">
        <f>IFERROR('10月'!AM37,0)</f>
        <v>0</v>
      </c>
      <c r="M11" s="76">
        <f>IFERROR('11月'!AM37,0)</f>
        <v>0</v>
      </c>
      <c r="N11" s="76">
        <f>IFERROR('12月'!AM37,0)</f>
        <v>0</v>
      </c>
      <c r="O11" s="78">
        <f>IFERROR('1月'!AM35,0)+IFERROR('2月'!AM35,0)+IFERROR('3月'!AM35,0)+IFERROR('4月'!AM35,0)+IFERROR('5月'!AM35,0)+IFERROR('6月'!AM35,0)+IFERROR('7月'!AM35,0)+IFERROR('8月'!AM35,0)+IFERROR('9月'!AM35,0)+IFERROR('10月'!AM35,0)+IFERROR('11月'!AM35,0)+IFERROR('12月'!AM35,0)</f>
        <v>45</v>
      </c>
      <c r="P11" s="64">
        <f>IFERROR('1月'!AM36,0)+IFERROR('2月'!AM36,0)+IFERROR('3月'!AM36,0)+IFERROR('4月'!AM36,0)+IFERROR('5月'!AM36,0)+IFERROR('6月'!AM36,0)+IFERROR('7月'!AM36,0)+IFERROR('8月'!AM36,0)+IFERROR('9月'!AM36,0)+IFERROR('10月'!AM36,0)+IFERROR('11月'!AM36,0)+IFERROR('12月'!AM36,0)</f>
        <v>19</v>
      </c>
      <c r="Q11" s="79">
        <f t="shared" si="0"/>
        <v>64</v>
      </c>
      <c r="R11" s="78">
        <f>IFERROR('1月'!AM38,0)+IFERROR('2月'!AM38,0)+IFERROR('3月'!AM38,0)+IFERROR('4月'!AM38,0)+IFERROR('5月'!AM38,0)+IFERROR('6月'!AM38,0)+IFERROR('7月'!AM38,0)+IFERROR('8月'!AM38,0)+IFERROR('9月'!AM38,0)+IFERROR('10月'!AM38,0)+IFERROR('11月'!AM38,0)+IFERROR('12月'!AM38,0)</f>
        <v>0</v>
      </c>
      <c r="S11" s="80">
        <f>IFERROR('1月'!AM39,0)+IFERROR('2月'!AM39,0)+IFERROR('3月'!AM39,0)+IFERROR('4月'!AM39,0)+IFERROR('5月'!AM39,0)+IFERROR('6月'!AM39,0)+IFERROR('7月'!AM39,0)+IFERROR('8月'!AM39,0)+IFERROR('9月'!AM39,0)+IFERROR('10月'!AM39,0)+IFERROR('11月'!AM39,0)+IFERROR('12月'!AM39,0)</f>
        <v>3</v>
      </c>
      <c r="T11" s="81">
        <f>IFERROR('1月'!AM40,0)+IFERROR('2月'!AM40,0)+IFERROR('3月'!AM40,0)+IFERROR('4月'!AM40,0)+IFERROR('5月'!AM40,0)+IFERROR('6月'!AM40,0)+IFERROR('7月'!AM40,0)+IFERROR('8月'!AM40,0)+IFERROR('9月'!AM40,0)+IFERROR('10月'!AM40,0)+IFERROR('11月'!AM40,0)+IFERROR('12月'!AM40,0)</f>
        <v>0</v>
      </c>
    </row>
    <row r="12" spans="1:21" ht="19.5" customHeight="1">
      <c r="A12" s="76">
        <v>9</v>
      </c>
      <c r="B12" s="77" t="str">
        <f>IFERROR(従業員マスタ!$C$12,"")</f>
        <v>渡辺 七郎</v>
      </c>
      <c r="C12" s="76">
        <f>IFERROR('1月'!AR37,0)</f>
        <v>10</v>
      </c>
      <c r="D12" s="76">
        <f>IFERROR('2月'!AR37,0)</f>
        <v>23</v>
      </c>
      <c r="E12" s="76">
        <f>IFERROR('3月'!AR37,0)</f>
        <v>23</v>
      </c>
      <c r="F12" s="76">
        <f>IFERROR('4月'!AR37,0)</f>
        <v>16</v>
      </c>
      <c r="G12" s="76">
        <f>IFERROR('5月'!AR37,0)</f>
        <v>0</v>
      </c>
      <c r="H12" s="76">
        <f>IFERROR('6月'!AR37,0)</f>
        <v>0</v>
      </c>
      <c r="I12" s="76">
        <f>IFERROR('7月'!AR37,0)</f>
        <v>0</v>
      </c>
      <c r="J12" s="76">
        <f>IFERROR('8月'!AR37,0)</f>
        <v>0</v>
      </c>
      <c r="K12" s="76">
        <f>IFERROR('9月'!AR37,0)</f>
        <v>0</v>
      </c>
      <c r="L12" s="76">
        <f>IFERROR('10月'!AR37,0)</f>
        <v>0</v>
      </c>
      <c r="M12" s="76">
        <f>IFERROR('11月'!AR37,0)</f>
        <v>0</v>
      </c>
      <c r="N12" s="76">
        <f>IFERROR('12月'!AR37,0)</f>
        <v>0</v>
      </c>
      <c r="O12" s="78">
        <f>IFERROR('1月'!AR35,0)+IFERROR('2月'!AR35,0)+IFERROR('3月'!AR35,0)+IFERROR('4月'!AR35,0)+IFERROR('5月'!AR35,0)+IFERROR('6月'!AR35,0)+IFERROR('7月'!AR35,0)+IFERROR('8月'!AR35,0)+IFERROR('9月'!AR35,0)+IFERROR('10月'!AR35,0)+IFERROR('11月'!AR35,0)+IFERROR('12月'!AR35,0)</f>
        <v>69</v>
      </c>
      <c r="P12" s="64">
        <f>IFERROR('1月'!AR36,0)+IFERROR('2月'!AR36,0)+IFERROR('3月'!AR36,0)+IFERROR('4月'!AR36,0)+IFERROR('5月'!AR36,0)+IFERROR('6月'!AR36,0)+IFERROR('7月'!AR36,0)+IFERROR('8月'!AR36,0)+IFERROR('9月'!AR36,0)+IFERROR('10月'!AR36,0)+IFERROR('11月'!AR36,0)+IFERROR('12月'!AR36,0)</f>
        <v>3</v>
      </c>
      <c r="Q12" s="79">
        <f t="shared" si="0"/>
        <v>72</v>
      </c>
      <c r="R12" s="78">
        <f>IFERROR('1月'!AR38,0)+IFERROR('2月'!AR38,0)+IFERROR('3月'!AR38,0)+IFERROR('4月'!AR38,0)+IFERROR('5月'!AR38,0)+IFERROR('6月'!AR38,0)+IFERROR('7月'!AR38,0)+IFERROR('8月'!AR38,0)+IFERROR('9月'!AR38,0)+IFERROR('10月'!AR38,0)+IFERROR('11月'!AR38,0)+IFERROR('12月'!AR38,0)</f>
        <v>0</v>
      </c>
      <c r="S12" s="80">
        <f>IFERROR('1月'!AR39,0)+IFERROR('2月'!AR39,0)+IFERROR('3月'!AR39,0)+IFERROR('4月'!AR39,0)+IFERROR('5月'!AR39,0)+IFERROR('6月'!AR39,0)+IFERROR('7月'!AR39,0)+IFERROR('8月'!AR39,0)+IFERROR('9月'!AR39,0)+IFERROR('10月'!AR39,0)+IFERROR('11月'!AR39,0)+IFERROR('12月'!AR39,0)</f>
        <v>2</v>
      </c>
      <c r="T12" s="81">
        <f>IFERROR('1月'!AR40,0)+IFERROR('2月'!AR40,0)+IFERROR('3月'!AR40,0)+IFERROR('4月'!AR40,0)+IFERROR('5月'!AR40,0)+IFERROR('6月'!AR40,0)+IFERROR('7月'!AR40,0)+IFERROR('8月'!AR40,0)+IFERROR('9月'!AR40,0)+IFERROR('10月'!AR40,0)+IFERROR('11月'!AR40,0)+IFERROR('12月'!AR40,0)</f>
        <v>0</v>
      </c>
    </row>
    <row r="13" spans="1:21" ht="19.5" customHeight="1">
      <c r="A13" s="76">
        <v>10</v>
      </c>
      <c r="B13" s="77" t="str">
        <f>IFERROR(従業員マスタ!$C$13,"")</f>
        <v>中村 八郎</v>
      </c>
      <c r="C13" s="76">
        <f>IFERROR('1月'!AW37,0)</f>
        <v>0</v>
      </c>
      <c r="D13" s="76">
        <f>IFERROR('2月'!AW37,0)</f>
        <v>18</v>
      </c>
      <c r="E13" s="76">
        <f>IFERROR('3月'!AW37,0)</f>
        <v>22</v>
      </c>
      <c r="F13" s="76">
        <f>IFERROR('4月'!AW37,0)</f>
        <v>14</v>
      </c>
      <c r="G13" s="76">
        <f>IFERROR('5月'!AW37,0)</f>
        <v>0</v>
      </c>
      <c r="H13" s="76">
        <f>IFERROR('6月'!AW37,0)</f>
        <v>0</v>
      </c>
      <c r="I13" s="76">
        <f>IFERROR('7月'!AW37,0)</f>
        <v>0</v>
      </c>
      <c r="J13" s="76">
        <f>IFERROR('8月'!AW37,0)</f>
        <v>0</v>
      </c>
      <c r="K13" s="76">
        <f>IFERROR('9月'!AW37,0)</f>
        <v>0</v>
      </c>
      <c r="L13" s="76">
        <f>IFERROR('10月'!AW37,0)</f>
        <v>0</v>
      </c>
      <c r="M13" s="76">
        <f>IFERROR('11月'!AW37,0)</f>
        <v>0</v>
      </c>
      <c r="N13" s="76">
        <f>IFERROR('12月'!AW37,0)</f>
        <v>0</v>
      </c>
      <c r="O13" s="78">
        <f>IFERROR('1月'!AW35,0)+IFERROR('2月'!AW35,0)+IFERROR('3月'!AW35,0)+IFERROR('4月'!AW35,0)+IFERROR('5月'!AW35,0)+IFERROR('6月'!AW35,0)+IFERROR('7月'!AW35,0)+IFERROR('8月'!AW35,0)+IFERROR('9月'!AW35,0)+IFERROR('10月'!AW35,0)+IFERROR('11月'!AW35,0)+IFERROR('12月'!AW35,0)</f>
        <v>51</v>
      </c>
      <c r="P13" s="64">
        <f>IFERROR('1月'!AW36,0)+IFERROR('2月'!AW36,0)+IFERROR('3月'!AW36,0)+IFERROR('4月'!AW36,0)+IFERROR('5月'!AW36,0)+IFERROR('6月'!AW36,0)+IFERROR('7月'!AW36,0)+IFERROR('8月'!AW36,0)+IFERROR('9月'!AW36,0)+IFERROR('10月'!AW36,0)+IFERROR('11月'!AW36,0)+IFERROR('12月'!AW36,0)</f>
        <v>3</v>
      </c>
      <c r="Q13" s="79">
        <f t="shared" si="0"/>
        <v>54</v>
      </c>
      <c r="R13" s="78">
        <f>IFERROR('1月'!AW38,0)+IFERROR('2月'!AW38,0)+IFERROR('3月'!AW38,0)+IFERROR('4月'!AW38,0)+IFERROR('5月'!AW38,0)+IFERROR('6月'!AW38,0)+IFERROR('7月'!AW38,0)+IFERROR('8月'!AW38,0)+IFERROR('9月'!AW38,0)+IFERROR('10月'!AW38,0)+IFERROR('11月'!AW38,0)+IFERROR('12月'!AW38,0)</f>
        <v>0</v>
      </c>
      <c r="S13" s="80">
        <f>IFERROR('1月'!AW39,0)+IFERROR('2月'!AW39,0)+IFERROR('3月'!AW39,0)+IFERROR('4月'!AW39,0)+IFERROR('5月'!AW39,0)+IFERROR('6月'!AW39,0)+IFERROR('7月'!AW39,0)+IFERROR('8月'!AW39,0)+IFERROR('9月'!AW39,0)+IFERROR('10月'!AW39,0)+IFERROR('11月'!AW39,0)+IFERROR('12月'!AW39,0)</f>
        <v>0</v>
      </c>
      <c r="T13" s="81">
        <f>IFERROR('1月'!AW40,0)+IFERROR('2月'!AW40,0)+IFERROR('3月'!AW40,0)+IFERROR('4月'!AW40,0)+IFERROR('5月'!AW40,0)+IFERROR('6月'!AW40,0)+IFERROR('7月'!AW40,0)+IFERROR('8月'!AW40,0)+IFERROR('9月'!AW40,0)+IFERROR('10月'!AW40,0)+IFERROR('11月'!AW40,0)+IFERROR('12月'!AW40,0)</f>
        <v>0</v>
      </c>
    </row>
    <row r="14" spans="1:21" ht="19.5" customHeight="1">
      <c r="A14" s="76">
        <v>11</v>
      </c>
      <c r="B14" s="77" t="str">
        <f>IFERROR(従業員マスタ!$C$14,"")</f>
        <v>小林 九郎</v>
      </c>
      <c r="C14" s="76">
        <f>IFERROR('1月'!BB37,0)</f>
        <v>8</v>
      </c>
      <c r="D14" s="76">
        <f>IFERROR('2月'!BB37,0)</f>
        <v>18</v>
      </c>
      <c r="E14" s="76">
        <f>IFERROR('3月'!BB37,0)</f>
        <v>21</v>
      </c>
      <c r="F14" s="76">
        <f>IFERROR('4月'!BB37,0)</f>
        <v>21</v>
      </c>
      <c r="G14" s="76">
        <f>IFERROR('5月'!BB37,0)</f>
        <v>0</v>
      </c>
      <c r="H14" s="76">
        <f>IFERROR('6月'!BB37,0)</f>
        <v>0</v>
      </c>
      <c r="I14" s="76">
        <f>IFERROR('7月'!BB37,0)</f>
        <v>0</v>
      </c>
      <c r="J14" s="76">
        <f>IFERROR('8月'!BB37,0)</f>
        <v>0</v>
      </c>
      <c r="K14" s="76">
        <f>IFERROR('9月'!BB37,0)</f>
        <v>0</v>
      </c>
      <c r="L14" s="76">
        <f>IFERROR('10月'!BB37,0)</f>
        <v>0</v>
      </c>
      <c r="M14" s="76">
        <f>IFERROR('11月'!BB37,0)</f>
        <v>0</v>
      </c>
      <c r="N14" s="76">
        <f>IFERROR('12月'!BB37,0)</f>
        <v>0</v>
      </c>
      <c r="O14" s="78">
        <f>IFERROR('1月'!BB35,0)+IFERROR('2月'!BB35,0)+IFERROR('3月'!BB35,0)+IFERROR('4月'!BB35,0)+IFERROR('5月'!BB35,0)+IFERROR('6月'!BB35,0)+IFERROR('7月'!BB35,0)+IFERROR('8月'!BB35,0)+IFERROR('9月'!BB35,0)+IFERROR('10月'!BB35,0)+IFERROR('11月'!BB35,0)+IFERROR('12月'!BB35,0)</f>
        <v>68</v>
      </c>
      <c r="P14" s="64">
        <f>IFERROR('1月'!BB36,0)+IFERROR('2月'!BB36,0)+IFERROR('3月'!BB36,0)+IFERROR('4月'!BB36,0)+IFERROR('5月'!BB36,0)+IFERROR('6月'!BB36,0)+IFERROR('7月'!BB36,0)+IFERROR('8月'!BB36,0)+IFERROR('9月'!BB36,0)+IFERROR('10月'!BB36,0)+IFERROR('11月'!BB36,0)+IFERROR('12月'!BB36,0)</f>
        <v>0</v>
      </c>
      <c r="Q14" s="79">
        <f t="shared" si="0"/>
        <v>68</v>
      </c>
      <c r="R14" s="78">
        <f>IFERROR('1月'!BB38,0)+IFERROR('2月'!BB38,0)+IFERROR('3月'!BB38,0)+IFERROR('4月'!BB38,0)+IFERROR('5月'!BB38,0)+IFERROR('6月'!BB38,0)+IFERROR('7月'!BB38,0)+IFERROR('8月'!BB38,0)+IFERROR('9月'!BB38,0)+IFERROR('10月'!BB38,0)+IFERROR('11月'!BB38,0)+IFERROR('12月'!BB38,0)</f>
        <v>0</v>
      </c>
      <c r="S14" s="80">
        <f>IFERROR('1月'!BB39,0)+IFERROR('2月'!BB39,0)+IFERROR('3月'!BB39,0)+IFERROR('4月'!BB39,0)+IFERROR('5月'!BB39,0)+IFERROR('6月'!BB39,0)+IFERROR('7月'!BB39,0)+IFERROR('8月'!BB39,0)+IFERROR('9月'!BB39,0)+IFERROR('10月'!BB39,0)+IFERROR('11月'!BB39,0)+IFERROR('12月'!BB39,0)</f>
        <v>0</v>
      </c>
      <c r="T14" s="81">
        <f>IFERROR('1月'!BB40,0)+IFERROR('2月'!BB40,0)+IFERROR('3月'!BB40,0)+IFERROR('4月'!BB40,0)+IFERROR('5月'!BB40,0)+IFERROR('6月'!BB40,0)+IFERROR('7月'!BB40,0)+IFERROR('8月'!BB40,0)+IFERROR('9月'!BB40,0)+IFERROR('10月'!BB40,0)+IFERROR('11月'!BB40,0)+IFERROR('12月'!BB40,0)</f>
        <v>0</v>
      </c>
    </row>
    <row r="15" spans="1:21" ht="19.5" customHeight="1">
      <c r="A15" s="76">
        <v>12</v>
      </c>
      <c r="B15" s="77" t="str">
        <f>IFERROR(従業員マスタ!$C$15,"")</f>
        <v>加藤 十郎</v>
      </c>
      <c r="C15" s="76">
        <f>IFERROR('1月'!BG37,0)</f>
        <v>10</v>
      </c>
      <c r="D15" s="76">
        <f>IFERROR('2月'!BG37,0)</f>
        <v>23</v>
      </c>
      <c r="E15" s="76">
        <f>IFERROR('3月'!BG37,0)</f>
        <v>26</v>
      </c>
      <c r="F15" s="76">
        <f>IFERROR('4月'!BG37,0)</f>
        <v>0</v>
      </c>
      <c r="G15" s="76">
        <f>IFERROR('5月'!BG37,0)</f>
        <v>0</v>
      </c>
      <c r="H15" s="76">
        <f>IFERROR('6月'!BG37,0)</f>
        <v>0</v>
      </c>
      <c r="I15" s="76">
        <f>IFERROR('7月'!BG37,0)</f>
        <v>0</v>
      </c>
      <c r="J15" s="76">
        <f>IFERROR('8月'!BG37,0)</f>
        <v>0</v>
      </c>
      <c r="K15" s="76">
        <f>IFERROR('9月'!BG37,0)</f>
        <v>0</v>
      </c>
      <c r="L15" s="76">
        <f>IFERROR('10月'!BG37,0)</f>
        <v>0</v>
      </c>
      <c r="M15" s="76">
        <f>IFERROR('11月'!BG37,0)</f>
        <v>0</v>
      </c>
      <c r="N15" s="76">
        <f>IFERROR('12月'!BG37,0)</f>
        <v>0</v>
      </c>
      <c r="O15" s="78">
        <f>IFERROR('1月'!BG35,0)+IFERROR('2月'!BG35,0)+IFERROR('3月'!BG35,0)+IFERROR('4月'!BG35,0)+IFERROR('5月'!BG35,0)+IFERROR('6月'!BG35,0)+IFERROR('7月'!BG35,0)+IFERROR('8月'!BG35,0)+IFERROR('9月'!BG35,0)+IFERROR('10月'!BG35,0)+IFERROR('11月'!BG35,0)+IFERROR('12月'!BG35,0)</f>
        <v>59</v>
      </c>
      <c r="P15" s="64">
        <f>IFERROR('1月'!BG36,0)+IFERROR('2月'!BG36,0)+IFERROR('3月'!BG36,0)+IFERROR('4月'!BG36,0)+IFERROR('5月'!BG36,0)+IFERROR('6月'!BG36,0)+IFERROR('7月'!BG36,0)+IFERROR('8月'!BG36,0)+IFERROR('9月'!BG36,0)+IFERROR('10月'!BG36,0)+IFERROR('11月'!BG36,0)+IFERROR('12月'!BG36,0)</f>
        <v>0</v>
      </c>
      <c r="Q15" s="79">
        <f t="shared" si="0"/>
        <v>59</v>
      </c>
      <c r="R15" s="78">
        <f>IFERROR('1月'!BG38,0)+IFERROR('2月'!BG38,0)+IFERROR('3月'!BG38,0)+IFERROR('4月'!BG38,0)+IFERROR('5月'!BG38,0)+IFERROR('6月'!BG38,0)+IFERROR('7月'!BG38,0)+IFERROR('8月'!BG38,0)+IFERROR('9月'!BG38,0)+IFERROR('10月'!BG38,0)+IFERROR('11月'!BG38,0)+IFERROR('12月'!BG38,0)</f>
        <v>0</v>
      </c>
      <c r="S15" s="80">
        <f>IFERROR('1月'!BG39,0)+IFERROR('2月'!BG39,0)+IFERROR('3月'!BG39,0)+IFERROR('4月'!BG39,0)+IFERROR('5月'!BG39,0)+IFERROR('6月'!BG39,0)+IFERROR('7月'!BG39,0)+IFERROR('8月'!BG39,0)+IFERROR('9月'!BG39,0)+IFERROR('10月'!BG39,0)+IFERROR('11月'!BG39,0)+IFERROR('12月'!BG39,0)</f>
        <v>10</v>
      </c>
      <c r="T15" s="81">
        <f>IFERROR('1月'!BG40,0)+IFERROR('2月'!BG40,0)+IFERROR('3月'!BG40,0)+IFERROR('4月'!BG40,0)+IFERROR('5月'!BG40,0)+IFERROR('6月'!BG40,0)+IFERROR('7月'!BG40,0)+IFERROR('8月'!BG40,0)+IFERROR('9月'!BG40,0)+IFERROR('10月'!BG40,0)+IFERROR('11月'!BG40,0)+IFERROR('12月'!BG40,0)</f>
        <v>0</v>
      </c>
    </row>
    <row r="16" spans="1:21" ht="19.5" customHeight="1">
      <c r="A16" s="76">
        <v>13</v>
      </c>
      <c r="B16" s="77">
        <f>IFERROR(従業員マスタ!$C$16,"")</f>
        <v>0</v>
      </c>
      <c r="C16" s="76">
        <f>IFERROR('1月'!BL37,0)</f>
        <v>0</v>
      </c>
      <c r="D16" s="76">
        <f>IFERROR('2月'!BL37,0)</f>
        <v>0</v>
      </c>
      <c r="E16" s="76">
        <f>IFERROR('3月'!BL37,0)</f>
        <v>0</v>
      </c>
      <c r="F16" s="76">
        <f>IFERROR('4月'!BL37,0)</f>
        <v>0</v>
      </c>
      <c r="G16" s="76">
        <f>IFERROR('5月'!BL37,0)</f>
        <v>0</v>
      </c>
      <c r="H16" s="76">
        <f>IFERROR('6月'!BL37,0)</f>
        <v>0</v>
      </c>
      <c r="I16" s="76">
        <f>IFERROR('7月'!BL37,0)</f>
        <v>0</v>
      </c>
      <c r="J16" s="76">
        <f>IFERROR('8月'!BL37,0)</f>
        <v>0</v>
      </c>
      <c r="K16" s="76">
        <f>IFERROR('9月'!BL37,0)</f>
        <v>0</v>
      </c>
      <c r="L16" s="76">
        <f>IFERROR('10月'!BL37,0)</f>
        <v>0</v>
      </c>
      <c r="M16" s="76">
        <f>IFERROR('11月'!BL37,0)</f>
        <v>0</v>
      </c>
      <c r="N16" s="76">
        <f>IFERROR('12月'!BL37,0)</f>
        <v>0</v>
      </c>
      <c r="O16" s="78">
        <f>IFERROR('1月'!BL35,0)+IFERROR('2月'!BL35,0)+IFERROR('3月'!BL35,0)+IFERROR('4月'!BL35,0)+IFERROR('5月'!BL35,0)+IFERROR('6月'!BL35,0)+IFERROR('7月'!BL35,0)+IFERROR('8月'!BL35,0)+IFERROR('9月'!BL35,0)+IFERROR('10月'!BL35,0)+IFERROR('11月'!BL35,0)+IFERROR('12月'!BL35,0)</f>
        <v>0</v>
      </c>
      <c r="P16" s="64">
        <f>IFERROR('1月'!BL36,0)+IFERROR('2月'!BL36,0)+IFERROR('3月'!BL36,0)+IFERROR('4月'!BL36,0)+IFERROR('5月'!BL36,0)+IFERROR('6月'!BL36,0)+IFERROR('7月'!BL36,0)+IFERROR('8月'!BL36,0)+IFERROR('9月'!BL36,0)+IFERROR('10月'!BL36,0)+IFERROR('11月'!BL36,0)+IFERROR('12月'!BL36,0)</f>
        <v>0</v>
      </c>
      <c r="Q16" s="79">
        <f t="shared" si="0"/>
        <v>0</v>
      </c>
      <c r="R16" s="78">
        <f>IFERROR('1月'!BL38,0)+IFERROR('2月'!BL38,0)+IFERROR('3月'!BL38,0)+IFERROR('4月'!BL38,0)+IFERROR('5月'!BL38,0)+IFERROR('6月'!BL38,0)+IFERROR('7月'!BL38,0)+IFERROR('8月'!BL38,0)+IFERROR('9月'!BL38,0)+IFERROR('10月'!BL38,0)+IFERROR('11月'!BL38,0)+IFERROR('12月'!BL38,0)</f>
        <v>0</v>
      </c>
      <c r="S16" s="80">
        <f>IFERROR('1月'!BL39,0)+IFERROR('2月'!BL39,0)+IFERROR('3月'!BL39,0)+IFERROR('4月'!BL39,0)+IFERROR('5月'!BL39,0)+IFERROR('6月'!BL39,0)+IFERROR('7月'!BL39,0)+IFERROR('8月'!BL39,0)+IFERROR('9月'!BL39,0)+IFERROR('10月'!BL39,0)+IFERROR('11月'!BL39,0)+IFERROR('12月'!BL39,0)</f>
        <v>0</v>
      </c>
      <c r="T16" s="81">
        <f>IFERROR('1月'!BL40,0)+IFERROR('2月'!BL40,0)+IFERROR('3月'!BL40,0)+IFERROR('4月'!BL40,0)+IFERROR('5月'!BL40,0)+IFERROR('6月'!BL40,0)+IFERROR('7月'!BL40,0)+IFERROR('8月'!BL40,0)+IFERROR('9月'!BL40,0)+IFERROR('10月'!BL40,0)+IFERROR('11月'!BL40,0)+IFERROR('12月'!BL40,0)</f>
        <v>0</v>
      </c>
    </row>
    <row r="17" spans="1:20" ht="19.5" customHeight="1">
      <c r="A17" s="76">
        <v>14</v>
      </c>
      <c r="B17" s="77">
        <f>IFERROR(従業員マスタ!$C$17,"")</f>
        <v>0</v>
      </c>
      <c r="C17" s="76">
        <f>IFERROR('1月'!BQ37,0)</f>
        <v>0</v>
      </c>
      <c r="D17" s="76">
        <f>IFERROR('2月'!BQ37,0)</f>
        <v>0</v>
      </c>
      <c r="E17" s="76">
        <f>IFERROR('3月'!BQ37,0)</f>
        <v>0</v>
      </c>
      <c r="F17" s="76">
        <f>IFERROR('4月'!BQ37,0)</f>
        <v>0</v>
      </c>
      <c r="G17" s="76">
        <f>IFERROR('5月'!BQ37,0)</f>
        <v>0</v>
      </c>
      <c r="H17" s="76">
        <f>IFERROR('6月'!BQ37,0)</f>
        <v>0</v>
      </c>
      <c r="I17" s="76">
        <f>IFERROR('7月'!BQ37,0)</f>
        <v>0</v>
      </c>
      <c r="J17" s="76">
        <f>IFERROR('8月'!BQ37,0)</f>
        <v>0</v>
      </c>
      <c r="K17" s="76">
        <f>IFERROR('9月'!BQ37,0)</f>
        <v>0</v>
      </c>
      <c r="L17" s="76">
        <f>IFERROR('10月'!BQ37,0)</f>
        <v>0</v>
      </c>
      <c r="M17" s="76">
        <f>IFERROR('11月'!BQ37,0)</f>
        <v>0</v>
      </c>
      <c r="N17" s="76">
        <f>IFERROR('12月'!BQ37,0)</f>
        <v>0</v>
      </c>
      <c r="O17" s="78">
        <f>IFERROR('1月'!BQ35,0)+IFERROR('2月'!BQ35,0)+IFERROR('3月'!BQ35,0)+IFERROR('4月'!BQ35,0)+IFERROR('5月'!BQ35,0)+IFERROR('6月'!BQ35,0)+IFERROR('7月'!BQ35,0)+IFERROR('8月'!BQ35,0)+IFERROR('9月'!BQ35,0)+IFERROR('10月'!BQ35,0)+IFERROR('11月'!BQ35,0)+IFERROR('12月'!BQ35,0)</f>
        <v>0</v>
      </c>
      <c r="P17" s="64">
        <f>IFERROR('1月'!BQ36,0)+IFERROR('2月'!BQ36,0)+IFERROR('3月'!BQ36,0)+IFERROR('4月'!BQ36,0)+IFERROR('5月'!BQ36,0)+IFERROR('6月'!BQ36,0)+IFERROR('7月'!BQ36,0)+IFERROR('8月'!BQ36,0)+IFERROR('9月'!BQ36,0)+IFERROR('10月'!BQ36,0)+IFERROR('11月'!BQ36,0)+IFERROR('12月'!BQ36,0)</f>
        <v>0</v>
      </c>
      <c r="Q17" s="79">
        <f t="shared" si="0"/>
        <v>0</v>
      </c>
      <c r="R17" s="78">
        <f>IFERROR('1月'!BQ38,0)+IFERROR('2月'!BQ38,0)+IFERROR('3月'!BQ38,0)+IFERROR('4月'!BQ38,0)+IFERROR('5月'!BQ38,0)+IFERROR('6月'!BQ38,0)+IFERROR('7月'!BQ38,0)+IFERROR('8月'!BQ38,0)+IFERROR('9月'!BQ38,0)+IFERROR('10月'!BQ38,0)+IFERROR('11月'!BQ38,0)+IFERROR('12月'!BQ38,0)</f>
        <v>0</v>
      </c>
      <c r="S17" s="80">
        <f>IFERROR('1月'!BQ39,0)+IFERROR('2月'!BQ39,0)+IFERROR('3月'!BQ39,0)+IFERROR('4月'!BQ39,0)+IFERROR('5月'!BQ39,0)+IFERROR('6月'!BQ39,0)+IFERROR('7月'!BQ39,0)+IFERROR('8月'!BQ39,0)+IFERROR('9月'!BQ39,0)+IFERROR('10月'!BQ39,0)+IFERROR('11月'!BQ39,0)+IFERROR('12月'!BQ39,0)</f>
        <v>0</v>
      </c>
      <c r="T17" s="81">
        <f>IFERROR('1月'!BQ40,0)+IFERROR('2月'!BQ40,0)+IFERROR('3月'!BQ40,0)+IFERROR('4月'!BQ40,0)+IFERROR('5月'!BQ40,0)+IFERROR('6月'!BQ40,0)+IFERROR('7月'!BQ40,0)+IFERROR('8月'!BQ40,0)+IFERROR('9月'!BQ40,0)+IFERROR('10月'!BQ40,0)+IFERROR('11月'!BQ40,0)+IFERROR('12月'!BQ40,0)</f>
        <v>0</v>
      </c>
    </row>
    <row r="18" spans="1:20" ht="19.5" customHeight="1">
      <c r="A18" s="76">
        <v>15</v>
      </c>
      <c r="B18" s="77">
        <f>IFERROR(従業員マスタ!$C$18,"")</f>
        <v>0</v>
      </c>
      <c r="C18" s="76">
        <f>IFERROR('1月'!BV37,0)</f>
        <v>0</v>
      </c>
      <c r="D18" s="76">
        <f>IFERROR('2月'!BV37,0)</f>
        <v>0</v>
      </c>
      <c r="E18" s="76">
        <f>IFERROR('3月'!BV37,0)</f>
        <v>0</v>
      </c>
      <c r="F18" s="76">
        <f>IFERROR('4月'!BV37,0)</f>
        <v>0</v>
      </c>
      <c r="G18" s="76">
        <f>IFERROR('5月'!BV37,0)</f>
        <v>0</v>
      </c>
      <c r="H18" s="76">
        <f>IFERROR('6月'!BV37,0)</f>
        <v>0</v>
      </c>
      <c r="I18" s="76">
        <f>IFERROR('7月'!BV37,0)</f>
        <v>0</v>
      </c>
      <c r="J18" s="76">
        <f>IFERROR('8月'!BV37,0)</f>
        <v>0</v>
      </c>
      <c r="K18" s="76">
        <f>IFERROR('9月'!BV37,0)</f>
        <v>0</v>
      </c>
      <c r="L18" s="76">
        <f>IFERROR('10月'!BV37,0)</f>
        <v>0</v>
      </c>
      <c r="M18" s="76">
        <f>IFERROR('11月'!BV37,0)</f>
        <v>0</v>
      </c>
      <c r="N18" s="76">
        <f>IFERROR('12月'!BV37,0)</f>
        <v>0</v>
      </c>
      <c r="O18" s="78">
        <f>IFERROR('1月'!BV35,0)+IFERROR('2月'!BV35,0)+IFERROR('3月'!BV35,0)+IFERROR('4月'!BV35,0)+IFERROR('5月'!BV35,0)+IFERROR('6月'!BV35,0)+IFERROR('7月'!BV35,0)+IFERROR('8月'!BV35,0)+IFERROR('9月'!BV35,0)+IFERROR('10月'!BV35,0)+IFERROR('11月'!BV35,0)+IFERROR('12月'!BV35,0)</f>
        <v>0</v>
      </c>
      <c r="P18" s="64">
        <f>IFERROR('1月'!BV36,0)+IFERROR('2月'!BV36,0)+IFERROR('3月'!BV36,0)+IFERROR('4月'!BV36,0)+IFERROR('5月'!BV36,0)+IFERROR('6月'!BV36,0)+IFERROR('7月'!BV36,0)+IFERROR('8月'!BV36,0)+IFERROR('9月'!BV36,0)+IFERROR('10月'!BV36,0)+IFERROR('11月'!BV36,0)+IFERROR('12月'!BV36,0)</f>
        <v>0</v>
      </c>
      <c r="Q18" s="79">
        <f t="shared" si="0"/>
        <v>0</v>
      </c>
      <c r="R18" s="78">
        <f>IFERROR('1月'!BV38,0)+IFERROR('2月'!BV38,0)+IFERROR('3月'!BV38,0)+IFERROR('4月'!BV38,0)+IFERROR('5月'!BV38,0)+IFERROR('6月'!BV38,0)+IFERROR('7月'!BV38,0)+IFERROR('8月'!BV38,0)+IFERROR('9月'!BV38,0)+IFERROR('10月'!BV38,0)+IFERROR('11月'!BV38,0)+IFERROR('12月'!BV38,0)</f>
        <v>0</v>
      </c>
      <c r="S18" s="80">
        <f>IFERROR('1月'!BV39,0)+IFERROR('2月'!BV39,0)+IFERROR('3月'!BV39,0)+IFERROR('4月'!BV39,0)+IFERROR('5月'!BV39,0)+IFERROR('6月'!BV39,0)+IFERROR('7月'!BV39,0)+IFERROR('8月'!BV39,0)+IFERROR('9月'!BV39,0)+IFERROR('10月'!BV39,0)+IFERROR('11月'!BV39,0)+IFERROR('12月'!BV39,0)</f>
        <v>0</v>
      </c>
      <c r="T18" s="81">
        <f>IFERROR('1月'!BV40,0)+IFERROR('2月'!BV40,0)+IFERROR('3月'!BV40,0)+IFERROR('4月'!BV40,0)+IFERROR('5月'!BV40,0)+IFERROR('6月'!BV40,0)+IFERROR('7月'!BV40,0)+IFERROR('8月'!BV40,0)+IFERROR('9月'!BV40,0)+IFERROR('10月'!BV40,0)+IFERROR('11月'!BV40,0)+IFERROR('12月'!BV40,0)</f>
        <v>0</v>
      </c>
    </row>
    <row r="19" spans="1:20" ht="19.5" customHeight="1">
      <c r="A19" s="76">
        <v>16</v>
      </c>
      <c r="B19" s="77">
        <f>IFERROR(従業員マスタ!$C$19,"")</f>
        <v>0</v>
      </c>
      <c r="C19" s="76">
        <f>IFERROR('1月'!CA37,0)</f>
        <v>0</v>
      </c>
      <c r="D19" s="76">
        <f>IFERROR('2月'!CA37,0)</f>
        <v>0</v>
      </c>
      <c r="E19" s="76">
        <f>IFERROR('3月'!CA37,0)</f>
        <v>0</v>
      </c>
      <c r="F19" s="76">
        <f>IFERROR('4月'!CA37,0)</f>
        <v>0</v>
      </c>
      <c r="G19" s="76">
        <f>IFERROR('5月'!CA37,0)</f>
        <v>0</v>
      </c>
      <c r="H19" s="76">
        <f>IFERROR('6月'!CA37,0)</f>
        <v>0</v>
      </c>
      <c r="I19" s="76">
        <f>IFERROR('7月'!CA37,0)</f>
        <v>0</v>
      </c>
      <c r="J19" s="76">
        <f>IFERROR('8月'!CA37,0)</f>
        <v>0</v>
      </c>
      <c r="K19" s="76">
        <f>IFERROR('9月'!CA37,0)</f>
        <v>0</v>
      </c>
      <c r="L19" s="76">
        <f>IFERROR('10月'!CA37,0)</f>
        <v>0</v>
      </c>
      <c r="M19" s="76">
        <f>IFERROR('11月'!CA37,0)</f>
        <v>0</v>
      </c>
      <c r="N19" s="76">
        <f>IFERROR('12月'!CA37,0)</f>
        <v>0</v>
      </c>
      <c r="O19" s="78">
        <f>IFERROR('1月'!CA35,0)+IFERROR('2月'!CA35,0)+IFERROR('3月'!CA35,0)+IFERROR('4月'!CA35,0)+IFERROR('5月'!CA35,0)+IFERROR('6月'!CA35,0)+IFERROR('7月'!CA35,0)+IFERROR('8月'!CA35,0)+IFERROR('9月'!CA35,0)+IFERROR('10月'!CA35,0)+IFERROR('11月'!CA35,0)+IFERROR('12月'!CA35,0)</f>
        <v>0</v>
      </c>
      <c r="P19" s="64">
        <f>IFERROR('1月'!CA36,0)+IFERROR('2月'!CA36,0)+IFERROR('3月'!CA36,0)+IFERROR('4月'!CA36,0)+IFERROR('5月'!CA36,0)+IFERROR('6月'!CA36,0)+IFERROR('7月'!CA36,0)+IFERROR('8月'!CA36,0)+IFERROR('9月'!CA36,0)+IFERROR('10月'!CA36,0)+IFERROR('11月'!CA36,0)+IFERROR('12月'!CA36,0)</f>
        <v>0</v>
      </c>
      <c r="Q19" s="79">
        <f t="shared" si="0"/>
        <v>0</v>
      </c>
      <c r="R19" s="78">
        <f>IFERROR('1月'!CA38,0)+IFERROR('2月'!CA38,0)+IFERROR('3月'!CA38,0)+IFERROR('4月'!CA38,0)+IFERROR('5月'!CA38,0)+IFERROR('6月'!CA38,0)+IFERROR('7月'!CA38,0)+IFERROR('8月'!CA38,0)+IFERROR('9月'!CA38,0)+IFERROR('10月'!CA38,0)+IFERROR('11月'!CA38,0)+IFERROR('12月'!CA38,0)</f>
        <v>0</v>
      </c>
      <c r="S19" s="80">
        <f>IFERROR('1月'!CA39,0)+IFERROR('2月'!CA39,0)+IFERROR('3月'!CA39,0)+IFERROR('4月'!CA39,0)+IFERROR('5月'!CA39,0)+IFERROR('6月'!CA39,0)+IFERROR('7月'!CA39,0)+IFERROR('8月'!CA39,0)+IFERROR('9月'!CA39,0)+IFERROR('10月'!CA39,0)+IFERROR('11月'!CA39,0)+IFERROR('12月'!CA39,0)</f>
        <v>0</v>
      </c>
      <c r="T19" s="81">
        <f>IFERROR('1月'!CA40,0)+IFERROR('2月'!CA40,0)+IFERROR('3月'!CA40,0)+IFERROR('4月'!CA40,0)+IFERROR('5月'!CA40,0)+IFERROR('6月'!CA40,0)+IFERROR('7月'!CA40,0)+IFERROR('8月'!CA40,0)+IFERROR('9月'!CA40,0)+IFERROR('10月'!CA40,0)+IFERROR('11月'!CA40,0)+IFERROR('12月'!CA40,0)</f>
        <v>0</v>
      </c>
    </row>
    <row r="20" spans="1:20" ht="19.5" customHeight="1">
      <c r="A20" s="76">
        <v>17</v>
      </c>
      <c r="B20" s="77">
        <f>IFERROR(従業員マスタ!$C$20,"")</f>
        <v>0</v>
      </c>
      <c r="C20" s="76">
        <f>IFERROR('1月'!CF37,0)</f>
        <v>0</v>
      </c>
      <c r="D20" s="76">
        <f>IFERROR('2月'!CF37,0)</f>
        <v>0</v>
      </c>
      <c r="E20" s="76">
        <f>IFERROR('3月'!CF37,0)</f>
        <v>0</v>
      </c>
      <c r="F20" s="76">
        <f>IFERROR('4月'!CF37,0)</f>
        <v>0</v>
      </c>
      <c r="G20" s="76">
        <f>IFERROR('5月'!CF37,0)</f>
        <v>0</v>
      </c>
      <c r="H20" s="76">
        <f>IFERROR('6月'!CF37,0)</f>
        <v>0</v>
      </c>
      <c r="I20" s="76">
        <f>IFERROR('7月'!CF37,0)</f>
        <v>0</v>
      </c>
      <c r="J20" s="76">
        <f>IFERROR('8月'!CF37,0)</f>
        <v>0</v>
      </c>
      <c r="K20" s="76">
        <f>IFERROR('9月'!CF37,0)</f>
        <v>0</v>
      </c>
      <c r="L20" s="76">
        <f>IFERROR('10月'!CF37,0)</f>
        <v>0</v>
      </c>
      <c r="M20" s="76">
        <f>IFERROR('11月'!CF37,0)</f>
        <v>0</v>
      </c>
      <c r="N20" s="76">
        <f>IFERROR('12月'!CF37,0)</f>
        <v>0</v>
      </c>
      <c r="O20" s="78">
        <f>IFERROR('1月'!CF35,0)+IFERROR('2月'!CF35,0)+IFERROR('3月'!CF35,0)+IFERROR('4月'!CF35,0)+IFERROR('5月'!CF35,0)+IFERROR('6月'!CF35,0)+IFERROR('7月'!CF35,0)+IFERROR('8月'!CF35,0)+IFERROR('9月'!CF35,0)+IFERROR('10月'!CF35,0)+IFERROR('11月'!CF35,0)+IFERROR('12月'!CF35,0)</f>
        <v>0</v>
      </c>
      <c r="P20" s="64">
        <f>IFERROR('1月'!CF36,0)+IFERROR('2月'!CF36,0)+IFERROR('3月'!CF36,0)+IFERROR('4月'!CF36,0)+IFERROR('5月'!CF36,0)+IFERROR('6月'!CF36,0)+IFERROR('7月'!CF36,0)+IFERROR('8月'!CF36,0)+IFERROR('9月'!CF36,0)+IFERROR('10月'!CF36,0)+IFERROR('11月'!CF36,0)+IFERROR('12月'!CF36,0)</f>
        <v>0</v>
      </c>
      <c r="Q20" s="79">
        <f t="shared" si="0"/>
        <v>0</v>
      </c>
      <c r="R20" s="78">
        <f>IFERROR('1月'!CF38,0)+IFERROR('2月'!CF38,0)+IFERROR('3月'!CF38,0)+IFERROR('4月'!CF38,0)+IFERROR('5月'!CF38,0)+IFERROR('6月'!CF38,0)+IFERROR('7月'!CF38,0)+IFERROR('8月'!CF38,0)+IFERROR('9月'!CF38,0)+IFERROR('10月'!CF38,0)+IFERROR('11月'!CF38,0)+IFERROR('12月'!CF38,0)</f>
        <v>0</v>
      </c>
      <c r="S20" s="80">
        <f>IFERROR('1月'!CF39,0)+IFERROR('2月'!CF39,0)+IFERROR('3月'!CF39,0)+IFERROR('4月'!CF39,0)+IFERROR('5月'!CF39,0)+IFERROR('6月'!CF39,0)+IFERROR('7月'!CF39,0)+IFERROR('8月'!CF39,0)+IFERROR('9月'!CF39,0)+IFERROR('10月'!CF39,0)+IFERROR('11月'!CF39,0)+IFERROR('12月'!CF39,0)</f>
        <v>0</v>
      </c>
      <c r="T20" s="81">
        <f>IFERROR('1月'!CF40,0)+IFERROR('2月'!CF40,0)+IFERROR('3月'!CF40,0)+IFERROR('4月'!CF40,0)+IFERROR('5月'!CF40,0)+IFERROR('6月'!CF40,0)+IFERROR('7月'!CF40,0)+IFERROR('8月'!CF40,0)+IFERROR('9月'!CF40,0)+IFERROR('10月'!CF40,0)+IFERROR('11月'!CF40,0)+IFERROR('12月'!CF40,0)</f>
        <v>0</v>
      </c>
    </row>
    <row r="21" spans="1:20" ht="19.5" customHeight="1">
      <c r="A21" s="76">
        <v>18</v>
      </c>
      <c r="B21" s="77">
        <f>IFERROR(従業員マスタ!$C$21,"")</f>
        <v>0</v>
      </c>
      <c r="C21" s="76">
        <f>IFERROR('1月'!CK37,0)</f>
        <v>0</v>
      </c>
      <c r="D21" s="76">
        <f>IFERROR('2月'!CK37,0)</f>
        <v>0</v>
      </c>
      <c r="E21" s="76">
        <f>IFERROR('3月'!CK37,0)</f>
        <v>0</v>
      </c>
      <c r="F21" s="76">
        <f>IFERROR('4月'!CK37,0)</f>
        <v>0</v>
      </c>
      <c r="G21" s="76">
        <f>IFERROR('5月'!CK37,0)</f>
        <v>0</v>
      </c>
      <c r="H21" s="76">
        <f>IFERROR('6月'!CK37,0)</f>
        <v>0</v>
      </c>
      <c r="I21" s="76">
        <f>IFERROR('7月'!CK37,0)</f>
        <v>0</v>
      </c>
      <c r="J21" s="76">
        <f>IFERROR('8月'!CK37,0)</f>
        <v>0</v>
      </c>
      <c r="K21" s="76">
        <f>IFERROR('9月'!CK37,0)</f>
        <v>0</v>
      </c>
      <c r="L21" s="76">
        <f>IFERROR('10月'!CK37,0)</f>
        <v>0</v>
      </c>
      <c r="M21" s="76">
        <f>IFERROR('11月'!CK37,0)</f>
        <v>0</v>
      </c>
      <c r="N21" s="76">
        <f>IFERROR('12月'!CK37,0)</f>
        <v>0</v>
      </c>
      <c r="O21" s="78">
        <f>IFERROR('1月'!CK35,0)+IFERROR('2月'!CK35,0)+IFERROR('3月'!CK35,0)+IFERROR('4月'!CK35,0)+IFERROR('5月'!CK35,0)+IFERROR('6月'!CK35,0)+IFERROR('7月'!CK35,0)+IFERROR('8月'!CK35,0)+IFERROR('9月'!CK35,0)+IFERROR('10月'!CK35,0)+IFERROR('11月'!CK35,0)+IFERROR('12月'!CK35,0)</f>
        <v>0</v>
      </c>
      <c r="P21" s="64">
        <f>IFERROR('1月'!CK36,0)+IFERROR('2月'!CK36,0)+IFERROR('3月'!CK36,0)+IFERROR('4月'!CK36,0)+IFERROR('5月'!CK36,0)+IFERROR('6月'!CK36,0)+IFERROR('7月'!CK36,0)+IFERROR('8月'!CK36,0)+IFERROR('9月'!CK36,0)+IFERROR('10月'!CK36,0)+IFERROR('11月'!CK36,0)+IFERROR('12月'!CK36,0)</f>
        <v>0</v>
      </c>
      <c r="Q21" s="79">
        <f t="shared" si="0"/>
        <v>0</v>
      </c>
      <c r="R21" s="78">
        <f>IFERROR('1月'!CK38,0)+IFERROR('2月'!CK38,0)+IFERROR('3月'!CK38,0)+IFERROR('4月'!CK38,0)+IFERROR('5月'!CK38,0)+IFERROR('6月'!CK38,0)+IFERROR('7月'!CK38,0)+IFERROR('8月'!CK38,0)+IFERROR('9月'!CK38,0)+IFERROR('10月'!CK38,0)+IFERROR('11月'!CK38,0)+IFERROR('12月'!CK38,0)</f>
        <v>0</v>
      </c>
      <c r="S21" s="80">
        <f>IFERROR('1月'!CK39,0)+IFERROR('2月'!CK39,0)+IFERROR('3月'!CK39,0)+IFERROR('4月'!CK39,0)+IFERROR('5月'!CK39,0)+IFERROR('6月'!CK39,0)+IFERROR('7月'!CK39,0)+IFERROR('8月'!CK39,0)+IFERROR('9月'!CK39,0)+IFERROR('10月'!CK39,0)+IFERROR('11月'!CK39,0)+IFERROR('12月'!CK39,0)</f>
        <v>0</v>
      </c>
      <c r="T21" s="81">
        <f>IFERROR('1月'!CK40,0)+IFERROR('2月'!CK40,0)+IFERROR('3月'!CK40,0)+IFERROR('4月'!CK40,0)+IFERROR('5月'!CK40,0)+IFERROR('6月'!CK40,0)+IFERROR('7月'!CK40,0)+IFERROR('8月'!CK40,0)+IFERROR('9月'!CK40,0)+IFERROR('10月'!CK40,0)+IFERROR('11月'!CK40,0)+IFERROR('12月'!CK40,0)</f>
        <v>0</v>
      </c>
    </row>
    <row r="22" spans="1:20" ht="19.5" customHeight="1">
      <c r="A22" s="76">
        <v>19</v>
      </c>
      <c r="B22" s="77">
        <f>IFERROR(従業員マスタ!$C$22,"")</f>
        <v>0</v>
      </c>
      <c r="C22" s="76">
        <f>IFERROR('1月'!CP37,0)</f>
        <v>0</v>
      </c>
      <c r="D22" s="76">
        <f>IFERROR('2月'!CP37,0)</f>
        <v>0</v>
      </c>
      <c r="E22" s="76">
        <f>IFERROR('3月'!CP37,0)</f>
        <v>0</v>
      </c>
      <c r="F22" s="76">
        <f>IFERROR('4月'!CP37,0)</f>
        <v>0</v>
      </c>
      <c r="G22" s="76">
        <f>IFERROR('5月'!CP37,0)</f>
        <v>0</v>
      </c>
      <c r="H22" s="76">
        <f>IFERROR('6月'!CP37,0)</f>
        <v>0</v>
      </c>
      <c r="I22" s="76">
        <f>IFERROR('7月'!CP37,0)</f>
        <v>0</v>
      </c>
      <c r="J22" s="76">
        <f>IFERROR('8月'!CP37,0)</f>
        <v>0</v>
      </c>
      <c r="K22" s="76">
        <f>IFERROR('9月'!CP37,0)</f>
        <v>0</v>
      </c>
      <c r="L22" s="76">
        <f>IFERROR('10月'!CP37,0)</f>
        <v>0</v>
      </c>
      <c r="M22" s="76">
        <f>IFERROR('11月'!CP37,0)</f>
        <v>0</v>
      </c>
      <c r="N22" s="76">
        <f>IFERROR('12月'!CP37,0)</f>
        <v>0</v>
      </c>
      <c r="O22" s="78">
        <f>IFERROR('1月'!CP35,0)+IFERROR('2月'!CP35,0)+IFERROR('3月'!CP35,0)+IFERROR('4月'!CP35,0)+IFERROR('5月'!CP35,0)+IFERROR('6月'!CP35,0)+IFERROR('7月'!CP35,0)+IFERROR('8月'!CP35,0)+IFERROR('9月'!CP35,0)+IFERROR('10月'!CP35,0)+IFERROR('11月'!CP35,0)+IFERROR('12月'!CP35,0)</f>
        <v>0</v>
      </c>
      <c r="P22" s="64">
        <f>IFERROR('1月'!CP36,0)+IFERROR('2月'!CP36,0)+IFERROR('3月'!CP36,0)+IFERROR('4月'!CP36,0)+IFERROR('5月'!CP36,0)+IFERROR('6月'!CP36,0)+IFERROR('7月'!CP36,0)+IFERROR('8月'!CP36,0)+IFERROR('9月'!CP36,0)+IFERROR('10月'!CP36,0)+IFERROR('11月'!CP36,0)+IFERROR('12月'!CP36,0)</f>
        <v>0</v>
      </c>
      <c r="Q22" s="79">
        <f t="shared" si="0"/>
        <v>0</v>
      </c>
      <c r="R22" s="78">
        <f>IFERROR('1月'!CP38,0)+IFERROR('2月'!CP38,0)+IFERROR('3月'!CP38,0)+IFERROR('4月'!CP38,0)+IFERROR('5月'!CP38,0)+IFERROR('6月'!CP38,0)+IFERROR('7月'!CP38,0)+IFERROR('8月'!CP38,0)+IFERROR('9月'!CP38,0)+IFERROR('10月'!CP38,0)+IFERROR('11月'!CP38,0)+IFERROR('12月'!CP38,0)</f>
        <v>0</v>
      </c>
      <c r="S22" s="80">
        <f>IFERROR('1月'!CP39,0)+IFERROR('2月'!CP39,0)+IFERROR('3月'!CP39,0)+IFERROR('4月'!CP39,0)+IFERROR('5月'!CP39,0)+IFERROR('6月'!CP39,0)+IFERROR('7月'!CP39,0)+IFERROR('8月'!CP39,0)+IFERROR('9月'!CP39,0)+IFERROR('10月'!CP39,0)+IFERROR('11月'!CP39,0)+IFERROR('12月'!CP39,0)</f>
        <v>0</v>
      </c>
      <c r="T22" s="81">
        <f>IFERROR('1月'!CP40,0)+IFERROR('2月'!CP40,0)+IFERROR('3月'!CP40,0)+IFERROR('4月'!CP40,0)+IFERROR('5月'!CP40,0)+IFERROR('6月'!CP40,0)+IFERROR('7月'!CP40,0)+IFERROR('8月'!CP40,0)+IFERROR('9月'!CP40,0)+IFERROR('10月'!CP40,0)+IFERROR('11月'!CP40,0)+IFERROR('12月'!CP40,0)</f>
        <v>0</v>
      </c>
    </row>
    <row r="23" spans="1:20" ht="19.5" customHeight="1">
      <c r="A23" s="76">
        <v>20</v>
      </c>
      <c r="B23" s="77">
        <f>IFERROR(従業員マスタ!$C$23,"")</f>
        <v>0</v>
      </c>
      <c r="C23" s="76">
        <f>IFERROR('1月'!CU37,0)</f>
        <v>0</v>
      </c>
      <c r="D23" s="76">
        <f>IFERROR('2月'!CU37,0)</f>
        <v>0</v>
      </c>
      <c r="E23" s="76">
        <f>IFERROR('3月'!CU37,0)</f>
        <v>0</v>
      </c>
      <c r="F23" s="76">
        <f>IFERROR('4月'!CU37,0)</f>
        <v>0</v>
      </c>
      <c r="G23" s="76">
        <f>IFERROR('5月'!CU37,0)</f>
        <v>0</v>
      </c>
      <c r="H23" s="76">
        <f>IFERROR('6月'!CU37,0)</f>
        <v>0</v>
      </c>
      <c r="I23" s="76">
        <f>IFERROR('7月'!CU37,0)</f>
        <v>0</v>
      </c>
      <c r="J23" s="76">
        <f>IFERROR('8月'!CU37,0)</f>
        <v>0</v>
      </c>
      <c r="K23" s="76">
        <f>IFERROR('9月'!CU37,0)</f>
        <v>0</v>
      </c>
      <c r="L23" s="76">
        <f>IFERROR('10月'!CU37,0)</f>
        <v>0</v>
      </c>
      <c r="M23" s="76">
        <f>IFERROR('11月'!CU37,0)</f>
        <v>0</v>
      </c>
      <c r="N23" s="76">
        <f>IFERROR('12月'!CU37,0)</f>
        <v>0</v>
      </c>
      <c r="O23" s="78">
        <f>IFERROR('1月'!CU35,0)+IFERROR('2月'!CU35,0)+IFERROR('3月'!CU35,0)+IFERROR('4月'!CU35,0)+IFERROR('5月'!CU35,0)+IFERROR('6月'!CU35,0)+IFERROR('7月'!CU35,0)+IFERROR('8月'!CU35,0)+IFERROR('9月'!CU35,0)+IFERROR('10月'!CU35,0)+IFERROR('11月'!CU35,0)+IFERROR('12月'!CU35,0)</f>
        <v>0</v>
      </c>
      <c r="P23" s="64">
        <f>IFERROR('1月'!CU36,0)+IFERROR('2月'!CU36,0)+IFERROR('3月'!CU36,0)+IFERROR('4月'!CU36,0)+IFERROR('5月'!CU36,0)+IFERROR('6月'!CU36,0)+IFERROR('7月'!CU36,0)+IFERROR('8月'!CU36,0)+IFERROR('9月'!CU36,0)+IFERROR('10月'!CU36,0)+IFERROR('11月'!CU36,0)+IFERROR('12月'!CU36,0)</f>
        <v>0</v>
      </c>
      <c r="Q23" s="79">
        <f t="shared" si="0"/>
        <v>0</v>
      </c>
      <c r="R23" s="78">
        <f>IFERROR('1月'!CU38,0)+IFERROR('2月'!CU38,0)+IFERROR('3月'!CU38,0)+IFERROR('4月'!CU38,0)+IFERROR('5月'!CU38,0)+IFERROR('6月'!CU38,0)+IFERROR('7月'!CU38,0)+IFERROR('8月'!CU38,0)+IFERROR('9月'!CU38,0)+IFERROR('10月'!CU38,0)+IFERROR('11月'!CU38,0)+IFERROR('12月'!CU38,0)</f>
        <v>0</v>
      </c>
      <c r="S23" s="80">
        <f>IFERROR('1月'!CU39,0)+IFERROR('2月'!CU39,0)+IFERROR('3月'!CU39,0)+IFERROR('4月'!CU39,0)+IFERROR('5月'!CU39,0)+IFERROR('6月'!CU39,0)+IFERROR('7月'!CU39,0)+IFERROR('8月'!CU39,0)+IFERROR('9月'!CU39,0)+IFERROR('10月'!CU39,0)+IFERROR('11月'!CU39,0)+IFERROR('12月'!CU39,0)</f>
        <v>0</v>
      </c>
      <c r="T23" s="81">
        <f>IFERROR('1月'!CU40,0)+IFERROR('2月'!CU40,0)+IFERROR('3月'!CU40,0)+IFERROR('4月'!CU40,0)+IFERROR('5月'!CU40,0)+IFERROR('6月'!CU40,0)+IFERROR('7月'!CU40,0)+IFERROR('8月'!CU40,0)+IFERROR('9月'!CU40,0)+IFERROR('10月'!CU40,0)+IFERROR('11月'!CU40,0)+IFERROR('12月'!CU40,0)</f>
        <v>0</v>
      </c>
    </row>
    <row r="24" spans="1:20" ht="19.5" customHeight="1">
      <c r="A24" s="76">
        <v>21</v>
      </c>
      <c r="B24" s="77">
        <f>IFERROR(従業員マスタ!$C$24,"")</f>
        <v>0</v>
      </c>
      <c r="C24" s="76">
        <f>IFERROR('1月'!CZ37,0)</f>
        <v>0</v>
      </c>
      <c r="D24" s="76">
        <f>IFERROR('2月'!CZ37,0)</f>
        <v>0</v>
      </c>
      <c r="E24" s="76">
        <f>IFERROR('3月'!CZ37,0)</f>
        <v>0</v>
      </c>
      <c r="F24" s="76">
        <f>IFERROR('4月'!CZ37,0)</f>
        <v>0</v>
      </c>
      <c r="G24" s="76">
        <f>IFERROR('5月'!CZ37,0)</f>
        <v>0</v>
      </c>
      <c r="H24" s="76">
        <f>IFERROR('6月'!CZ37,0)</f>
        <v>0</v>
      </c>
      <c r="I24" s="76">
        <f>IFERROR('7月'!CZ37,0)</f>
        <v>0</v>
      </c>
      <c r="J24" s="76">
        <f>IFERROR('8月'!CZ37,0)</f>
        <v>0</v>
      </c>
      <c r="K24" s="76">
        <f>IFERROR('9月'!CZ37,0)</f>
        <v>0</v>
      </c>
      <c r="L24" s="76">
        <f>IFERROR('10月'!CZ37,0)</f>
        <v>0</v>
      </c>
      <c r="M24" s="76">
        <f>IFERROR('11月'!CZ37,0)</f>
        <v>0</v>
      </c>
      <c r="N24" s="76">
        <f>IFERROR('12月'!CZ37,0)</f>
        <v>0</v>
      </c>
      <c r="O24" s="78">
        <f>IFERROR('1月'!CZ35,0)+IFERROR('2月'!CZ35,0)+IFERROR('3月'!CZ35,0)+IFERROR('4月'!CZ35,0)+IFERROR('5月'!CZ35,0)+IFERROR('6月'!CZ35,0)+IFERROR('7月'!CZ35,0)+IFERROR('8月'!CZ35,0)+IFERROR('9月'!CZ35,0)+IFERROR('10月'!CZ35,0)+IFERROR('11月'!CZ35,0)+IFERROR('12月'!CZ35,0)</f>
        <v>0</v>
      </c>
      <c r="P24" s="64">
        <f>IFERROR('1月'!CZ36,0)+IFERROR('2月'!CZ36,0)+IFERROR('3月'!CZ36,0)+IFERROR('4月'!CZ36,0)+IFERROR('5月'!CZ36,0)+IFERROR('6月'!CZ36,0)+IFERROR('7月'!CZ36,0)+IFERROR('8月'!CZ36,0)+IFERROR('9月'!CZ36,0)+IFERROR('10月'!CZ36,0)+IFERROR('11月'!CZ36,0)+IFERROR('12月'!CZ36,0)</f>
        <v>0</v>
      </c>
      <c r="Q24" s="79">
        <f t="shared" si="0"/>
        <v>0</v>
      </c>
      <c r="R24" s="78">
        <f>IFERROR('1月'!CZ38,0)+IFERROR('2月'!CZ38,0)+IFERROR('3月'!CZ38,0)+IFERROR('4月'!CZ38,0)+IFERROR('5月'!CZ38,0)+IFERROR('6月'!CZ38,0)+IFERROR('7月'!CZ38,0)+IFERROR('8月'!CZ38,0)+IFERROR('9月'!CZ38,0)+IFERROR('10月'!CZ38,0)+IFERROR('11月'!CZ38,0)+IFERROR('12月'!CZ38,0)</f>
        <v>0</v>
      </c>
      <c r="S24" s="80">
        <f>IFERROR('1月'!CZ39,0)+IFERROR('2月'!CZ39,0)+IFERROR('3月'!CZ39,0)+IFERROR('4月'!CZ39,0)+IFERROR('5月'!CZ39,0)+IFERROR('6月'!CZ39,0)+IFERROR('7月'!CZ39,0)+IFERROR('8月'!CZ39,0)+IFERROR('9月'!CZ39,0)+IFERROR('10月'!CZ39,0)+IFERROR('11月'!CZ39,0)+IFERROR('12月'!CZ39,0)</f>
        <v>0</v>
      </c>
      <c r="T24" s="81">
        <f>IFERROR('1月'!CZ40,0)+IFERROR('2月'!CZ40,0)+IFERROR('3月'!CZ40,0)+IFERROR('4月'!CZ40,0)+IFERROR('5月'!CZ40,0)+IFERROR('6月'!CZ40,0)+IFERROR('7月'!CZ40,0)+IFERROR('8月'!CZ40,0)+IFERROR('9月'!CZ40,0)+IFERROR('10月'!CZ40,0)+IFERROR('11月'!CZ40,0)+IFERROR('12月'!CZ40,0)</f>
        <v>0</v>
      </c>
    </row>
    <row r="25" spans="1:20" ht="19.5" customHeight="1">
      <c r="A25" s="76">
        <v>22</v>
      </c>
      <c r="B25" s="77">
        <f>IFERROR(従業員マスタ!$C$25,"")</f>
        <v>0</v>
      </c>
      <c r="C25" s="76">
        <f>IFERROR('1月'!DE37,0)</f>
        <v>0</v>
      </c>
      <c r="D25" s="76">
        <f>IFERROR('2月'!DE37,0)</f>
        <v>0</v>
      </c>
      <c r="E25" s="76">
        <f>IFERROR('3月'!DE37,0)</f>
        <v>0</v>
      </c>
      <c r="F25" s="76">
        <f>IFERROR('4月'!DE37,0)</f>
        <v>0</v>
      </c>
      <c r="G25" s="76">
        <f>IFERROR('5月'!DE37,0)</f>
        <v>0</v>
      </c>
      <c r="H25" s="76">
        <f>IFERROR('6月'!DE37,0)</f>
        <v>0</v>
      </c>
      <c r="I25" s="76">
        <f>IFERROR('7月'!DE37,0)</f>
        <v>0</v>
      </c>
      <c r="J25" s="76">
        <f>IFERROR('8月'!DE37,0)</f>
        <v>0</v>
      </c>
      <c r="K25" s="76">
        <f>IFERROR('9月'!DE37,0)</f>
        <v>0</v>
      </c>
      <c r="L25" s="76">
        <f>IFERROR('10月'!DE37,0)</f>
        <v>0</v>
      </c>
      <c r="M25" s="76">
        <f>IFERROR('11月'!DE37,0)</f>
        <v>0</v>
      </c>
      <c r="N25" s="76">
        <f>IFERROR('12月'!DE37,0)</f>
        <v>0</v>
      </c>
      <c r="O25" s="78">
        <f>IFERROR('1月'!DE35,0)+IFERROR('2月'!DE35,0)+IFERROR('3月'!DE35,0)+IFERROR('4月'!DE35,0)+IFERROR('5月'!DE35,0)+IFERROR('6月'!DE35,0)+IFERROR('7月'!DE35,0)+IFERROR('8月'!DE35,0)+IFERROR('9月'!DE35,0)+IFERROR('10月'!DE35,0)+IFERROR('11月'!DE35,0)+IFERROR('12月'!DE35,0)</f>
        <v>0</v>
      </c>
      <c r="P25" s="64">
        <f>IFERROR('1月'!DE36,0)+IFERROR('2月'!DE36,0)+IFERROR('3月'!DE36,0)+IFERROR('4月'!DE36,0)+IFERROR('5月'!DE36,0)+IFERROR('6月'!DE36,0)+IFERROR('7月'!DE36,0)+IFERROR('8月'!DE36,0)+IFERROR('9月'!DE36,0)+IFERROR('10月'!DE36,0)+IFERROR('11月'!DE36,0)+IFERROR('12月'!DE36,0)</f>
        <v>0</v>
      </c>
      <c r="Q25" s="79">
        <f t="shared" si="0"/>
        <v>0</v>
      </c>
      <c r="R25" s="78">
        <f>IFERROR('1月'!DE38,0)+IFERROR('2月'!DE38,0)+IFERROR('3月'!DE38,0)+IFERROR('4月'!DE38,0)+IFERROR('5月'!DE38,0)+IFERROR('6月'!DE38,0)+IFERROR('7月'!DE38,0)+IFERROR('8月'!DE38,0)+IFERROR('9月'!DE38,0)+IFERROR('10月'!DE38,0)+IFERROR('11月'!DE38,0)+IFERROR('12月'!DE38,0)</f>
        <v>0</v>
      </c>
      <c r="S25" s="80">
        <f>IFERROR('1月'!DE39,0)+IFERROR('2月'!DE39,0)+IFERROR('3月'!DE39,0)+IFERROR('4月'!DE39,0)+IFERROR('5月'!DE39,0)+IFERROR('6月'!DE39,0)+IFERROR('7月'!DE39,0)+IFERROR('8月'!DE39,0)+IFERROR('9月'!DE39,0)+IFERROR('10月'!DE39,0)+IFERROR('11月'!DE39,0)+IFERROR('12月'!DE39,0)</f>
        <v>0</v>
      </c>
      <c r="T25" s="81">
        <f>IFERROR('1月'!DE40,0)+IFERROR('2月'!DE40,0)+IFERROR('3月'!DE40,0)+IFERROR('4月'!DE40,0)+IFERROR('5月'!DE40,0)+IFERROR('6月'!DE40,0)+IFERROR('7月'!DE40,0)+IFERROR('8月'!DE40,0)+IFERROR('9月'!DE40,0)+IFERROR('10月'!DE40,0)+IFERROR('11月'!DE40,0)+IFERROR('12月'!DE40,0)</f>
        <v>0</v>
      </c>
    </row>
    <row r="26" spans="1:20" ht="19.5" customHeight="1">
      <c r="A26" s="76">
        <v>23</v>
      </c>
      <c r="B26" s="77">
        <f>IFERROR(従業員マスタ!$C$26,"")</f>
        <v>0</v>
      </c>
      <c r="C26" s="76">
        <f>IFERROR('1月'!DJ37,0)</f>
        <v>0</v>
      </c>
      <c r="D26" s="76">
        <f>IFERROR('2月'!DJ37,0)</f>
        <v>0</v>
      </c>
      <c r="E26" s="76">
        <f>IFERROR('3月'!DJ37,0)</f>
        <v>0</v>
      </c>
      <c r="F26" s="76">
        <f>IFERROR('4月'!DJ37,0)</f>
        <v>0</v>
      </c>
      <c r="G26" s="76">
        <f>IFERROR('5月'!DJ37,0)</f>
        <v>0</v>
      </c>
      <c r="H26" s="76">
        <f>IFERROR('6月'!DJ37,0)</f>
        <v>0</v>
      </c>
      <c r="I26" s="76">
        <f>IFERROR('7月'!DJ37,0)</f>
        <v>0</v>
      </c>
      <c r="J26" s="76">
        <f>IFERROR('8月'!DJ37,0)</f>
        <v>0</v>
      </c>
      <c r="K26" s="76">
        <f>IFERROR('9月'!DJ37,0)</f>
        <v>0</v>
      </c>
      <c r="L26" s="76">
        <f>IFERROR('10月'!DJ37,0)</f>
        <v>0</v>
      </c>
      <c r="M26" s="76">
        <f>IFERROR('11月'!DJ37,0)</f>
        <v>0</v>
      </c>
      <c r="N26" s="76">
        <f>IFERROR('12月'!DJ37,0)</f>
        <v>0</v>
      </c>
      <c r="O26" s="78">
        <f>IFERROR('1月'!DJ35,0)+IFERROR('2月'!DJ35,0)+IFERROR('3月'!DJ35,0)+IFERROR('4月'!DJ35,0)+IFERROR('5月'!DJ35,0)+IFERROR('6月'!DJ35,0)+IFERROR('7月'!DJ35,0)+IFERROR('8月'!DJ35,0)+IFERROR('9月'!DJ35,0)+IFERROR('10月'!DJ35,0)+IFERROR('11月'!DJ35,0)+IFERROR('12月'!DJ35,0)</f>
        <v>0</v>
      </c>
      <c r="P26" s="64">
        <f>IFERROR('1月'!DJ36,0)+IFERROR('2月'!DJ36,0)+IFERROR('3月'!DJ36,0)+IFERROR('4月'!DJ36,0)+IFERROR('5月'!DJ36,0)+IFERROR('6月'!DJ36,0)+IFERROR('7月'!DJ36,0)+IFERROR('8月'!DJ36,0)+IFERROR('9月'!DJ36,0)+IFERROR('10月'!DJ36,0)+IFERROR('11月'!DJ36,0)+IFERROR('12月'!DJ36,0)</f>
        <v>0</v>
      </c>
      <c r="Q26" s="79">
        <f t="shared" si="0"/>
        <v>0</v>
      </c>
      <c r="R26" s="78">
        <f>IFERROR('1月'!DJ38,0)+IFERROR('2月'!DJ38,0)+IFERROR('3月'!DJ38,0)+IFERROR('4月'!DJ38,0)+IFERROR('5月'!DJ38,0)+IFERROR('6月'!DJ38,0)+IFERROR('7月'!DJ38,0)+IFERROR('8月'!DJ38,0)+IFERROR('9月'!DJ38,0)+IFERROR('10月'!DJ38,0)+IFERROR('11月'!DJ38,0)+IFERROR('12月'!DJ38,0)</f>
        <v>0</v>
      </c>
      <c r="S26" s="80">
        <f>IFERROR('1月'!DJ39,0)+IFERROR('2月'!DJ39,0)+IFERROR('3月'!DJ39,0)+IFERROR('4月'!DJ39,0)+IFERROR('5月'!DJ39,0)+IFERROR('6月'!DJ39,0)+IFERROR('7月'!DJ39,0)+IFERROR('8月'!DJ39,0)+IFERROR('9月'!DJ39,0)+IFERROR('10月'!DJ39,0)+IFERROR('11月'!DJ39,0)+IFERROR('12月'!DJ39,0)</f>
        <v>0</v>
      </c>
      <c r="T26" s="81">
        <f>IFERROR('1月'!DJ40,0)+IFERROR('2月'!DJ40,0)+IFERROR('3月'!DJ40,0)+IFERROR('4月'!DJ40,0)+IFERROR('5月'!DJ40,0)+IFERROR('6月'!DJ40,0)+IFERROR('7月'!DJ40,0)+IFERROR('8月'!DJ40,0)+IFERROR('9月'!DJ40,0)+IFERROR('10月'!DJ40,0)+IFERROR('11月'!DJ40,0)+IFERROR('12月'!DJ40,0)</f>
        <v>0</v>
      </c>
    </row>
    <row r="27" spans="1:20" ht="19.5" customHeight="1">
      <c r="A27" s="76">
        <v>24</v>
      </c>
      <c r="B27" s="77">
        <f>IFERROR(従業員マスタ!$C$27,"")</f>
        <v>0</v>
      </c>
      <c r="C27" s="76">
        <f>IFERROR('1月'!DO37,0)</f>
        <v>0</v>
      </c>
      <c r="D27" s="76">
        <f>IFERROR('2月'!DO37,0)</f>
        <v>0</v>
      </c>
      <c r="E27" s="76">
        <f>IFERROR('3月'!DO37,0)</f>
        <v>0</v>
      </c>
      <c r="F27" s="76">
        <f>IFERROR('4月'!DO37,0)</f>
        <v>0</v>
      </c>
      <c r="G27" s="76">
        <f>IFERROR('5月'!DO37,0)</f>
        <v>0</v>
      </c>
      <c r="H27" s="76">
        <f>IFERROR('6月'!DO37,0)</f>
        <v>0</v>
      </c>
      <c r="I27" s="76">
        <f>IFERROR('7月'!DO37,0)</f>
        <v>0</v>
      </c>
      <c r="J27" s="76">
        <f>IFERROR('8月'!DO37,0)</f>
        <v>0</v>
      </c>
      <c r="K27" s="76">
        <f>IFERROR('9月'!DO37,0)</f>
        <v>0</v>
      </c>
      <c r="L27" s="76">
        <f>IFERROR('10月'!DO37,0)</f>
        <v>0</v>
      </c>
      <c r="M27" s="76">
        <f>IFERROR('11月'!DO37,0)</f>
        <v>0</v>
      </c>
      <c r="N27" s="76">
        <f>IFERROR('12月'!DO37,0)</f>
        <v>0</v>
      </c>
      <c r="O27" s="78">
        <f>IFERROR('1月'!DO35,0)+IFERROR('2月'!DO35,0)+IFERROR('3月'!DO35,0)+IFERROR('4月'!DO35,0)+IFERROR('5月'!DO35,0)+IFERROR('6月'!DO35,0)+IFERROR('7月'!DO35,0)+IFERROR('8月'!DO35,0)+IFERROR('9月'!DO35,0)+IFERROR('10月'!DO35,0)+IFERROR('11月'!DO35,0)+IFERROR('12月'!DO35,0)</f>
        <v>0</v>
      </c>
      <c r="P27" s="64">
        <f>IFERROR('1月'!DO36,0)+IFERROR('2月'!DO36,0)+IFERROR('3月'!DO36,0)+IFERROR('4月'!DO36,0)+IFERROR('5月'!DO36,0)+IFERROR('6月'!DO36,0)+IFERROR('7月'!DO36,0)+IFERROR('8月'!DO36,0)+IFERROR('9月'!DO36,0)+IFERROR('10月'!DO36,0)+IFERROR('11月'!DO36,0)+IFERROR('12月'!DO36,0)</f>
        <v>0</v>
      </c>
      <c r="Q27" s="79">
        <f t="shared" si="0"/>
        <v>0</v>
      </c>
      <c r="R27" s="78">
        <f>IFERROR('1月'!DO38,0)+IFERROR('2月'!DO38,0)+IFERROR('3月'!DO38,0)+IFERROR('4月'!DO38,0)+IFERROR('5月'!DO38,0)+IFERROR('6月'!DO38,0)+IFERROR('7月'!DO38,0)+IFERROR('8月'!DO38,0)+IFERROR('9月'!DO38,0)+IFERROR('10月'!DO38,0)+IFERROR('11月'!DO38,0)+IFERROR('12月'!DO38,0)</f>
        <v>0</v>
      </c>
      <c r="S27" s="80">
        <f>IFERROR('1月'!DO39,0)+IFERROR('2月'!DO39,0)+IFERROR('3月'!DO39,0)+IFERROR('4月'!DO39,0)+IFERROR('5月'!DO39,0)+IFERROR('6月'!DO39,0)+IFERROR('7月'!DO39,0)+IFERROR('8月'!DO39,0)+IFERROR('9月'!DO39,0)+IFERROR('10月'!DO39,0)+IFERROR('11月'!DO39,0)+IFERROR('12月'!DO39,0)</f>
        <v>0</v>
      </c>
      <c r="T27" s="81">
        <f>IFERROR('1月'!DO40,0)+IFERROR('2月'!DO40,0)+IFERROR('3月'!DO40,0)+IFERROR('4月'!DO40,0)+IFERROR('5月'!DO40,0)+IFERROR('6月'!DO40,0)+IFERROR('7月'!DO40,0)+IFERROR('8月'!DO40,0)+IFERROR('9月'!DO40,0)+IFERROR('10月'!DO40,0)+IFERROR('11月'!DO40,0)+IFERROR('12月'!DO40,0)</f>
        <v>0</v>
      </c>
    </row>
    <row r="28" spans="1:20" ht="19.5" customHeight="1">
      <c r="A28" s="76">
        <v>25</v>
      </c>
      <c r="B28" s="77">
        <f>IFERROR(従業員マスタ!$C$28,"")</f>
        <v>0</v>
      </c>
      <c r="C28" s="76">
        <f>IFERROR('1月'!DT37,0)</f>
        <v>0</v>
      </c>
      <c r="D28" s="76">
        <f>IFERROR('2月'!DT37,0)</f>
        <v>0</v>
      </c>
      <c r="E28" s="76">
        <f>IFERROR('3月'!DT37,0)</f>
        <v>0</v>
      </c>
      <c r="F28" s="76">
        <f>IFERROR('4月'!DT37,0)</f>
        <v>0</v>
      </c>
      <c r="G28" s="76">
        <f>IFERROR('5月'!DT37,0)</f>
        <v>0</v>
      </c>
      <c r="H28" s="76">
        <f>IFERROR('6月'!DT37,0)</f>
        <v>0</v>
      </c>
      <c r="I28" s="76">
        <f>IFERROR('7月'!DT37,0)</f>
        <v>0</v>
      </c>
      <c r="J28" s="76">
        <f>IFERROR('8月'!DT37,0)</f>
        <v>0</v>
      </c>
      <c r="K28" s="76">
        <f>IFERROR('9月'!DT37,0)</f>
        <v>0</v>
      </c>
      <c r="L28" s="76">
        <f>IFERROR('10月'!DT37,0)</f>
        <v>0</v>
      </c>
      <c r="M28" s="76">
        <f>IFERROR('11月'!DT37,0)</f>
        <v>0</v>
      </c>
      <c r="N28" s="76">
        <f>IFERROR('12月'!DT37,0)</f>
        <v>0</v>
      </c>
      <c r="O28" s="78">
        <f>IFERROR('1月'!DT35,0)+IFERROR('2月'!DT35,0)+IFERROR('3月'!DT35,0)+IFERROR('4月'!DT35,0)+IFERROR('5月'!DT35,0)+IFERROR('6月'!DT35,0)+IFERROR('7月'!DT35,0)+IFERROR('8月'!DT35,0)+IFERROR('9月'!DT35,0)+IFERROR('10月'!DT35,0)+IFERROR('11月'!DT35,0)+IFERROR('12月'!DT35,0)</f>
        <v>0</v>
      </c>
      <c r="P28" s="64">
        <f>IFERROR('1月'!DT36,0)+IFERROR('2月'!DT36,0)+IFERROR('3月'!DT36,0)+IFERROR('4月'!DT36,0)+IFERROR('5月'!DT36,0)+IFERROR('6月'!DT36,0)+IFERROR('7月'!DT36,0)+IFERROR('8月'!DT36,0)+IFERROR('9月'!DT36,0)+IFERROR('10月'!DT36,0)+IFERROR('11月'!DT36,0)+IFERROR('12月'!DT36,0)</f>
        <v>0</v>
      </c>
      <c r="Q28" s="79">
        <f t="shared" si="0"/>
        <v>0</v>
      </c>
      <c r="R28" s="78">
        <f>IFERROR('1月'!DT38,0)+IFERROR('2月'!DT38,0)+IFERROR('3月'!DT38,0)+IFERROR('4月'!DT38,0)+IFERROR('5月'!DT38,0)+IFERROR('6月'!DT38,0)+IFERROR('7月'!DT38,0)+IFERROR('8月'!DT38,0)+IFERROR('9月'!DT38,0)+IFERROR('10月'!DT38,0)+IFERROR('11月'!DT38,0)+IFERROR('12月'!DT38,0)</f>
        <v>0</v>
      </c>
      <c r="S28" s="80">
        <f>IFERROR('1月'!DT39,0)+IFERROR('2月'!DT39,0)+IFERROR('3月'!DT39,0)+IFERROR('4月'!DT39,0)+IFERROR('5月'!DT39,0)+IFERROR('6月'!DT39,0)+IFERROR('7月'!DT39,0)+IFERROR('8月'!DT39,0)+IFERROR('9月'!DT39,0)+IFERROR('10月'!DT39,0)+IFERROR('11月'!DT39,0)+IFERROR('12月'!DT39,0)</f>
        <v>0</v>
      </c>
      <c r="T28" s="81">
        <f>IFERROR('1月'!DT40,0)+IFERROR('2月'!DT40,0)+IFERROR('3月'!DT40,0)+IFERROR('4月'!DT40,0)+IFERROR('5月'!DT40,0)+IFERROR('6月'!DT40,0)+IFERROR('7月'!DT40,0)+IFERROR('8月'!DT40,0)+IFERROR('9月'!DT40,0)+IFERROR('10月'!DT40,0)+IFERROR('11月'!DT40,0)+IFERROR('12月'!DT40,0)</f>
        <v>0</v>
      </c>
    </row>
    <row r="29" spans="1:20" ht="19.5" customHeight="1">
      <c r="A29" s="76">
        <v>26</v>
      </c>
      <c r="B29" s="77">
        <f>IFERROR(従業員マスタ!$C$29,"")</f>
        <v>0</v>
      </c>
      <c r="C29" s="76">
        <f>IFERROR('1月'!DY37,0)</f>
        <v>0</v>
      </c>
      <c r="D29" s="76">
        <f>IFERROR('2月'!DY37,0)</f>
        <v>0</v>
      </c>
      <c r="E29" s="76">
        <f>IFERROR('3月'!DY37,0)</f>
        <v>0</v>
      </c>
      <c r="F29" s="76">
        <f>IFERROR('4月'!DY37,0)</f>
        <v>0</v>
      </c>
      <c r="G29" s="76">
        <f>IFERROR('5月'!DY37,0)</f>
        <v>0</v>
      </c>
      <c r="H29" s="76">
        <f>IFERROR('6月'!DY37,0)</f>
        <v>0</v>
      </c>
      <c r="I29" s="76">
        <f>IFERROR('7月'!DY37,0)</f>
        <v>0</v>
      </c>
      <c r="J29" s="76">
        <f>IFERROR('8月'!DY37,0)</f>
        <v>0</v>
      </c>
      <c r="K29" s="76">
        <f>IFERROR('9月'!DY37,0)</f>
        <v>0</v>
      </c>
      <c r="L29" s="76">
        <f>IFERROR('10月'!DY37,0)</f>
        <v>0</v>
      </c>
      <c r="M29" s="76">
        <f>IFERROR('11月'!DY37,0)</f>
        <v>0</v>
      </c>
      <c r="N29" s="76">
        <f>IFERROR('12月'!DY37,0)</f>
        <v>0</v>
      </c>
      <c r="O29" s="78">
        <f>IFERROR('1月'!DY35,0)+IFERROR('2月'!DY35,0)+IFERROR('3月'!DY35,0)+IFERROR('4月'!DY35,0)+IFERROR('5月'!DY35,0)+IFERROR('6月'!DY35,0)+IFERROR('7月'!DY35,0)+IFERROR('8月'!DY35,0)+IFERROR('9月'!DY35,0)+IFERROR('10月'!DY35,0)+IFERROR('11月'!DY35,0)+IFERROR('12月'!DY35,0)</f>
        <v>0</v>
      </c>
      <c r="P29" s="64">
        <f>IFERROR('1月'!DY36,0)+IFERROR('2月'!DY36,0)+IFERROR('3月'!DY36,0)+IFERROR('4月'!DY36,0)+IFERROR('5月'!DY36,0)+IFERROR('6月'!DY36,0)+IFERROR('7月'!DY36,0)+IFERROR('8月'!DY36,0)+IFERROR('9月'!DY36,0)+IFERROR('10月'!DY36,0)+IFERROR('11月'!DY36,0)+IFERROR('12月'!DY36,0)</f>
        <v>0</v>
      </c>
      <c r="Q29" s="79">
        <f t="shared" si="0"/>
        <v>0</v>
      </c>
      <c r="R29" s="78">
        <f>IFERROR('1月'!DY38,0)+IFERROR('2月'!DY38,0)+IFERROR('3月'!DY38,0)+IFERROR('4月'!DY38,0)+IFERROR('5月'!DY38,0)+IFERROR('6月'!DY38,0)+IFERROR('7月'!DY38,0)+IFERROR('8月'!DY38,0)+IFERROR('9月'!DY38,0)+IFERROR('10月'!DY38,0)+IFERROR('11月'!DY38,0)+IFERROR('12月'!DY38,0)</f>
        <v>0</v>
      </c>
      <c r="S29" s="80">
        <f>IFERROR('1月'!DY39,0)+IFERROR('2月'!DY39,0)+IFERROR('3月'!DY39,0)+IFERROR('4月'!DY39,0)+IFERROR('5月'!DY39,0)+IFERROR('6月'!DY39,0)+IFERROR('7月'!DY39,0)+IFERROR('8月'!DY39,0)+IFERROR('9月'!DY39,0)+IFERROR('10月'!DY39,0)+IFERROR('11月'!DY39,0)+IFERROR('12月'!DY39,0)</f>
        <v>0</v>
      </c>
      <c r="T29" s="81">
        <f>IFERROR('1月'!DY40,0)+IFERROR('2月'!DY40,0)+IFERROR('3月'!DY40,0)+IFERROR('4月'!DY40,0)+IFERROR('5月'!DY40,0)+IFERROR('6月'!DY40,0)+IFERROR('7月'!DY40,0)+IFERROR('8月'!DY40,0)+IFERROR('9月'!DY40,0)+IFERROR('10月'!DY40,0)+IFERROR('11月'!DY40,0)+IFERROR('12月'!DY40,0)</f>
        <v>0</v>
      </c>
    </row>
    <row r="30" spans="1:20" ht="19.5" customHeight="1">
      <c r="A30" s="76">
        <v>27</v>
      </c>
      <c r="B30" s="77">
        <f>IFERROR(従業員マスタ!$C$30,"")</f>
        <v>0</v>
      </c>
      <c r="C30" s="76">
        <f>IFERROR('1月'!ED37,0)</f>
        <v>0</v>
      </c>
      <c r="D30" s="76">
        <f>IFERROR('2月'!ED37,0)</f>
        <v>0</v>
      </c>
      <c r="E30" s="76">
        <f>IFERROR('3月'!ED37,0)</f>
        <v>0</v>
      </c>
      <c r="F30" s="76">
        <f>IFERROR('4月'!ED37,0)</f>
        <v>0</v>
      </c>
      <c r="G30" s="76">
        <f>IFERROR('5月'!ED37,0)</f>
        <v>0</v>
      </c>
      <c r="H30" s="76">
        <f>IFERROR('6月'!ED37,0)</f>
        <v>0</v>
      </c>
      <c r="I30" s="76">
        <f>IFERROR('7月'!ED37,0)</f>
        <v>0</v>
      </c>
      <c r="J30" s="76">
        <f>IFERROR('8月'!ED37,0)</f>
        <v>0</v>
      </c>
      <c r="K30" s="76">
        <f>IFERROR('9月'!ED37,0)</f>
        <v>0</v>
      </c>
      <c r="L30" s="76">
        <f>IFERROR('10月'!ED37,0)</f>
        <v>0</v>
      </c>
      <c r="M30" s="76">
        <f>IFERROR('11月'!ED37,0)</f>
        <v>0</v>
      </c>
      <c r="N30" s="76">
        <f>IFERROR('12月'!ED37,0)</f>
        <v>0</v>
      </c>
      <c r="O30" s="78">
        <f>IFERROR('1月'!ED35,0)+IFERROR('2月'!ED35,0)+IFERROR('3月'!ED35,0)+IFERROR('4月'!ED35,0)+IFERROR('5月'!ED35,0)+IFERROR('6月'!ED35,0)+IFERROR('7月'!ED35,0)+IFERROR('8月'!ED35,0)+IFERROR('9月'!ED35,0)+IFERROR('10月'!ED35,0)+IFERROR('11月'!ED35,0)+IFERROR('12月'!ED35,0)</f>
        <v>0</v>
      </c>
      <c r="P30" s="64">
        <f>IFERROR('1月'!ED36,0)+IFERROR('2月'!ED36,0)+IFERROR('3月'!ED36,0)+IFERROR('4月'!ED36,0)+IFERROR('5月'!ED36,0)+IFERROR('6月'!ED36,0)+IFERROR('7月'!ED36,0)+IFERROR('8月'!ED36,0)+IFERROR('9月'!ED36,0)+IFERROR('10月'!ED36,0)+IFERROR('11月'!ED36,0)+IFERROR('12月'!ED36,0)</f>
        <v>0</v>
      </c>
      <c r="Q30" s="79">
        <f t="shared" si="0"/>
        <v>0</v>
      </c>
      <c r="R30" s="78">
        <f>IFERROR('1月'!ED38,0)+IFERROR('2月'!ED38,0)+IFERROR('3月'!ED38,0)+IFERROR('4月'!ED38,0)+IFERROR('5月'!ED38,0)+IFERROR('6月'!ED38,0)+IFERROR('7月'!ED38,0)+IFERROR('8月'!ED38,0)+IFERROR('9月'!ED38,0)+IFERROR('10月'!ED38,0)+IFERROR('11月'!ED38,0)+IFERROR('12月'!ED38,0)</f>
        <v>0</v>
      </c>
      <c r="S30" s="80">
        <f>IFERROR('1月'!ED39,0)+IFERROR('2月'!ED39,0)+IFERROR('3月'!ED39,0)+IFERROR('4月'!ED39,0)+IFERROR('5月'!ED39,0)+IFERROR('6月'!ED39,0)+IFERROR('7月'!ED39,0)+IFERROR('8月'!ED39,0)+IFERROR('9月'!ED39,0)+IFERROR('10月'!ED39,0)+IFERROR('11月'!ED39,0)+IFERROR('12月'!ED39,0)</f>
        <v>0</v>
      </c>
      <c r="T30" s="81">
        <f>IFERROR('1月'!ED40,0)+IFERROR('2月'!ED40,0)+IFERROR('3月'!ED40,0)+IFERROR('4月'!ED40,0)+IFERROR('5月'!ED40,0)+IFERROR('6月'!ED40,0)+IFERROR('7月'!ED40,0)+IFERROR('8月'!ED40,0)+IFERROR('9月'!ED40,0)+IFERROR('10月'!ED40,0)+IFERROR('11月'!ED40,0)+IFERROR('12月'!ED40,0)</f>
        <v>0</v>
      </c>
    </row>
    <row r="31" spans="1:20" ht="19.5" customHeight="1">
      <c r="A31" s="76">
        <v>28</v>
      </c>
      <c r="B31" s="77">
        <f>IFERROR(従業員マスタ!$C$31,"")</f>
        <v>0</v>
      </c>
      <c r="C31" s="76">
        <f>IFERROR('1月'!EI37,0)</f>
        <v>0</v>
      </c>
      <c r="D31" s="76">
        <f>IFERROR('2月'!EI37,0)</f>
        <v>0</v>
      </c>
      <c r="E31" s="76">
        <f>IFERROR('3月'!EI37,0)</f>
        <v>0</v>
      </c>
      <c r="F31" s="76">
        <f>IFERROR('4月'!EI37,0)</f>
        <v>0</v>
      </c>
      <c r="G31" s="76">
        <f>IFERROR('5月'!EI37,0)</f>
        <v>0</v>
      </c>
      <c r="H31" s="76">
        <f>IFERROR('6月'!EI37,0)</f>
        <v>0</v>
      </c>
      <c r="I31" s="76">
        <f>IFERROR('7月'!EI37,0)</f>
        <v>0</v>
      </c>
      <c r="J31" s="76">
        <f>IFERROR('8月'!EI37,0)</f>
        <v>0</v>
      </c>
      <c r="K31" s="76">
        <f>IFERROR('9月'!EI37,0)</f>
        <v>0</v>
      </c>
      <c r="L31" s="76">
        <f>IFERROR('10月'!EI37,0)</f>
        <v>0</v>
      </c>
      <c r="M31" s="76">
        <f>IFERROR('11月'!EI37,0)</f>
        <v>0</v>
      </c>
      <c r="N31" s="76">
        <f>IFERROR('12月'!EI37,0)</f>
        <v>0</v>
      </c>
      <c r="O31" s="78">
        <f>IFERROR('1月'!EI35,0)+IFERROR('2月'!EI35,0)+IFERROR('3月'!EI35,0)+IFERROR('4月'!EI35,0)+IFERROR('5月'!EI35,0)+IFERROR('6月'!EI35,0)+IFERROR('7月'!EI35,0)+IFERROR('8月'!EI35,0)+IFERROR('9月'!EI35,0)+IFERROR('10月'!EI35,0)+IFERROR('11月'!EI35,0)+IFERROR('12月'!EI35,0)</f>
        <v>0</v>
      </c>
      <c r="P31" s="64">
        <f>IFERROR('1月'!EI36,0)+IFERROR('2月'!EI36,0)+IFERROR('3月'!EI36,0)+IFERROR('4月'!EI36,0)+IFERROR('5月'!EI36,0)+IFERROR('6月'!EI36,0)+IFERROR('7月'!EI36,0)+IFERROR('8月'!EI36,0)+IFERROR('9月'!EI36,0)+IFERROR('10月'!EI36,0)+IFERROR('11月'!EI36,0)+IFERROR('12月'!EI36,0)</f>
        <v>0</v>
      </c>
      <c r="Q31" s="79">
        <f t="shared" si="0"/>
        <v>0</v>
      </c>
      <c r="R31" s="78">
        <f>IFERROR('1月'!EI38,0)+IFERROR('2月'!EI38,0)+IFERROR('3月'!EI38,0)+IFERROR('4月'!EI38,0)+IFERROR('5月'!EI38,0)+IFERROR('6月'!EI38,0)+IFERROR('7月'!EI38,0)+IFERROR('8月'!EI38,0)+IFERROR('9月'!EI38,0)+IFERROR('10月'!EI38,0)+IFERROR('11月'!EI38,0)+IFERROR('12月'!EI38,0)</f>
        <v>0</v>
      </c>
      <c r="S31" s="80">
        <f>IFERROR('1月'!EI39,0)+IFERROR('2月'!EI39,0)+IFERROR('3月'!EI39,0)+IFERROR('4月'!EI39,0)+IFERROR('5月'!EI39,0)+IFERROR('6月'!EI39,0)+IFERROR('7月'!EI39,0)+IFERROR('8月'!EI39,0)+IFERROR('9月'!EI39,0)+IFERROR('10月'!EI39,0)+IFERROR('11月'!EI39,0)+IFERROR('12月'!EI39,0)</f>
        <v>0</v>
      </c>
      <c r="T31" s="81">
        <f>IFERROR('1月'!EI40,0)+IFERROR('2月'!EI40,0)+IFERROR('3月'!EI40,0)+IFERROR('4月'!EI40,0)+IFERROR('5月'!EI40,0)+IFERROR('6月'!EI40,0)+IFERROR('7月'!EI40,0)+IFERROR('8月'!EI40,0)+IFERROR('9月'!EI40,0)+IFERROR('10月'!EI40,0)+IFERROR('11月'!EI40,0)+IFERROR('12月'!EI40,0)</f>
        <v>0</v>
      </c>
    </row>
    <row r="32" spans="1:20" ht="19.5" customHeight="1">
      <c r="A32" s="76">
        <v>29</v>
      </c>
      <c r="B32" s="77">
        <f>IFERROR(従業員マスタ!$C$32,"")</f>
        <v>0</v>
      </c>
      <c r="C32" s="76">
        <f>IFERROR('1月'!EN37,0)</f>
        <v>0</v>
      </c>
      <c r="D32" s="76">
        <f>IFERROR('2月'!EN37,0)</f>
        <v>0</v>
      </c>
      <c r="E32" s="76">
        <f>IFERROR('3月'!EN37,0)</f>
        <v>0</v>
      </c>
      <c r="F32" s="76">
        <f>IFERROR('4月'!EN37,0)</f>
        <v>0</v>
      </c>
      <c r="G32" s="76">
        <f>IFERROR('5月'!EN37,0)</f>
        <v>0</v>
      </c>
      <c r="H32" s="76">
        <f>IFERROR('6月'!EN37,0)</f>
        <v>0</v>
      </c>
      <c r="I32" s="76">
        <f>IFERROR('7月'!EN37,0)</f>
        <v>0</v>
      </c>
      <c r="J32" s="76">
        <f>IFERROR('8月'!EN37,0)</f>
        <v>0</v>
      </c>
      <c r="K32" s="76">
        <f>IFERROR('9月'!EN37,0)</f>
        <v>0</v>
      </c>
      <c r="L32" s="76">
        <f>IFERROR('10月'!EN37,0)</f>
        <v>0</v>
      </c>
      <c r="M32" s="76">
        <f>IFERROR('11月'!EN37,0)</f>
        <v>0</v>
      </c>
      <c r="N32" s="76">
        <f>IFERROR('12月'!EN37,0)</f>
        <v>0</v>
      </c>
      <c r="O32" s="78">
        <f>IFERROR('1月'!EN35,0)+IFERROR('2月'!EN35,0)+IFERROR('3月'!EN35,0)+IFERROR('4月'!EN35,0)+IFERROR('5月'!EN35,0)+IFERROR('6月'!EN35,0)+IFERROR('7月'!EN35,0)+IFERROR('8月'!EN35,0)+IFERROR('9月'!EN35,0)+IFERROR('10月'!EN35,0)+IFERROR('11月'!EN35,0)+IFERROR('12月'!EN35,0)</f>
        <v>0</v>
      </c>
      <c r="P32" s="64">
        <f>IFERROR('1月'!EN36,0)+IFERROR('2月'!EN36,0)+IFERROR('3月'!EN36,0)+IFERROR('4月'!EN36,0)+IFERROR('5月'!EN36,0)+IFERROR('6月'!EN36,0)+IFERROR('7月'!EN36,0)+IFERROR('8月'!EN36,0)+IFERROR('9月'!EN36,0)+IFERROR('10月'!EN36,0)+IFERROR('11月'!EN36,0)+IFERROR('12月'!EN36,0)</f>
        <v>0</v>
      </c>
      <c r="Q32" s="79">
        <f t="shared" si="0"/>
        <v>0</v>
      </c>
      <c r="R32" s="78">
        <f>IFERROR('1月'!EN38,0)+IFERROR('2月'!EN38,0)+IFERROR('3月'!EN38,0)+IFERROR('4月'!EN38,0)+IFERROR('5月'!EN38,0)+IFERROR('6月'!EN38,0)+IFERROR('7月'!EN38,0)+IFERROR('8月'!EN38,0)+IFERROR('9月'!EN38,0)+IFERROR('10月'!EN38,0)+IFERROR('11月'!EN38,0)+IFERROR('12月'!EN38,0)</f>
        <v>0</v>
      </c>
      <c r="S32" s="80">
        <f>IFERROR('1月'!EN39,0)+IFERROR('2月'!EN39,0)+IFERROR('3月'!EN39,0)+IFERROR('4月'!EN39,0)+IFERROR('5月'!EN39,0)+IFERROR('6月'!EN39,0)+IFERROR('7月'!EN39,0)+IFERROR('8月'!EN39,0)+IFERROR('9月'!EN39,0)+IFERROR('10月'!EN39,0)+IFERROR('11月'!EN39,0)+IFERROR('12月'!EN39,0)</f>
        <v>0</v>
      </c>
      <c r="T32" s="81">
        <f>IFERROR('1月'!EN40,0)+IFERROR('2月'!EN40,0)+IFERROR('3月'!EN40,0)+IFERROR('4月'!EN40,0)+IFERROR('5月'!EN40,0)+IFERROR('6月'!EN40,0)+IFERROR('7月'!EN40,0)+IFERROR('8月'!EN40,0)+IFERROR('9月'!EN40,0)+IFERROR('10月'!EN40,0)+IFERROR('11月'!EN40,0)+IFERROR('12月'!EN40,0)</f>
        <v>0</v>
      </c>
    </row>
    <row r="33" spans="1:20" ht="19.5" customHeight="1">
      <c r="A33" s="76">
        <v>30</v>
      </c>
      <c r="B33" s="77">
        <f>IFERROR(従業員マスタ!$C$33,"")</f>
        <v>0</v>
      </c>
      <c r="C33" s="76">
        <f>IFERROR('1月'!ES37,0)</f>
        <v>0</v>
      </c>
      <c r="D33" s="76">
        <f>IFERROR('2月'!ES37,0)</f>
        <v>0</v>
      </c>
      <c r="E33" s="76">
        <f>IFERROR('3月'!ES37,0)</f>
        <v>0</v>
      </c>
      <c r="F33" s="76">
        <f>IFERROR('4月'!ES37,0)</f>
        <v>0</v>
      </c>
      <c r="G33" s="76">
        <f>IFERROR('5月'!ES37,0)</f>
        <v>0</v>
      </c>
      <c r="H33" s="76">
        <f>IFERROR('6月'!ES37,0)</f>
        <v>0</v>
      </c>
      <c r="I33" s="76">
        <f>IFERROR('7月'!ES37,0)</f>
        <v>0</v>
      </c>
      <c r="J33" s="76">
        <f>IFERROR('8月'!ES37,0)</f>
        <v>0</v>
      </c>
      <c r="K33" s="76">
        <f>IFERROR('9月'!ES37,0)</f>
        <v>0</v>
      </c>
      <c r="L33" s="76">
        <f>IFERROR('10月'!ES37,0)</f>
        <v>0</v>
      </c>
      <c r="M33" s="76">
        <f>IFERROR('11月'!ES37,0)</f>
        <v>0</v>
      </c>
      <c r="N33" s="76">
        <f>IFERROR('12月'!ES37,0)</f>
        <v>0</v>
      </c>
      <c r="O33" s="78">
        <f>IFERROR('1月'!ES35,0)+IFERROR('2月'!ES35,0)+IFERROR('3月'!ES35,0)+IFERROR('4月'!ES35,0)+IFERROR('5月'!ES35,0)+IFERROR('6月'!ES35,0)+IFERROR('7月'!ES35,0)+IFERROR('8月'!ES35,0)+IFERROR('9月'!ES35,0)+IFERROR('10月'!ES35,0)+IFERROR('11月'!ES35,0)+IFERROR('12月'!ES35,0)</f>
        <v>0</v>
      </c>
      <c r="P33" s="64">
        <f>IFERROR('1月'!ES36,0)+IFERROR('2月'!ES36,0)+IFERROR('3月'!ES36,0)+IFERROR('4月'!ES36,0)+IFERROR('5月'!ES36,0)+IFERROR('6月'!ES36,0)+IFERROR('7月'!ES36,0)+IFERROR('8月'!ES36,0)+IFERROR('9月'!ES36,0)+IFERROR('10月'!ES36,0)+IFERROR('11月'!ES36,0)+IFERROR('12月'!ES36,0)</f>
        <v>0</v>
      </c>
      <c r="Q33" s="79">
        <f t="shared" si="0"/>
        <v>0</v>
      </c>
      <c r="R33" s="78">
        <f>IFERROR('1月'!ES38,0)+IFERROR('2月'!ES38,0)+IFERROR('3月'!ES38,0)+IFERROR('4月'!ES38,0)+IFERROR('5月'!ES38,0)+IFERROR('6月'!ES38,0)+IFERROR('7月'!ES38,0)+IFERROR('8月'!ES38,0)+IFERROR('9月'!ES38,0)+IFERROR('10月'!ES38,0)+IFERROR('11月'!ES38,0)+IFERROR('12月'!ES38,0)</f>
        <v>0</v>
      </c>
      <c r="S33" s="80">
        <f>IFERROR('1月'!ES39,0)+IFERROR('2月'!ES39,0)+IFERROR('3月'!ES39,0)+IFERROR('4月'!ES39,0)+IFERROR('5月'!ES39,0)+IFERROR('6月'!ES39,0)+IFERROR('7月'!ES39,0)+IFERROR('8月'!ES39,0)+IFERROR('9月'!ES39,0)+IFERROR('10月'!ES39,0)+IFERROR('11月'!ES39,0)+IFERROR('12月'!ES39,0)</f>
        <v>0</v>
      </c>
      <c r="T33" s="81">
        <f>IFERROR('1月'!ES40,0)+IFERROR('2月'!ES40,0)+IFERROR('3月'!ES40,0)+IFERROR('4月'!ES40,0)+IFERROR('5月'!ES40,0)+IFERROR('6月'!ES40,0)+IFERROR('7月'!ES40,0)+IFERROR('8月'!ES40,0)+IFERROR('9月'!ES40,0)+IFERROR('10月'!ES40,0)+IFERROR('11月'!ES40,0)+IFERROR('12月'!ES40,0)</f>
        <v>0</v>
      </c>
    </row>
    <row r="34" spans="1:20" ht="24" customHeight="1">
      <c r="A34" s="120"/>
      <c r="B34" s="120"/>
      <c r="C34" s="82">
        <f t="shared" ref="C34:T34" si="1">SUM(C4:C33)</f>
        <v>101</v>
      </c>
      <c r="D34" s="82">
        <f t="shared" si="1"/>
        <v>249</v>
      </c>
      <c r="E34" s="82">
        <f t="shared" si="1"/>
        <v>265</v>
      </c>
      <c r="F34" s="82">
        <f t="shared" si="1"/>
        <v>170</v>
      </c>
      <c r="G34" s="82">
        <f t="shared" si="1"/>
        <v>0</v>
      </c>
      <c r="H34" s="82">
        <f t="shared" si="1"/>
        <v>0</v>
      </c>
      <c r="I34" s="82">
        <f t="shared" si="1"/>
        <v>0</v>
      </c>
      <c r="J34" s="82">
        <f t="shared" si="1"/>
        <v>0</v>
      </c>
      <c r="K34" s="82">
        <f t="shared" si="1"/>
        <v>0</v>
      </c>
      <c r="L34" s="82">
        <f t="shared" si="1"/>
        <v>0</v>
      </c>
      <c r="M34" s="82">
        <f t="shared" si="1"/>
        <v>0</v>
      </c>
      <c r="N34" s="82">
        <f t="shared" si="1"/>
        <v>0</v>
      </c>
      <c r="O34" s="82">
        <f t="shared" si="1"/>
        <v>725</v>
      </c>
      <c r="P34" s="82">
        <f t="shared" si="1"/>
        <v>60</v>
      </c>
      <c r="Q34" s="82">
        <f t="shared" si="1"/>
        <v>785</v>
      </c>
      <c r="R34" s="82">
        <f t="shared" si="1"/>
        <v>0</v>
      </c>
      <c r="S34" s="82">
        <f t="shared" si="1"/>
        <v>29</v>
      </c>
      <c r="T34" s="82">
        <f t="shared" si="1"/>
        <v>0</v>
      </c>
    </row>
  </sheetData>
  <mergeCells count="6">
    <mergeCell ref="A34:B34"/>
    <mergeCell ref="A1:U1"/>
    <mergeCell ref="A2:A3"/>
    <mergeCell ref="B2:B3"/>
    <mergeCell ref="C2:N2"/>
    <mergeCell ref="O2:T2"/>
  </mergeCells>
  <phoneticPr fontId="51"/>
  <pageMargins left="0.51181102362204722" right="0.51181102362204722" top="0.51181102362204722" bottom="0.51181102362204722" header="0.51181102362204722" footer="0.51181102362204722"/>
  <pageSetup paperSize="9" scale="58" orientation="portrait" horizontalDpi="300" verticalDpi="300" r:id="rId1"/>
  <headerFooter>
    <oddFooter>&amp;C&amp;"ＭＳ Ｐゴシック,標準"制作：有限会社水越設備&amp;Rsp-mizukoshi.jp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H100"/>
  <sheetViews>
    <sheetView topLeftCell="A71" zoomScaleNormal="100" workbookViewId="0">
      <selection activeCell="A9" sqref="A9:H9"/>
    </sheetView>
  </sheetViews>
  <sheetFormatPr defaultColWidth="8.7109375" defaultRowHeight="15"/>
  <cols>
    <col min="1" max="1" width="2" customWidth="1"/>
    <col min="2" max="2" width="18" customWidth="1"/>
    <col min="3" max="3" width="28" customWidth="1"/>
    <col min="4" max="4" width="60" customWidth="1"/>
    <col min="6" max="6" width="14" customWidth="1"/>
    <col min="7" max="7" width="18" customWidth="1"/>
    <col min="8" max="8" width="8" customWidth="1"/>
  </cols>
  <sheetData>
    <row r="2" spans="2:8" ht="21.75" customHeight="1">
      <c r="B2" s="90" t="s">
        <v>18</v>
      </c>
      <c r="C2" s="90"/>
      <c r="D2" s="90"/>
      <c r="F2" s="91" t="s">
        <v>19</v>
      </c>
      <c r="G2" s="91"/>
      <c r="H2" s="91"/>
    </row>
    <row r="3" spans="2:8" ht="21.75" customHeight="1">
      <c r="B3" s="1" t="s">
        <v>20</v>
      </c>
      <c r="C3" s="2">
        <v>2026</v>
      </c>
      <c r="D3" s="3" t="s">
        <v>21</v>
      </c>
      <c r="F3" s="4" t="s">
        <v>22</v>
      </c>
      <c r="G3" s="5" t="s">
        <v>23</v>
      </c>
      <c r="H3" s="5" t="s">
        <v>24</v>
      </c>
    </row>
    <row r="4" spans="2:8" ht="21.75" customHeight="1">
      <c r="B4" s="1" t="s">
        <v>25</v>
      </c>
      <c r="C4" s="2">
        <v>1</v>
      </c>
      <c r="D4" s="3" t="s">
        <v>26</v>
      </c>
      <c r="F4" s="6">
        <v>46023</v>
      </c>
      <c r="G4" s="7" t="s">
        <v>27</v>
      </c>
      <c r="H4" s="8">
        <v>2026</v>
      </c>
    </row>
    <row r="5" spans="2:8" ht="21.75" customHeight="1">
      <c r="B5" s="1" t="s">
        <v>28</v>
      </c>
      <c r="C5" s="2">
        <v>12</v>
      </c>
      <c r="D5" s="3" t="s">
        <v>29</v>
      </c>
      <c r="F5" s="6">
        <v>46034</v>
      </c>
      <c r="G5" s="7" t="s">
        <v>30</v>
      </c>
      <c r="H5" s="8">
        <v>2026</v>
      </c>
    </row>
    <row r="6" spans="2:8" ht="21.75" customHeight="1">
      <c r="B6" s="1" t="s">
        <v>31</v>
      </c>
      <c r="C6" s="2">
        <v>30</v>
      </c>
      <c r="D6" s="3" t="s">
        <v>32</v>
      </c>
      <c r="F6" s="6">
        <v>46064</v>
      </c>
      <c r="G6" s="7" t="s">
        <v>33</v>
      </c>
      <c r="H6" s="8">
        <v>2026</v>
      </c>
    </row>
    <row r="7" spans="2:8" ht="21.75" customHeight="1">
      <c r="B7" s="1" t="s">
        <v>34</v>
      </c>
      <c r="C7" s="9" t="s">
        <v>35</v>
      </c>
      <c r="D7" s="3"/>
      <c r="F7" s="6">
        <v>46076</v>
      </c>
      <c r="G7" s="7" t="s">
        <v>36</v>
      </c>
      <c r="H7" s="8">
        <v>2026</v>
      </c>
    </row>
    <row r="8" spans="2:8" ht="21.75" customHeight="1">
      <c r="B8" s="1" t="s">
        <v>37</v>
      </c>
      <c r="C8" s="9" t="s">
        <v>38</v>
      </c>
      <c r="D8" s="3"/>
      <c r="F8" s="6">
        <v>46101</v>
      </c>
      <c r="G8" s="7" t="s">
        <v>39</v>
      </c>
      <c r="H8" s="8">
        <v>2026</v>
      </c>
    </row>
    <row r="9" spans="2:8" ht="21.75" customHeight="1">
      <c r="F9" s="6">
        <v>46141</v>
      </c>
      <c r="G9" s="7" t="s">
        <v>40</v>
      </c>
      <c r="H9" s="8">
        <v>2026</v>
      </c>
    </row>
    <row r="10" spans="2:8" ht="21.75" customHeight="1">
      <c r="F10" s="6">
        <v>46145</v>
      </c>
      <c r="G10" s="7" t="s">
        <v>41</v>
      </c>
      <c r="H10" s="8">
        <v>2026</v>
      </c>
    </row>
    <row r="11" spans="2:8" ht="21.75" customHeight="1">
      <c r="B11" s="92" t="s">
        <v>42</v>
      </c>
      <c r="C11" s="92"/>
      <c r="D11" s="92"/>
      <c r="F11" s="6">
        <v>46146</v>
      </c>
      <c r="G11" s="7" t="s">
        <v>43</v>
      </c>
      <c r="H11" s="8">
        <v>2026</v>
      </c>
    </row>
    <row r="12" spans="2:8" ht="21.75" customHeight="1">
      <c r="B12" s="10" t="s">
        <v>44</v>
      </c>
      <c r="C12" s="93" t="s">
        <v>45</v>
      </c>
      <c r="D12" s="93"/>
      <c r="F12" s="6">
        <v>46147</v>
      </c>
      <c r="G12" s="7" t="s">
        <v>46</v>
      </c>
      <c r="H12" s="8">
        <v>2026</v>
      </c>
    </row>
    <row r="13" spans="2:8" ht="21.75" customHeight="1">
      <c r="B13" s="10" t="s">
        <v>47</v>
      </c>
      <c r="C13" s="93" t="s">
        <v>48</v>
      </c>
      <c r="D13" s="93"/>
      <c r="F13" s="6">
        <v>46148</v>
      </c>
      <c r="G13" s="7" t="s">
        <v>49</v>
      </c>
      <c r="H13" s="8">
        <v>2026</v>
      </c>
    </row>
    <row r="14" spans="2:8" ht="21.75" customHeight="1">
      <c r="B14" s="10" t="s">
        <v>50</v>
      </c>
      <c r="C14" s="93" t="s">
        <v>51</v>
      </c>
      <c r="D14" s="93"/>
      <c r="F14" s="6">
        <v>46223</v>
      </c>
      <c r="G14" s="7" t="s">
        <v>52</v>
      </c>
      <c r="H14" s="8">
        <v>2026</v>
      </c>
    </row>
    <row r="15" spans="2:8" ht="21.75" customHeight="1">
      <c r="B15" s="10" t="s">
        <v>53</v>
      </c>
      <c r="C15" s="93" t="s">
        <v>54</v>
      </c>
      <c r="D15" s="93"/>
      <c r="F15" s="6">
        <v>46245</v>
      </c>
      <c r="G15" s="7" t="s">
        <v>55</v>
      </c>
      <c r="H15" s="8">
        <v>2026</v>
      </c>
    </row>
    <row r="16" spans="2:8" ht="21.75" customHeight="1">
      <c r="B16" s="10" t="s">
        <v>56</v>
      </c>
      <c r="C16" s="93" t="s">
        <v>57</v>
      </c>
      <c r="D16" s="93"/>
      <c r="F16" s="6">
        <v>46286</v>
      </c>
      <c r="G16" s="7" t="s">
        <v>58</v>
      </c>
      <c r="H16" s="8">
        <v>2026</v>
      </c>
    </row>
    <row r="17" spans="2:8" ht="21.75" customHeight="1">
      <c r="B17" s="10" t="s">
        <v>59</v>
      </c>
      <c r="C17" s="93" t="s">
        <v>60</v>
      </c>
      <c r="D17" s="93"/>
      <c r="F17" s="6">
        <v>46287</v>
      </c>
      <c r="G17" s="7" t="s">
        <v>61</v>
      </c>
      <c r="H17" s="8">
        <v>2026</v>
      </c>
    </row>
    <row r="18" spans="2:8" ht="21.75" customHeight="1">
      <c r="B18" s="95" t="s">
        <v>62</v>
      </c>
      <c r="C18" s="95"/>
      <c r="D18" s="95"/>
      <c r="F18" s="6">
        <v>46288</v>
      </c>
      <c r="G18" s="7" t="s">
        <v>63</v>
      </c>
      <c r="H18" s="8">
        <v>2026</v>
      </c>
    </row>
    <row r="19" spans="2:8" ht="21.75" customHeight="1">
      <c r="B19" s="10" t="s">
        <v>44</v>
      </c>
      <c r="C19" s="93" t="s">
        <v>64</v>
      </c>
      <c r="D19" s="93"/>
      <c r="F19" s="6">
        <v>46307</v>
      </c>
      <c r="G19" s="7" t="s">
        <v>65</v>
      </c>
      <c r="H19" s="8">
        <v>2026</v>
      </c>
    </row>
    <row r="20" spans="2:8" ht="15" customHeight="1">
      <c r="B20" s="10" t="s">
        <v>47</v>
      </c>
      <c r="C20" s="93" t="s">
        <v>66</v>
      </c>
      <c r="D20" s="93"/>
      <c r="F20" s="6">
        <v>46329</v>
      </c>
      <c r="G20" s="7" t="s">
        <v>67</v>
      </c>
      <c r="H20" s="8">
        <v>2026</v>
      </c>
    </row>
    <row r="21" spans="2:8" ht="23.25" customHeight="1">
      <c r="B21" s="10" t="s">
        <v>50</v>
      </c>
      <c r="C21" s="93" t="s">
        <v>68</v>
      </c>
      <c r="D21" s="93"/>
      <c r="F21" s="6">
        <v>46349</v>
      </c>
      <c r="G21" s="7" t="s">
        <v>69</v>
      </c>
      <c r="H21" s="8">
        <v>2026</v>
      </c>
    </row>
    <row r="22" spans="2:8" ht="23.25" customHeight="1">
      <c r="B22" s="10" t="s">
        <v>53</v>
      </c>
      <c r="C22" s="94" t="s">
        <v>70</v>
      </c>
      <c r="D22" s="94"/>
      <c r="F22" s="6">
        <v>46388</v>
      </c>
      <c r="G22" s="7" t="s">
        <v>27</v>
      </c>
      <c r="H22" s="8">
        <v>2027</v>
      </c>
    </row>
    <row r="23" spans="2:8" ht="23.25" customHeight="1">
      <c r="F23" s="6">
        <v>46398</v>
      </c>
      <c r="G23" s="7" t="s">
        <v>30</v>
      </c>
      <c r="H23" s="8">
        <v>2027</v>
      </c>
    </row>
    <row r="24" spans="2:8" ht="23.25" customHeight="1">
      <c r="F24" s="6">
        <v>46429</v>
      </c>
      <c r="G24" s="7" t="s">
        <v>33</v>
      </c>
      <c r="H24" s="8">
        <v>2027</v>
      </c>
    </row>
    <row r="25" spans="2:8" ht="23.25" customHeight="1">
      <c r="F25" s="6">
        <v>46441</v>
      </c>
      <c r="G25" s="7" t="s">
        <v>36</v>
      </c>
      <c r="H25" s="8">
        <v>2027</v>
      </c>
    </row>
    <row r="26" spans="2:8" ht="23.25" customHeight="1">
      <c r="F26" s="6">
        <v>46467</v>
      </c>
      <c r="G26" s="7" t="s">
        <v>39</v>
      </c>
      <c r="H26" s="8">
        <v>2027</v>
      </c>
    </row>
    <row r="27" spans="2:8" ht="23.25" customHeight="1">
      <c r="F27" s="6">
        <v>46468</v>
      </c>
      <c r="G27" s="7" t="s">
        <v>49</v>
      </c>
      <c r="H27" s="8">
        <v>2027</v>
      </c>
    </row>
    <row r="28" spans="2:8" ht="23.25" customHeight="1">
      <c r="F28" s="6">
        <v>46506</v>
      </c>
      <c r="G28" s="7" t="s">
        <v>40</v>
      </c>
      <c r="H28" s="8">
        <v>2027</v>
      </c>
    </row>
    <row r="29" spans="2:8" ht="23.25" customHeight="1">
      <c r="F29" s="6">
        <v>46510</v>
      </c>
      <c r="G29" s="7" t="s">
        <v>41</v>
      </c>
      <c r="H29" s="8">
        <v>2027</v>
      </c>
    </row>
    <row r="30" spans="2:8" ht="23.25" customHeight="1">
      <c r="F30" s="6">
        <v>46511</v>
      </c>
      <c r="G30" s="7" t="s">
        <v>43</v>
      </c>
      <c r="H30" s="8">
        <v>2027</v>
      </c>
    </row>
    <row r="31" spans="2:8" ht="23.25" customHeight="1">
      <c r="F31" s="6">
        <v>46512</v>
      </c>
      <c r="G31" s="7" t="s">
        <v>46</v>
      </c>
      <c r="H31" s="8">
        <v>2027</v>
      </c>
    </row>
    <row r="32" spans="2:8" ht="23.25" customHeight="1">
      <c r="F32" s="6">
        <v>46587</v>
      </c>
      <c r="G32" s="7" t="s">
        <v>52</v>
      </c>
      <c r="H32" s="8">
        <v>2027</v>
      </c>
    </row>
    <row r="33" spans="6:8" ht="23.25" customHeight="1">
      <c r="F33" s="6">
        <v>46610</v>
      </c>
      <c r="G33" s="7" t="s">
        <v>55</v>
      </c>
      <c r="H33" s="8">
        <v>2027</v>
      </c>
    </row>
    <row r="34" spans="6:8" ht="23.25" customHeight="1">
      <c r="F34" s="6">
        <v>46650</v>
      </c>
      <c r="G34" s="7" t="s">
        <v>58</v>
      </c>
      <c r="H34" s="8">
        <v>2027</v>
      </c>
    </row>
    <row r="35" spans="6:8" ht="23.25" customHeight="1">
      <c r="F35" s="6">
        <v>46653</v>
      </c>
      <c r="G35" s="7" t="s">
        <v>63</v>
      </c>
      <c r="H35" s="8">
        <v>2027</v>
      </c>
    </row>
    <row r="36" spans="6:8" ht="23.25" customHeight="1">
      <c r="F36" s="6">
        <v>46671</v>
      </c>
      <c r="G36" s="7" t="s">
        <v>65</v>
      </c>
      <c r="H36" s="8">
        <v>2027</v>
      </c>
    </row>
    <row r="37" spans="6:8" ht="23.25" customHeight="1">
      <c r="F37" s="6">
        <v>46694</v>
      </c>
      <c r="G37" s="7" t="s">
        <v>67</v>
      </c>
      <c r="H37" s="8">
        <v>2027</v>
      </c>
    </row>
    <row r="38" spans="6:8" ht="23.25" customHeight="1">
      <c r="F38" s="6">
        <v>46714</v>
      </c>
      <c r="G38" s="7" t="s">
        <v>69</v>
      </c>
      <c r="H38" s="8">
        <v>2027</v>
      </c>
    </row>
    <row r="39" spans="6:8" ht="23.25" customHeight="1">
      <c r="F39" s="6">
        <v>46753</v>
      </c>
      <c r="G39" s="7" t="s">
        <v>27</v>
      </c>
      <c r="H39" s="8">
        <v>2028</v>
      </c>
    </row>
    <row r="40" spans="6:8" ht="23.25" customHeight="1">
      <c r="F40" s="6">
        <v>46762</v>
      </c>
      <c r="G40" s="7" t="s">
        <v>30</v>
      </c>
      <c r="H40" s="8">
        <v>2028</v>
      </c>
    </row>
    <row r="41" spans="6:8" ht="23.25" customHeight="1">
      <c r="F41" s="6">
        <v>46794</v>
      </c>
      <c r="G41" s="7" t="s">
        <v>33</v>
      </c>
      <c r="H41" s="8">
        <v>2028</v>
      </c>
    </row>
    <row r="42" spans="6:8" ht="23.25" customHeight="1">
      <c r="F42" s="6">
        <v>46806</v>
      </c>
      <c r="G42" s="7" t="s">
        <v>36</v>
      </c>
      <c r="H42" s="8">
        <v>2028</v>
      </c>
    </row>
    <row r="43" spans="6:8" ht="23.25" customHeight="1">
      <c r="F43" s="6">
        <v>46832</v>
      </c>
      <c r="G43" s="7" t="s">
        <v>39</v>
      </c>
      <c r="H43" s="8">
        <v>2028</v>
      </c>
    </row>
    <row r="44" spans="6:8" ht="15" customHeight="1">
      <c r="F44" s="6">
        <v>46872</v>
      </c>
      <c r="G44" s="7" t="s">
        <v>40</v>
      </c>
      <c r="H44" s="8">
        <v>2028</v>
      </c>
    </row>
    <row r="45" spans="6:8" ht="23.25" customHeight="1">
      <c r="F45" s="6">
        <v>46876</v>
      </c>
      <c r="G45" s="7" t="s">
        <v>41</v>
      </c>
      <c r="H45" s="8">
        <v>2028</v>
      </c>
    </row>
    <row r="46" spans="6:8" ht="15" customHeight="1">
      <c r="F46" s="6">
        <v>46877</v>
      </c>
      <c r="G46" s="7" t="s">
        <v>43</v>
      </c>
      <c r="H46" s="8">
        <v>2028</v>
      </c>
    </row>
    <row r="47" spans="6:8" ht="15" customHeight="1">
      <c r="F47" s="6">
        <v>46878</v>
      </c>
      <c r="G47" s="7" t="s">
        <v>46</v>
      </c>
      <c r="H47" s="8">
        <v>2028</v>
      </c>
    </row>
    <row r="48" spans="6:8" ht="23.25" customHeight="1">
      <c r="F48" s="6">
        <v>46951</v>
      </c>
      <c r="G48" s="7" t="s">
        <v>52</v>
      </c>
      <c r="H48" s="8">
        <v>2028</v>
      </c>
    </row>
    <row r="49" spans="6:8" ht="15" customHeight="1">
      <c r="F49" s="6">
        <v>46976</v>
      </c>
      <c r="G49" s="7" t="s">
        <v>55</v>
      </c>
      <c r="H49" s="8">
        <v>2028</v>
      </c>
    </row>
    <row r="50" spans="6:8" ht="23.25" customHeight="1">
      <c r="F50" s="6">
        <v>47014</v>
      </c>
      <c r="G50" s="7" t="s">
        <v>58</v>
      </c>
      <c r="H50" s="8">
        <v>2028</v>
      </c>
    </row>
    <row r="51" spans="6:8" ht="15" customHeight="1">
      <c r="F51" s="6">
        <v>47018</v>
      </c>
      <c r="G51" s="7" t="s">
        <v>63</v>
      </c>
      <c r="H51" s="8">
        <v>2028</v>
      </c>
    </row>
    <row r="52" spans="6:8" ht="23.25" customHeight="1">
      <c r="F52" s="6">
        <v>47035</v>
      </c>
      <c r="G52" s="7" t="s">
        <v>65</v>
      </c>
      <c r="H52" s="8">
        <v>2028</v>
      </c>
    </row>
    <row r="53" spans="6:8" ht="15" customHeight="1">
      <c r="F53" s="6">
        <v>47060</v>
      </c>
      <c r="G53" s="7" t="s">
        <v>67</v>
      </c>
      <c r="H53" s="8">
        <v>2028</v>
      </c>
    </row>
    <row r="54" spans="6:8" ht="15" customHeight="1">
      <c r="F54" s="6">
        <v>47080</v>
      </c>
      <c r="G54" s="7" t="s">
        <v>69</v>
      </c>
      <c r="H54" s="8">
        <v>2028</v>
      </c>
    </row>
    <row r="55" spans="6:8" ht="15" customHeight="1">
      <c r="F55" s="11">
        <v>47119</v>
      </c>
      <c r="G55" s="7" t="s">
        <v>27</v>
      </c>
      <c r="H55" s="12">
        <v>2029</v>
      </c>
    </row>
    <row r="56" spans="6:8" ht="15" customHeight="1">
      <c r="F56" s="11">
        <v>47126</v>
      </c>
      <c r="G56" s="7" t="s">
        <v>30</v>
      </c>
      <c r="H56" s="12">
        <v>2029</v>
      </c>
    </row>
    <row r="57" spans="6:8" ht="15" customHeight="1">
      <c r="F57" s="11">
        <v>47160</v>
      </c>
      <c r="G57" s="7" t="s">
        <v>33</v>
      </c>
      <c r="H57" s="12">
        <v>2029</v>
      </c>
    </row>
    <row r="58" spans="6:8" ht="15" customHeight="1">
      <c r="F58" s="11">
        <v>47161</v>
      </c>
      <c r="G58" s="7" t="s">
        <v>49</v>
      </c>
      <c r="H58" s="12">
        <v>2029</v>
      </c>
    </row>
    <row r="59" spans="6:8" ht="15" customHeight="1">
      <c r="F59" s="11">
        <v>47172</v>
      </c>
      <c r="G59" s="7" t="s">
        <v>36</v>
      </c>
      <c r="H59" s="12">
        <v>2029</v>
      </c>
    </row>
    <row r="60" spans="6:8" ht="15" customHeight="1">
      <c r="F60" s="11">
        <v>47197</v>
      </c>
      <c r="G60" s="7" t="s">
        <v>39</v>
      </c>
      <c r="H60" s="12">
        <v>2029</v>
      </c>
    </row>
    <row r="61" spans="6:8" ht="15" customHeight="1">
      <c r="F61" s="11">
        <v>47237</v>
      </c>
      <c r="G61" s="7" t="s">
        <v>40</v>
      </c>
      <c r="H61" s="12">
        <v>2029</v>
      </c>
    </row>
    <row r="62" spans="6:8" ht="15" customHeight="1">
      <c r="F62" s="11">
        <v>47238</v>
      </c>
      <c r="G62" s="7" t="s">
        <v>49</v>
      </c>
      <c r="H62" s="12">
        <v>2029</v>
      </c>
    </row>
    <row r="63" spans="6:8" ht="15" customHeight="1">
      <c r="F63" s="11">
        <v>47241</v>
      </c>
      <c r="G63" s="7" t="s">
        <v>41</v>
      </c>
      <c r="H63" s="12">
        <v>2029</v>
      </c>
    </row>
    <row r="64" spans="6:8" ht="15" customHeight="1">
      <c r="F64" s="11">
        <v>47242</v>
      </c>
      <c r="G64" s="7" t="s">
        <v>43</v>
      </c>
      <c r="H64" s="12">
        <v>2029</v>
      </c>
    </row>
    <row r="65" spans="6:8" ht="15" customHeight="1">
      <c r="F65" s="11">
        <v>47243</v>
      </c>
      <c r="G65" s="7" t="s">
        <v>46</v>
      </c>
      <c r="H65" s="12">
        <v>2029</v>
      </c>
    </row>
    <row r="66" spans="6:8" ht="15" customHeight="1">
      <c r="F66" s="11">
        <v>47315</v>
      </c>
      <c r="G66" s="7" t="s">
        <v>52</v>
      </c>
      <c r="H66" s="12">
        <v>2029</v>
      </c>
    </row>
    <row r="67" spans="6:8" ht="15" customHeight="1">
      <c r="F67" s="11">
        <v>47341</v>
      </c>
      <c r="G67" s="7" t="s">
        <v>55</v>
      </c>
      <c r="H67" s="12">
        <v>2029</v>
      </c>
    </row>
    <row r="68" spans="6:8" ht="15" customHeight="1">
      <c r="F68" s="11">
        <v>47378</v>
      </c>
      <c r="G68" s="7" t="s">
        <v>58</v>
      </c>
      <c r="H68" s="12">
        <v>2029</v>
      </c>
    </row>
    <row r="69" spans="6:8" ht="15" customHeight="1">
      <c r="F69" s="11">
        <v>47384</v>
      </c>
      <c r="G69" s="7" t="s">
        <v>63</v>
      </c>
      <c r="H69" s="12">
        <v>2029</v>
      </c>
    </row>
    <row r="70" spans="6:8" ht="15" customHeight="1">
      <c r="F70" s="11">
        <v>47385</v>
      </c>
      <c r="G70" s="7" t="s">
        <v>49</v>
      </c>
      <c r="H70" s="12">
        <v>2029</v>
      </c>
    </row>
    <row r="71" spans="6:8" ht="15" customHeight="1">
      <c r="F71" s="11">
        <v>47399</v>
      </c>
      <c r="G71" s="7" t="s">
        <v>65</v>
      </c>
      <c r="H71" s="12">
        <v>2029</v>
      </c>
    </row>
    <row r="72" spans="6:8" ht="15" customHeight="1">
      <c r="F72" s="11">
        <v>47425</v>
      </c>
      <c r="G72" s="7" t="s">
        <v>67</v>
      </c>
      <c r="H72" s="12">
        <v>2029</v>
      </c>
    </row>
    <row r="73" spans="6:8" ht="15" customHeight="1">
      <c r="F73" s="11">
        <v>47445</v>
      </c>
      <c r="G73" s="7" t="s">
        <v>69</v>
      </c>
      <c r="H73" s="12">
        <v>2029</v>
      </c>
    </row>
    <row r="74" spans="6:8" ht="15" customHeight="1">
      <c r="F74" s="11">
        <v>47484</v>
      </c>
      <c r="G74" s="7" t="s">
        <v>27</v>
      </c>
      <c r="H74" s="12">
        <v>2030</v>
      </c>
    </row>
    <row r="75" spans="6:8" ht="15" customHeight="1">
      <c r="F75" s="11">
        <v>47497</v>
      </c>
      <c r="G75" s="7" t="s">
        <v>30</v>
      </c>
      <c r="H75" s="12">
        <v>2030</v>
      </c>
    </row>
    <row r="76" spans="6:8" ht="15" customHeight="1">
      <c r="F76" s="11">
        <v>47525</v>
      </c>
      <c r="G76" s="7" t="s">
        <v>33</v>
      </c>
      <c r="H76" s="12">
        <v>2030</v>
      </c>
    </row>
    <row r="77" spans="6:8" ht="15" customHeight="1">
      <c r="F77" s="11">
        <v>47537</v>
      </c>
      <c r="G77" s="7" t="s">
        <v>36</v>
      </c>
      <c r="H77" s="12">
        <v>2030</v>
      </c>
    </row>
    <row r="78" spans="6:8" ht="15" customHeight="1">
      <c r="F78" s="11">
        <v>47562</v>
      </c>
      <c r="G78" s="7" t="s">
        <v>39</v>
      </c>
      <c r="H78" s="12">
        <v>2030</v>
      </c>
    </row>
    <row r="79" spans="6:8" ht="15" customHeight="1">
      <c r="F79" s="11">
        <v>47602</v>
      </c>
      <c r="G79" s="7" t="s">
        <v>40</v>
      </c>
      <c r="H79" s="12">
        <v>2030</v>
      </c>
    </row>
    <row r="80" spans="6:8" ht="15" customHeight="1">
      <c r="F80" s="11">
        <v>47606</v>
      </c>
      <c r="G80" s="7" t="s">
        <v>41</v>
      </c>
      <c r="H80" s="12">
        <v>2030</v>
      </c>
    </row>
    <row r="81" spans="6:8" ht="15" customHeight="1">
      <c r="F81" s="11">
        <v>47607</v>
      </c>
      <c r="G81" s="7" t="s">
        <v>43</v>
      </c>
      <c r="H81" s="12">
        <v>2030</v>
      </c>
    </row>
    <row r="82" spans="6:8" ht="15" customHeight="1">
      <c r="F82" s="11">
        <v>47608</v>
      </c>
      <c r="G82" s="7" t="s">
        <v>46</v>
      </c>
      <c r="H82" s="12">
        <v>2030</v>
      </c>
    </row>
    <row r="83" spans="6:8" ht="15" customHeight="1">
      <c r="F83" s="11">
        <v>47609</v>
      </c>
      <c r="G83" s="7" t="s">
        <v>49</v>
      </c>
      <c r="H83" s="12">
        <v>2030</v>
      </c>
    </row>
    <row r="84" spans="6:8" ht="15" customHeight="1">
      <c r="F84" s="11">
        <v>47679</v>
      </c>
      <c r="G84" s="7" t="s">
        <v>52</v>
      </c>
      <c r="H84" s="12">
        <v>2030</v>
      </c>
    </row>
    <row r="85" spans="6:8" ht="15" customHeight="1">
      <c r="F85" s="11">
        <v>47706</v>
      </c>
      <c r="G85" s="7" t="s">
        <v>55</v>
      </c>
      <c r="H85" s="12">
        <v>2030</v>
      </c>
    </row>
    <row r="86" spans="6:8" ht="15" customHeight="1">
      <c r="F86" s="11">
        <v>47707</v>
      </c>
      <c r="G86" s="7" t="s">
        <v>49</v>
      </c>
      <c r="H86" s="12">
        <v>2030</v>
      </c>
    </row>
    <row r="87" spans="6:8" ht="15" customHeight="1">
      <c r="F87" s="11">
        <v>47742</v>
      </c>
      <c r="G87" s="7" t="s">
        <v>58</v>
      </c>
      <c r="H87" s="12">
        <v>2030</v>
      </c>
    </row>
    <row r="88" spans="6:8" ht="15" customHeight="1">
      <c r="F88" s="11">
        <v>47749</v>
      </c>
      <c r="G88" s="7" t="s">
        <v>63</v>
      </c>
      <c r="H88" s="12">
        <v>2030</v>
      </c>
    </row>
    <row r="89" spans="6:8" ht="15" customHeight="1">
      <c r="F89" s="11">
        <v>47770</v>
      </c>
      <c r="G89" s="7" t="s">
        <v>65</v>
      </c>
      <c r="H89" s="12">
        <v>2030</v>
      </c>
    </row>
    <row r="90" spans="6:8" ht="15" customHeight="1">
      <c r="F90" s="11">
        <v>47790</v>
      </c>
      <c r="G90" s="7" t="s">
        <v>67</v>
      </c>
      <c r="H90" s="12">
        <v>2030</v>
      </c>
    </row>
    <row r="91" spans="6:8" ht="15" customHeight="1">
      <c r="F91" s="11">
        <v>47791</v>
      </c>
      <c r="G91" s="7" t="s">
        <v>49</v>
      </c>
      <c r="H91" s="12">
        <v>2030</v>
      </c>
    </row>
    <row r="92" spans="6:8" ht="15" customHeight="1">
      <c r="F92" s="11">
        <v>47810</v>
      </c>
      <c r="G92" s="7" t="s">
        <v>69</v>
      </c>
      <c r="H92" s="12">
        <v>2030</v>
      </c>
    </row>
    <row r="93" spans="6:8" ht="15" customHeight="1"/>
    <row r="94" spans="6:8" ht="15" customHeight="1"/>
    <row r="95" spans="6:8" ht="15" customHeight="1"/>
    <row r="96" spans="6:8" ht="15" customHeight="1"/>
    <row r="97" ht="15" customHeight="1"/>
    <row r="98" ht="15" customHeight="1"/>
    <row r="99" ht="15" customHeight="1"/>
    <row r="100" ht="15" customHeight="1"/>
  </sheetData>
  <mergeCells count="14">
    <mergeCell ref="C19:D19"/>
    <mergeCell ref="C20:D20"/>
    <mergeCell ref="C21:D21"/>
    <mergeCell ref="C22:D22"/>
    <mergeCell ref="C14:D14"/>
    <mergeCell ref="C15:D15"/>
    <mergeCell ref="C16:D16"/>
    <mergeCell ref="C17:D17"/>
    <mergeCell ref="B18:D18"/>
    <mergeCell ref="B2:D2"/>
    <mergeCell ref="F2:H2"/>
    <mergeCell ref="B11:D11"/>
    <mergeCell ref="C12:D12"/>
    <mergeCell ref="C13:D13"/>
  </mergeCells>
  <phoneticPr fontId="51"/>
  <pageMargins left="0.74803149606299213" right="0.74803149606299213" top="0.98425196850393704" bottom="0.98425196850393704" header="0.51181102362204722" footer="0.51181102362204722"/>
  <pageSetup paperSize="9" orientation="portrait" horizontalDpi="300" verticalDpi="300" r:id="rId1"/>
  <headerFooter>
    <oddFooter>&amp;C&amp;"ＭＳ Ｐゴシック,標準"制作：有限会社水越設備&amp;Rsp-mizukoshi.jp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O43"/>
  <sheetViews>
    <sheetView zoomScaleNormal="100" workbookViewId="0">
      <pane xSplit="2" ySplit="2" topLeftCell="C3" activePane="bottomRight" state="frozen"/>
      <selection sqref="A1:EW1"/>
      <selection pane="topRight" sqref="A1:EW1"/>
      <selection pane="bottomLeft" sqref="A1:EW1"/>
      <selection pane="bottomRight" sqref="A1:EW1"/>
    </sheetView>
  </sheetViews>
  <sheetFormatPr defaultColWidth="8.7109375" defaultRowHeight="15"/>
  <cols>
    <col min="1" max="1" width="5" customWidth="1"/>
    <col min="2" max="2" width="20" customWidth="1"/>
    <col min="3" max="14" width="7" customWidth="1"/>
    <col min="15" max="15" width="9" customWidth="1"/>
  </cols>
  <sheetData>
    <row r="1" spans="1:15" ht="30" customHeight="1">
      <c r="A1" s="121" t="str">
        <f>対象年度&amp;"年 現場別 出勤集計"</f>
        <v>2026年 現場別 出勤集計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121"/>
    </row>
    <row r="2" spans="1:15" ht="24" customHeight="1">
      <c r="A2" s="75" t="s">
        <v>72</v>
      </c>
      <c r="B2" s="60" t="s">
        <v>96</v>
      </c>
      <c r="C2" s="75" t="s">
        <v>151</v>
      </c>
      <c r="D2" s="75" t="s">
        <v>152</v>
      </c>
      <c r="E2" s="75" t="s">
        <v>153</v>
      </c>
      <c r="F2" s="75" t="s">
        <v>154</v>
      </c>
      <c r="G2" s="75" t="s">
        <v>155</v>
      </c>
      <c r="H2" s="75" t="s">
        <v>156</v>
      </c>
      <c r="I2" s="75" t="s">
        <v>157</v>
      </c>
      <c r="J2" s="75" t="s">
        <v>158</v>
      </c>
      <c r="K2" s="75" t="s">
        <v>159</v>
      </c>
      <c r="L2" s="75" t="s">
        <v>160</v>
      </c>
      <c r="M2" s="75" t="s">
        <v>161</v>
      </c>
      <c r="N2" s="75" t="s">
        <v>162</v>
      </c>
      <c r="O2" s="65" t="s">
        <v>163</v>
      </c>
    </row>
    <row r="3" spans="1:15" ht="19.5" customHeight="1">
      <c r="A3" s="76">
        <v>1</v>
      </c>
      <c r="B3" s="77" t="str">
        <f>IFERROR(現場マスタ!$C$4,"")</f>
        <v>A現場（事務所ビル新築）</v>
      </c>
      <c r="C3" s="76">
        <f>IFERROR(IF($B3="","",COUNTIF('1月'!D4:D34,$B3)+COUNTIF('1月'!E4:E34,$B3)+COUNTIF('1月'!I4:I34,$B3)+COUNTIF('1月'!J4:J34,$B3)+COUNTIF('1月'!N4:N34,$B3)+COUNTIF('1月'!O4:O34,$B3)+COUNTIF('1月'!S4:S34,$B3)+COUNTIF('1月'!T4:T34,$B3)+COUNTIF('1月'!X4:X34,$B3)+COUNTIF('1月'!Y4:Y34,$B3)+COUNTIF('1月'!AC4:AC34,$B3)+COUNTIF('1月'!AD4:AD34,$B3)+COUNTIF('1月'!AH4:AH34,$B3)+COUNTIF('1月'!AI4:AI34,$B3)+COUNTIF('1月'!AM4:AM34,$B3)+COUNTIF('1月'!AN4:AN34,$B3)+COUNTIF('1月'!AR4:AR34,$B3)+COUNTIF('1月'!AS4:AS34,$B3)+COUNTIF('1月'!AW4:AW34,$B3)+COUNTIF('1月'!AX4:AX34,$B3)+COUNTIF('1月'!BB4:BB34,$B3)+COUNTIF('1月'!BC4:BC34,$B3)+COUNTIF('1月'!BG4:BG34,$B3)+COUNTIF('1月'!BH4:BH34,$B3)+COUNTIF('1月'!BL4:BL34,$B3)+COUNTIF('1月'!BM4:BM34,$B3)+COUNTIF('1月'!BQ4:BQ34,$B3)+COUNTIF('1月'!BR4:BR34,$B3)+COUNTIF('1月'!BV4:BV34,$B3)+COUNTIF('1月'!BW4:BW34,$B3)+COUNTIF('1月'!CA4:CA34,$B3)+COUNTIF('1月'!CB4:CB34,$B3)+COUNTIF('1月'!CF4:CF34,$B3)+COUNTIF('1月'!CG4:CG34,$B3)+COUNTIF('1月'!CK4:CK34,$B3)+COUNTIF('1月'!CL4:CL34,$B3)+COUNTIF('1月'!CP4:CP34,$B3)+COUNTIF('1月'!CQ4:CQ34,$B3)+COUNTIF('1月'!CU4:CU34,$B3)+COUNTIF('1月'!CV4:CV34,$B3)+COUNTIF('1月'!CZ4:CZ34,$B3)+COUNTIF('1月'!DA4:DA34,$B3)+COUNTIF('1月'!DE4:DE34,$B3)+COUNTIF('1月'!DF4:DF34,$B3)+COUNTIF('1月'!DJ4:DJ34,$B3)+COUNTIF('1月'!DK4:DK34,$B3)+COUNTIF('1月'!DO4:DO34,$B3)+COUNTIF('1月'!DP4:DP34,$B3)+COUNTIF('1月'!DT4:DT34,$B3)+COUNTIF('1月'!DU4:DU34,$B3)+COUNTIF('1月'!DY4:DY34,$B3)+COUNTIF('1月'!DZ4:DZ34,$B3)+COUNTIF('1月'!ED4:ED34,$B3)+COUNTIF('1月'!EE4:EE34,$B3)+COUNTIF('1月'!EI4:EI34,$B3)+COUNTIF('1月'!EJ4:EJ34,$B3)+COUNTIF('1月'!EN4:EN34,$B3)+COUNTIF('1月'!EO4:EO34,$B3)+COUNTIF('1月'!ES4:ES34,$B3)+COUNTIF('1月'!ET4:ET34,$B3)),0)</f>
        <v>0</v>
      </c>
      <c r="D3" s="76">
        <f>IFERROR(IF($B3="","",COUNTIF('2月'!D4:D34,$B3)+COUNTIF('2月'!E4:E34,$B3)+COUNTIF('2月'!I4:I34,$B3)+COUNTIF('2月'!J4:J34,$B3)+COUNTIF('2月'!N4:N34,$B3)+COUNTIF('2月'!O4:O34,$B3)+COUNTIF('2月'!S4:S34,$B3)+COUNTIF('2月'!T4:T34,$B3)+COUNTIF('2月'!X4:X34,$B3)+COUNTIF('2月'!Y4:Y34,$B3)+COUNTIF('2月'!AC4:AC34,$B3)+COUNTIF('2月'!AD4:AD34,$B3)+COUNTIF('2月'!AH4:AH34,$B3)+COUNTIF('2月'!AI4:AI34,$B3)+COUNTIF('2月'!AM4:AM34,$B3)+COUNTIF('2月'!AN4:AN34,$B3)+COUNTIF('2月'!AR4:AR34,$B3)+COUNTIF('2月'!AS4:AS34,$B3)+COUNTIF('2月'!AW4:AW34,$B3)+COUNTIF('2月'!AX4:AX34,$B3)+COUNTIF('2月'!BB4:BB34,$B3)+COUNTIF('2月'!BC4:BC34,$B3)+COUNTIF('2月'!BG4:BG34,$B3)+COUNTIF('2月'!BH4:BH34,$B3)+COUNTIF('2月'!BL4:BL34,$B3)+COUNTIF('2月'!BM4:BM34,$B3)+COUNTIF('2月'!BQ4:BQ34,$B3)+COUNTIF('2月'!BR4:BR34,$B3)+COUNTIF('2月'!BV4:BV34,$B3)+COUNTIF('2月'!BW4:BW34,$B3)+COUNTIF('2月'!CA4:CA34,$B3)+COUNTIF('2月'!CB4:CB34,$B3)+COUNTIF('2月'!CF4:CF34,$B3)+COUNTIF('2月'!CG4:CG34,$B3)+COUNTIF('2月'!CK4:CK34,$B3)+COUNTIF('2月'!CL4:CL34,$B3)+COUNTIF('2月'!CP4:CP34,$B3)+COUNTIF('2月'!CQ4:CQ34,$B3)+COUNTIF('2月'!CU4:CU34,$B3)+COUNTIF('2月'!CV4:CV34,$B3)+COUNTIF('2月'!CZ4:CZ34,$B3)+COUNTIF('2月'!DA4:DA34,$B3)+COUNTIF('2月'!DE4:DE34,$B3)+COUNTIF('2月'!DF4:DF34,$B3)+COUNTIF('2月'!DJ4:DJ34,$B3)+COUNTIF('2月'!DK4:DK34,$B3)+COUNTIF('2月'!DO4:DO34,$B3)+COUNTIF('2月'!DP4:DP34,$B3)+COUNTIF('2月'!DT4:DT34,$B3)+COUNTIF('2月'!DU4:DU34,$B3)+COUNTIF('2月'!DY4:DY34,$B3)+COUNTIF('2月'!DZ4:DZ34,$B3)+COUNTIF('2月'!ED4:ED34,$B3)+COUNTIF('2月'!EE4:EE34,$B3)+COUNTIF('2月'!EI4:EI34,$B3)+COUNTIF('2月'!EJ4:EJ34,$B3)+COUNTIF('2月'!EN4:EN34,$B3)+COUNTIF('2月'!EO4:EO34,$B3)+COUNTIF('2月'!ES4:ES34,$B3)+COUNTIF('2月'!ET4:ET34,$B3)),0)</f>
        <v>0</v>
      </c>
      <c r="E3" s="76">
        <f>IFERROR(IF($B3="","",COUNTIF('3月'!D4:D34,$B3)+COUNTIF('3月'!E4:E34,$B3)+COUNTIF('3月'!I4:I34,$B3)+COUNTIF('3月'!J4:J34,$B3)+COUNTIF('3月'!N4:N34,$B3)+COUNTIF('3月'!O4:O34,$B3)+COUNTIF('3月'!S4:S34,$B3)+COUNTIF('3月'!T4:T34,$B3)+COUNTIF('3月'!X4:X34,$B3)+COUNTIF('3月'!Y4:Y34,$B3)+COUNTIF('3月'!AC4:AC34,$B3)+COUNTIF('3月'!AD4:AD34,$B3)+COUNTIF('3月'!AH4:AH34,$B3)+COUNTIF('3月'!AI4:AI34,$B3)+COUNTIF('3月'!AM4:AM34,$B3)+COUNTIF('3月'!AN4:AN34,$B3)+COUNTIF('3月'!AR4:AR34,$B3)+COUNTIF('3月'!AS4:AS34,$B3)+COUNTIF('3月'!AW4:AW34,$B3)+COUNTIF('3月'!AX4:AX34,$B3)+COUNTIF('3月'!BB4:BB34,$B3)+COUNTIF('3月'!BC4:BC34,$B3)+COUNTIF('3月'!BG4:BG34,$B3)+COUNTIF('3月'!BH4:BH34,$B3)+COUNTIF('3月'!BL4:BL34,$B3)+COUNTIF('3月'!BM4:BM34,$B3)+COUNTIF('3月'!BQ4:BQ34,$B3)+COUNTIF('3月'!BR4:BR34,$B3)+COUNTIF('3月'!BV4:BV34,$B3)+COUNTIF('3月'!BW4:BW34,$B3)+COUNTIF('3月'!CA4:CA34,$B3)+COUNTIF('3月'!CB4:CB34,$B3)+COUNTIF('3月'!CF4:CF34,$B3)+COUNTIF('3月'!CG4:CG34,$B3)+COUNTIF('3月'!CK4:CK34,$B3)+COUNTIF('3月'!CL4:CL34,$B3)+COUNTIF('3月'!CP4:CP34,$B3)+COUNTIF('3月'!CQ4:CQ34,$B3)+COUNTIF('3月'!CU4:CU34,$B3)+COUNTIF('3月'!CV4:CV34,$B3)+COUNTIF('3月'!CZ4:CZ34,$B3)+COUNTIF('3月'!DA4:DA34,$B3)+COUNTIF('3月'!DE4:DE34,$B3)+COUNTIF('3月'!DF4:DF34,$B3)+COUNTIF('3月'!DJ4:DJ34,$B3)+COUNTIF('3月'!DK4:DK34,$B3)+COUNTIF('3月'!DO4:DO34,$B3)+COUNTIF('3月'!DP4:DP34,$B3)+COUNTIF('3月'!DT4:DT34,$B3)+COUNTIF('3月'!DU4:DU34,$B3)+COUNTIF('3月'!DY4:DY34,$B3)+COUNTIF('3月'!DZ4:DZ34,$B3)+COUNTIF('3月'!ED4:ED34,$B3)+COUNTIF('3月'!EE4:EE34,$B3)+COUNTIF('3月'!EI4:EI34,$B3)+COUNTIF('3月'!EJ4:EJ34,$B3)+COUNTIF('3月'!EN4:EN34,$B3)+COUNTIF('3月'!EO4:EO34,$B3)+COUNTIF('3月'!ES4:ES34,$B3)+COUNTIF('3月'!ET4:ET34,$B3)),0)</f>
        <v>0</v>
      </c>
      <c r="F3" s="76">
        <f>IFERROR(IF($B3="","",COUNTIF('4月'!D4:D34,$B3)+COUNTIF('4月'!E4:E34,$B3)+COUNTIF('4月'!I4:I34,$B3)+COUNTIF('4月'!J4:J34,$B3)+COUNTIF('4月'!N4:N34,$B3)+COUNTIF('4月'!O4:O34,$B3)+COUNTIF('4月'!S4:S34,$B3)+COUNTIF('4月'!T4:T34,$B3)+COUNTIF('4月'!X4:X34,$B3)+COUNTIF('4月'!Y4:Y34,$B3)+COUNTIF('4月'!AC4:AC34,$B3)+COUNTIF('4月'!AD4:AD34,$B3)+COUNTIF('4月'!AH4:AH34,$B3)+COUNTIF('4月'!AI4:AI34,$B3)+COUNTIF('4月'!AM4:AM34,$B3)+COUNTIF('4月'!AN4:AN34,$B3)+COUNTIF('4月'!AR4:AR34,$B3)+COUNTIF('4月'!AS4:AS34,$B3)+COUNTIF('4月'!AW4:AW34,$B3)+COUNTIF('4月'!AX4:AX34,$B3)+COUNTIF('4月'!BB4:BB34,$B3)+COUNTIF('4月'!BC4:BC34,$B3)+COUNTIF('4月'!BG4:BG34,$B3)+COUNTIF('4月'!BH4:BH34,$B3)+COUNTIF('4月'!BL4:BL34,$B3)+COUNTIF('4月'!BM4:BM34,$B3)+COUNTIF('4月'!BQ4:BQ34,$B3)+COUNTIF('4月'!BR4:BR34,$B3)+COUNTIF('4月'!BV4:BV34,$B3)+COUNTIF('4月'!BW4:BW34,$B3)+COUNTIF('4月'!CA4:CA34,$B3)+COUNTIF('4月'!CB4:CB34,$B3)+COUNTIF('4月'!CF4:CF34,$B3)+COUNTIF('4月'!CG4:CG34,$B3)+COUNTIF('4月'!CK4:CK34,$B3)+COUNTIF('4月'!CL4:CL34,$B3)+COUNTIF('4月'!CP4:CP34,$B3)+COUNTIF('4月'!CQ4:CQ34,$B3)+COUNTIF('4月'!CU4:CU34,$B3)+COUNTIF('4月'!CV4:CV34,$B3)+COUNTIF('4月'!CZ4:CZ34,$B3)+COUNTIF('4月'!DA4:DA34,$B3)+COUNTIF('4月'!DE4:DE34,$B3)+COUNTIF('4月'!DF4:DF34,$B3)+COUNTIF('4月'!DJ4:DJ34,$B3)+COUNTIF('4月'!DK4:DK34,$B3)+COUNTIF('4月'!DO4:DO34,$B3)+COUNTIF('4月'!DP4:DP34,$B3)+COUNTIF('4月'!DT4:DT34,$B3)+COUNTIF('4月'!DU4:DU34,$B3)+COUNTIF('4月'!DY4:DY34,$B3)+COUNTIF('4月'!DZ4:DZ34,$B3)+COUNTIF('4月'!ED4:ED34,$B3)+COUNTIF('4月'!EE4:EE34,$B3)+COUNTIF('4月'!EI4:EI34,$B3)+COUNTIF('4月'!EJ4:EJ34,$B3)+COUNTIF('4月'!EN4:EN34,$B3)+COUNTIF('4月'!EO4:EO34,$B3)+COUNTIF('4月'!ES4:ES34,$B3)+COUNTIF('4月'!ET4:ET34,$B3)),0)</f>
        <v>0</v>
      </c>
      <c r="G3" s="76">
        <f>IFERROR(IF($B3="","",COUNTIF('5月'!D4:D34,$B3)+COUNTIF('5月'!E4:E34,$B3)+COUNTIF('5月'!I4:I34,$B3)+COUNTIF('5月'!J4:J34,$B3)+COUNTIF('5月'!N4:N34,$B3)+COUNTIF('5月'!O4:O34,$B3)+COUNTIF('5月'!S4:S34,$B3)+COUNTIF('5月'!T4:T34,$B3)+COUNTIF('5月'!X4:X34,$B3)+COUNTIF('5月'!Y4:Y34,$B3)+COUNTIF('5月'!AC4:AC34,$B3)+COUNTIF('5月'!AD4:AD34,$B3)+COUNTIF('5月'!AH4:AH34,$B3)+COUNTIF('5月'!AI4:AI34,$B3)+COUNTIF('5月'!AM4:AM34,$B3)+COUNTIF('5月'!AN4:AN34,$B3)+COUNTIF('5月'!AR4:AR34,$B3)+COUNTIF('5月'!AS4:AS34,$B3)+COUNTIF('5月'!AW4:AW34,$B3)+COUNTIF('5月'!AX4:AX34,$B3)+COUNTIF('5月'!BB4:BB34,$B3)+COUNTIF('5月'!BC4:BC34,$B3)+COUNTIF('5月'!BG4:BG34,$B3)+COUNTIF('5月'!BH4:BH34,$B3)+COUNTIF('5月'!BL4:BL34,$B3)+COUNTIF('5月'!BM4:BM34,$B3)+COUNTIF('5月'!BQ4:BQ34,$B3)+COUNTIF('5月'!BR4:BR34,$B3)+COUNTIF('5月'!BV4:BV34,$B3)+COUNTIF('5月'!BW4:BW34,$B3)+COUNTIF('5月'!CA4:CA34,$B3)+COUNTIF('5月'!CB4:CB34,$B3)+COUNTIF('5月'!CF4:CF34,$B3)+COUNTIF('5月'!CG4:CG34,$B3)+COUNTIF('5月'!CK4:CK34,$B3)+COUNTIF('5月'!CL4:CL34,$B3)+COUNTIF('5月'!CP4:CP34,$B3)+COUNTIF('5月'!CQ4:CQ34,$B3)+COUNTIF('5月'!CU4:CU34,$B3)+COUNTIF('5月'!CV4:CV34,$B3)+COUNTIF('5月'!CZ4:CZ34,$B3)+COUNTIF('5月'!DA4:DA34,$B3)+COUNTIF('5月'!DE4:DE34,$B3)+COUNTIF('5月'!DF4:DF34,$B3)+COUNTIF('5月'!DJ4:DJ34,$B3)+COUNTIF('5月'!DK4:DK34,$B3)+COUNTIF('5月'!DO4:DO34,$B3)+COUNTIF('5月'!DP4:DP34,$B3)+COUNTIF('5月'!DT4:DT34,$B3)+COUNTIF('5月'!DU4:DU34,$B3)+COUNTIF('5月'!DY4:DY34,$B3)+COUNTIF('5月'!DZ4:DZ34,$B3)+COUNTIF('5月'!ED4:ED34,$B3)+COUNTIF('5月'!EE4:EE34,$B3)+COUNTIF('5月'!EI4:EI34,$B3)+COUNTIF('5月'!EJ4:EJ34,$B3)+COUNTIF('5月'!EN4:EN34,$B3)+COUNTIF('5月'!EO4:EO34,$B3)+COUNTIF('5月'!ES4:ES34,$B3)+COUNTIF('5月'!ET4:ET34,$B3)),0)</f>
        <v>0</v>
      </c>
      <c r="H3" s="76">
        <f>IFERROR(IF($B3="","",COUNTIF('6月'!D4:D34,$B3)+COUNTIF('6月'!E4:E34,$B3)+COUNTIF('6月'!I4:I34,$B3)+COUNTIF('6月'!J4:J34,$B3)+COUNTIF('6月'!N4:N34,$B3)+COUNTIF('6月'!O4:O34,$B3)+COUNTIF('6月'!S4:S34,$B3)+COUNTIF('6月'!T4:T34,$B3)+COUNTIF('6月'!X4:X34,$B3)+COUNTIF('6月'!Y4:Y34,$B3)+COUNTIF('6月'!AC4:AC34,$B3)+COUNTIF('6月'!AD4:AD34,$B3)+COUNTIF('6月'!AH4:AH34,$B3)+COUNTIF('6月'!AI4:AI34,$B3)+COUNTIF('6月'!AM4:AM34,$B3)+COUNTIF('6月'!AN4:AN34,$B3)+COUNTIF('6月'!AR4:AR34,$B3)+COUNTIF('6月'!AS4:AS34,$B3)+COUNTIF('6月'!AW4:AW34,$B3)+COUNTIF('6月'!AX4:AX34,$B3)+COUNTIF('6月'!BB4:BB34,$B3)+COUNTIF('6月'!BC4:BC34,$B3)+COUNTIF('6月'!BG4:BG34,$B3)+COUNTIF('6月'!BH4:BH34,$B3)+COUNTIF('6月'!BL4:BL34,$B3)+COUNTIF('6月'!BM4:BM34,$B3)+COUNTIF('6月'!BQ4:BQ34,$B3)+COUNTIF('6月'!BR4:BR34,$B3)+COUNTIF('6月'!BV4:BV34,$B3)+COUNTIF('6月'!BW4:BW34,$B3)+COUNTIF('6月'!CA4:CA34,$B3)+COUNTIF('6月'!CB4:CB34,$B3)+COUNTIF('6月'!CF4:CF34,$B3)+COUNTIF('6月'!CG4:CG34,$B3)+COUNTIF('6月'!CK4:CK34,$B3)+COUNTIF('6月'!CL4:CL34,$B3)+COUNTIF('6月'!CP4:CP34,$B3)+COUNTIF('6月'!CQ4:CQ34,$B3)+COUNTIF('6月'!CU4:CU34,$B3)+COUNTIF('6月'!CV4:CV34,$B3)+COUNTIF('6月'!CZ4:CZ34,$B3)+COUNTIF('6月'!DA4:DA34,$B3)+COUNTIF('6月'!DE4:DE34,$B3)+COUNTIF('6月'!DF4:DF34,$B3)+COUNTIF('6月'!DJ4:DJ34,$B3)+COUNTIF('6月'!DK4:DK34,$B3)+COUNTIF('6月'!DO4:DO34,$B3)+COUNTIF('6月'!DP4:DP34,$B3)+COUNTIF('6月'!DT4:DT34,$B3)+COUNTIF('6月'!DU4:DU34,$B3)+COUNTIF('6月'!DY4:DY34,$B3)+COUNTIF('6月'!DZ4:DZ34,$B3)+COUNTIF('6月'!ED4:ED34,$B3)+COUNTIF('6月'!EE4:EE34,$B3)+COUNTIF('6月'!EI4:EI34,$B3)+COUNTIF('6月'!EJ4:EJ34,$B3)+COUNTIF('6月'!EN4:EN34,$B3)+COUNTIF('6月'!EO4:EO34,$B3)+COUNTIF('6月'!ES4:ES34,$B3)+COUNTIF('6月'!ET4:ET34,$B3)),0)</f>
        <v>0</v>
      </c>
      <c r="I3" s="76">
        <f>IFERROR(IF($B3="","",COUNTIF('7月'!D4:D34,$B3)+COUNTIF('7月'!E4:E34,$B3)+COUNTIF('7月'!I4:I34,$B3)+COUNTIF('7月'!J4:J34,$B3)+COUNTIF('7月'!N4:N34,$B3)+COUNTIF('7月'!O4:O34,$B3)+COUNTIF('7月'!S4:S34,$B3)+COUNTIF('7月'!T4:T34,$B3)+COUNTIF('7月'!X4:X34,$B3)+COUNTIF('7月'!Y4:Y34,$B3)+COUNTIF('7月'!AC4:AC34,$B3)+COUNTIF('7月'!AD4:AD34,$B3)+COUNTIF('7月'!AH4:AH34,$B3)+COUNTIF('7月'!AI4:AI34,$B3)+COUNTIF('7月'!AM4:AM34,$B3)+COUNTIF('7月'!AN4:AN34,$B3)+COUNTIF('7月'!AR4:AR34,$B3)+COUNTIF('7月'!AS4:AS34,$B3)+COUNTIF('7月'!AW4:AW34,$B3)+COUNTIF('7月'!AX4:AX34,$B3)+COUNTIF('7月'!BB4:BB34,$B3)+COUNTIF('7月'!BC4:BC34,$B3)+COUNTIF('7月'!BG4:BG34,$B3)+COUNTIF('7月'!BH4:BH34,$B3)+COUNTIF('7月'!BL4:BL34,$B3)+COUNTIF('7月'!BM4:BM34,$B3)+COUNTIF('7月'!BQ4:BQ34,$B3)+COUNTIF('7月'!BR4:BR34,$B3)+COUNTIF('7月'!BV4:BV34,$B3)+COUNTIF('7月'!BW4:BW34,$B3)+COUNTIF('7月'!CA4:CA34,$B3)+COUNTIF('7月'!CB4:CB34,$B3)+COUNTIF('7月'!CF4:CF34,$B3)+COUNTIF('7月'!CG4:CG34,$B3)+COUNTIF('7月'!CK4:CK34,$B3)+COUNTIF('7月'!CL4:CL34,$B3)+COUNTIF('7月'!CP4:CP34,$B3)+COUNTIF('7月'!CQ4:CQ34,$B3)+COUNTIF('7月'!CU4:CU34,$B3)+COUNTIF('7月'!CV4:CV34,$B3)+COUNTIF('7月'!CZ4:CZ34,$B3)+COUNTIF('7月'!DA4:DA34,$B3)+COUNTIF('7月'!DE4:DE34,$B3)+COUNTIF('7月'!DF4:DF34,$B3)+COUNTIF('7月'!DJ4:DJ34,$B3)+COUNTIF('7月'!DK4:DK34,$B3)+COUNTIF('7月'!DO4:DO34,$B3)+COUNTIF('7月'!DP4:DP34,$B3)+COUNTIF('7月'!DT4:DT34,$B3)+COUNTIF('7月'!DU4:DU34,$B3)+COUNTIF('7月'!DY4:DY34,$B3)+COUNTIF('7月'!DZ4:DZ34,$B3)+COUNTIF('7月'!ED4:ED34,$B3)+COUNTIF('7月'!EE4:EE34,$B3)+COUNTIF('7月'!EI4:EI34,$B3)+COUNTIF('7月'!EJ4:EJ34,$B3)+COUNTIF('7月'!EN4:EN34,$B3)+COUNTIF('7月'!EO4:EO34,$B3)+COUNTIF('7月'!ES4:ES34,$B3)+COUNTIF('7月'!ET4:ET34,$B3)),0)</f>
        <v>0</v>
      </c>
      <c r="J3" s="76">
        <f>IFERROR(IF($B3="","",COUNTIF('8月'!D4:D34,$B3)+COUNTIF('8月'!E4:E34,$B3)+COUNTIF('8月'!I4:I34,$B3)+COUNTIF('8月'!J4:J34,$B3)+COUNTIF('8月'!N4:N34,$B3)+COUNTIF('8月'!O4:O34,$B3)+COUNTIF('8月'!S4:S34,$B3)+COUNTIF('8月'!T4:T34,$B3)+COUNTIF('8月'!X4:X34,$B3)+COUNTIF('8月'!Y4:Y34,$B3)+COUNTIF('8月'!AC4:AC34,$B3)+COUNTIF('8月'!AD4:AD34,$B3)+COUNTIF('8月'!AH4:AH34,$B3)+COUNTIF('8月'!AI4:AI34,$B3)+COUNTIF('8月'!AM4:AM34,$B3)+COUNTIF('8月'!AN4:AN34,$B3)+COUNTIF('8月'!AR4:AR34,$B3)+COUNTIF('8月'!AS4:AS34,$B3)+COUNTIF('8月'!AW4:AW34,$B3)+COUNTIF('8月'!AX4:AX34,$B3)+COUNTIF('8月'!BB4:BB34,$B3)+COUNTIF('8月'!BC4:BC34,$B3)+COUNTIF('8月'!BG4:BG34,$B3)+COUNTIF('8月'!BH4:BH34,$B3)+COUNTIF('8月'!BL4:BL34,$B3)+COUNTIF('8月'!BM4:BM34,$B3)+COUNTIF('8月'!BQ4:BQ34,$B3)+COUNTIF('8月'!BR4:BR34,$B3)+COUNTIF('8月'!BV4:BV34,$B3)+COUNTIF('8月'!BW4:BW34,$B3)+COUNTIF('8月'!CA4:CA34,$B3)+COUNTIF('8月'!CB4:CB34,$B3)+COUNTIF('8月'!CF4:CF34,$B3)+COUNTIF('8月'!CG4:CG34,$B3)+COUNTIF('8月'!CK4:CK34,$B3)+COUNTIF('8月'!CL4:CL34,$B3)+COUNTIF('8月'!CP4:CP34,$B3)+COUNTIF('8月'!CQ4:CQ34,$B3)+COUNTIF('8月'!CU4:CU34,$B3)+COUNTIF('8月'!CV4:CV34,$B3)+COUNTIF('8月'!CZ4:CZ34,$B3)+COUNTIF('8月'!DA4:DA34,$B3)+COUNTIF('8月'!DE4:DE34,$B3)+COUNTIF('8月'!DF4:DF34,$B3)+COUNTIF('8月'!DJ4:DJ34,$B3)+COUNTIF('8月'!DK4:DK34,$B3)+COUNTIF('8月'!DO4:DO34,$B3)+COUNTIF('8月'!DP4:DP34,$B3)+COUNTIF('8月'!DT4:DT34,$B3)+COUNTIF('8月'!DU4:DU34,$B3)+COUNTIF('8月'!DY4:DY34,$B3)+COUNTIF('8月'!DZ4:DZ34,$B3)+COUNTIF('8月'!ED4:ED34,$B3)+COUNTIF('8月'!EE4:EE34,$B3)+COUNTIF('8月'!EI4:EI34,$B3)+COUNTIF('8月'!EJ4:EJ34,$B3)+COUNTIF('8月'!EN4:EN34,$B3)+COUNTIF('8月'!EO4:EO34,$B3)+COUNTIF('8月'!ES4:ES34,$B3)+COUNTIF('8月'!ET4:ET34,$B3)),0)</f>
        <v>0</v>
      </c>
      <c r="K3" s="76">
        <f>IFERROR(IF($B3="","",COUNTIF('9月'!D4:D34,$B3)+COUNTIF('9月'!E4:E34,$B3)+COUNTIF('9月'!I4:I34,$B3)+COUNTIF('9月'!J4:J34,$B3)+COUNTIF('9月'!N4:N34,$B3)+COUNTIF('9月'!O4:O34,$B3)+COUNTIF('9月'!S4:S34,$B3)+COUNTIF('9月'!T4:T34,$B3)+COUNTIF('9月'!X4:X34,$B3)+COUNTIF('9月'!Y4:Y34,$B3)+COUNTIF('9月'!AC4:AC34,$B3)+COUNTIF('9月'!AD4:AD34,$B3)+COUNTIF('9月'!AH4:AH34,$B3)+COUNTIF('9月'!AI4:AI34,$B3)+COUNTIF('9月'!AM4:AM34,$B3)+COUNTIF('9月'!AN4:AN34,$B3)+COUNTIF('9月'!AR4:AR34,$B3)+COUNTIF('9月'!AS4:AS34,$B3)+COUNTIF('9月'!AW4:AW34,$B3)+COUNTIF('9月'!AX4:AX34,$B3)+COUNTIF('9月'!BB4:BB34,$B3)+COUNTIF('9月'!BC4:BC34,$B3)+COUNTIF('9月'!BG4:BG34,$B3)+COUNTIF('9月'!BH4:BH34,$B3)+COUNTIF('9月'!BL4:BL34,$B3)+COUNTIF('9月'!BM4:BM34,$B3)+COUNTIF('9月'!BQ4:BQ34,$B3)+COUNTIF('9月'!BR4:BR34,$B3)+COUNTIF('9月'!BV4:BV34,$B3)+COUNTIF('9月'!BW4:BW34,$B3)+COUNTIF('9月'!CA4:CA34,$B3)+COUNTIF('9月'!CB4:CB34,$B3)+COUNTIF('9月'!CF4:CF34,$B3)+COUNTIF('9月'!CG4:CG34,$B3)+COUNTIF('9月'!CK4:CK34,$B3)+COUNTIF('9月'!CL4:CL34,$B3)+COUNTIF('9月'!CP4:CP34,$B3)+COUNTIF('9月'!CQ4:CQ34,$B3)+COUNTIF('9月'!CU4:CU34,$B3)+COUNTIF('9月'!CV4:CV34,$B3)+COUNTIF('9月'!CZ4:CZ34,$B3)+COUNTIF('9月'!DA4:DA34,$B3)+COUNTIF('9月'!DE4:DE34,$B3)+COUNTIF('9月'!DF4:DF34,$B3)+COUNTIF('9月'!DJ4:DJ34,$B3)+COUNTIF('9月'!DK4:DK34,$B3)+COUNTIF('9月'!DO4:DO34,$B3)+COUNTIF('9月'!DP4:DP34,$B3)+COUNTIF('9月'!DT4:DT34,$B3)+COUNTIF('9月'!DU4:DU34,$B3)+COUNTIF('9月'!DY4:DY34,$B3)+COUNTIF('9月'!DZ4:DZ34,$B3)+COUNTIF('9月'!ED4:ED34,$B3)+COUNTIF('9月'!EE4:EE34,$B3)+COUNTIF('9月'!EI4:EI34,$B3)+COUNTIF('9月'!EJ4:EJ34,$B3)+COUNTIF('9月'!EN4:EN34,$B3)+COUNTIF('9月'!EO4:EO34,$B3)+COUNTIF('9月'!ES4:ES34,$B3)+COUNTIF('9月'!ET4:ET34,$B3)),0)</f>
        <v>0</v>
      </c>
      <c r="L3" s="76">
        <f>IFERROR(IF($B3="","",COUNTIF('10月'!D4:D34,$B3)+COUNTIF('10月'!E4:E34,$B3)+COUNTIF('10月'!I4:I34,$B3)+COUNTIF('10月'!J4:J34,$B3)+COUNTIF('10月'!N4:N34,$B3)+COUNTIF('10月'!O4:O34,$B3)+COUNTIF('10月'!S4:S34,$B3)+COUNTIF('10月'!T4:T34,$B3)+COUNTIF('10月'!X4:X34,$B3)+COUNTIF('10月'!Y4:Y34,$B3)+COUNTIF('10月'!AC4:AC34,$B3)+COUNTIF('10月'!AD4:AD34,$B3)+COUNTIF('10月'!AH4:AH34,$B3)+COUNTIF('10月'!AI4:AI34,$B3)+COUNTIF('10月'!AM4:AM34,$B3)+COUNTIF('10月'!AN4:AN34,$B3)+COUNTIF('10月'!AR4:AR34,$B3)+COUNTIF('10月'!AS4:AS34,$B3)+COUNTIF('10月'!AW4:AW34,$B3)+COUNTIF('10月'!AX4:AX34,$B3)+COUNTIF('10月'!BB4:BB34,$B3)+COUNTIF('10月'!BC4:BC34,$B3)+COUNTIF('10月'!BG4:BG34,$B3)+COUNTIF('10月'!BH4:BH34,$B3)+COUNTIF('10月'!BL4:BL34,$B3)+COUNTIF('10月'!BM4:BM34,$B3)+COUNTIF('10月'!BQ4:BQ34,$B3)+COUNTIF('10月'!BR4:BR34,$B3)+COUNTIF('10月'!BV4:BV34,$B3)+COUNTIF('10月'!BW4:BW34,$B3)+COUNTIF('10月'!CA4:CA34,$B3)+COUNTIF('10月'!CB4:CB34,$B3)+COUNTIF('10月'!CF4:CF34,$B3)+COUNTIF('10月'!CG4:CG34,$B3)+COUNTIF('10月'!CK4:CK34,$B3)+COUNTIF('10月'!CL4:CL34,$B3)+COUNTIF('10月'!CP4:CP34,$B3)+COUNTIF('10月'!CQ4:CQ34,$B3)+COUNTIF('10月'!CU4:CU34,$B3)+COUNTIF('10月'!CV4:CV34,$B3)+COUNTIF('10月'!CZ4:CZ34,$B3)+COUNTIF('10月'!DA4:DA34,$B3)+COUNTIF('10月'!DE4:DE34,$B3)+COUNTIF('10月'!DF4:DF34,$B3)+COUNTIF('10月'!DJ4:DJ34,$B3)+COUNTIF('10月'!DK4:DK34,$B3)+COUNTIF('10月'!DO4:DO34,$B3)+COUNTIF('10月'!DP4:DP34,$B3)+COUNTIF('10月'!DT4:DT34,$B3)+COUNTIF('10月'!DU4:DU34,$B3)+COUNTIF('10月'!DY4:DY34,$B3)+COUNTIF('10月'!DZ4:DZ34,$B3)+COUNTIF('10月'!ED4:ED34,$B3)+COUNTIF('10月'!EE4:EE34,$B3)+COUNTIF('10月'!EI4:EI34,$B3)+COUNTIF('10月'!EJ4:EJ34,$B3)+COUNTIF('10月'!EN4:EN34,$B3)+COUNTIF('10月'!EO4:EO34,$B3)+COUNTIF('10月'!ES4:ES34,$B3)+COUNTIF('10月'!ET4:ET34,$B3)),0)</f>
        <v>0</v>
      </c>
      <c r="M3" s="76">
        <f>IFERROR(IF($B3="","",COUNTIF('11月'!D4:D34,$B3)+COUNTIF('11月'!E4:E34,$B3)+COUNTIF('11月'!I4:I34,$B3)+COUNTIF('11月'!J4:J34,$B3)+COUNTIF('11月'!N4:N34,$B3)+COUNTIF('11月'!O4:O34,$B3)+COUNTIF('11月'!S4:S34,$B3)+COUNTIF('11月'!T4:T34,$B3)+COUNTIF('11月'!X4:X34,$B3)+COUNTIF('11月'!Y4:Y34,$B3)+COUNTIF('11月'!AC4:AC34,$B3)+COUNTIF('11月'!AD4:AD34,$B3)+COUNTIF('11月'!AH4:AH34,$B3)+COUNTIF('11月'!AI4:AI34,$B3)+COUNTIF('11月'!AM4:AM34,$B3)+COUNTIF('11月'!AN4:AN34,$B3)+COUNTIF('11月'!AR4:AR34,$B3)+COUNTIF('11月'!AS4:AS34,$B3)+COUNTIF('11月'!AW4:AW34,$B3)+COUNTIF('11月'!AX4:AX34,$B3)+COUNTIF('11月'!BB4:BB34,$B3)+COUNTIF('11月'!BC4:BC34,$B3)+COUNTIF('11月'!BG4:BG34,$B3)+COUNTIF('11月'!BH4:BH34,$B3)+COUNTIF('11月'!BL4:BL34,$B3)+COUNTIF('11月'!BM4:BM34,$B3)+COUNTIF('11月'!BQ4:BQ34,$B3)+COUNTIF('11月'!BR4:BR34,$B3)+COUNTIF('11月'!BV4:BV34,$B3)+COUNTIF('11月'!BW4:BW34,$B3)+COUNTIF('11月'!CA4:CA34,$B3)+COUNTIF('11月'!CB4:CB34,$B3)+COUNTIF('11月'!CF4:CF34,$B3)+COUNTIF('11月'!CG4:CG34,$B3)+COUNTIF('11月'!CK4:CK34,$B3)+COUNTIF('11月'!CL4:CL34,$B3)+COUNTIF('11月'!CP4:CP34,$B3)+COUNTIF('11月'!CQ4:CQ34,$B3)+COUNTIF('11月'!CU4:CU34,$B3)+COUNTIF('11月'!CV4:CV34,$B3)+COUNTIF('11月'!CZ4:CZ34,$B3)+COUNTIF('11月'!DA4:DA34,$B3)+COUNTIF('11月'!DE4:DE34,$B3)+COUNTIF('11月'!DF4:DF34,$B3)+COUNTIF('11月'!DJ4:DJ34,$B3)+COUNTIF('11月'!DK4:DK34,$B3)+COUNTIF('11月'!DO4:DO34,$B3)+COUNTIF('11月'!DP4:DP34,$B3)+COUNTIF('11月'!DT4:DT34,$B3)+COUNTIF('11月'!DU4:DU34,$B3)+COUNTIF('11月'!DY4:DY34,$B3)+COUNTIF('11月'!DZ4:DZ34,$B3)+COUNTIF('11月'!ED4:ED34,$B3)+COUNTIF('11月'!EE4:EE34,$B3)+COUNTIF('11月'!EI4:EI34,$B3)+COUNTIF('11月'!EJ4:EJ34,$B3)+COUNTIF('11月'!EN4:EN34,$B3)+COUNTIF('11月'!EO4:EO34,$B3)+COUNTIF('11月'!ES4:ES34,$B3)+COUNTIF('11月'!ET4:ET34,$B3)),0)</f>
        <v>0</v>
      </c>
      <c r="N3" s="76">
        <f>IFERROR(IF($B3="","",COUNTIF('12月'!D4:D34,$B3)+COUNTIF('12月'!E4:E34,$B3)+COUNTIF('12月'!I4:I34,$B3)+COUNTIF('12月'!J4:J34,$B3)+COUNTIF('12月'!N4:N34,$B3)+COUNTIF('12月'!O4:O34,$B3)+COUNTIF('12月'!S4:S34,$B3)+COUNTIF('12月'!T4:T34,$B3)+COUNTIF('12月'!X4:X34,$B3)+COUNTIF('12月'!Y4:Y34,$B3)+COUNTIF('12月'!AC4:AC34,$B3)+COUNTIF('12月'!AD4:AD34,$B3)+COUNTIF('12月'!AH4:AH34,$B3)+COUNTIF('12月'!AI4:AI34,$B3)+COUNTIF('12月'!AM4:AM34,$B3)+COUNTIF('12月'!AN4:AN34,$B3)+COUNTIF('12月'!AR4:AR34,$B3)+COUNTIF('12月'!AS4:AS34,$B3)+COUNTIF('12月'!AW4:AW34,$B3)+COUNTIF('12月'!AX4:AX34,$B3)+COUNTIF('12月'!BB4:BB34,$B3)+COUNTIF('12月'!BC4:BC34,$B3)+COUNTIF('12月'!BG4:BG34,$B3)+COUNTIF('12月'!BH4:BH34,$B3)+COUNTIF('12月'!BL4:BL34,$B3)+COUNTIF('12月'!BM4:BM34,$B3)+COUNTIF('12月'!BQ4:BQ34,$B3)+COUNTIF('12月'!BR4:BR34,$B3)+COUNTIF('12月'!BV4:BV34,$B3)+COUNTIF('12月'!BW4:BW34,$B3)+COUNTIF('12月'!CA4:CA34,$B3)+COUNTIF('12月'!CB4:CB34,$B3)+COUNTIF('12月'!CF4:CF34,$B3)+COUNTIF('12月'!CG4:CG34,$B3)+COUNTIF('12月'!CK4:CK34,$B3)+COUNTIF('12月'!CL4:CL34,$B3)+COUNTIF('12月'!CP4:CP34,$B3)+COUNTIF('12月'!CQ4:CQ34,$B3)+COUNTIF('12月'!CU4:CU34,$B3)+COUNTIF('12月'!CV4:CV34,$B3)+COUNTIF('12月'!CZ4:CZ34,$B3)+COUNTIF('12月'!DA4:DA34,$B3)+COUNTIF('12月'!DE4:DE34,$B3)+COUNTIF('12月'!DF4:DF34,$B3)+COUNTIF('12月'!DJ4:DJ34,$B3)+COUNTIF('12月'!DK4:DK34,$B3)+COUNTIF('12月'!DO4:DO34,$B3)+COUNTIF('12月'!DP4:DP34,$B3)+COUNTIF('12月'!DT4:DT34,$B3)+COUNTIF('12月'!DU4:DU34,$B3)+COUNTIF('12月'!DY4:DY34,$B3)+COUNTIF('12月'!DZ4:DZ34,$B3)+COUNTIF('12月'!ED4:ED34,$B3)+COUNTIF('12月'!EE4:EE34,$B3)+COUNTIF('12月'!EI4:EI34,$B3)+COUNTIF('12月'!EJ4:EJ34,$B3)+COUNTIF('12月'!EN4:EN34,$B3)+COUNTIF('12月'!EO4:EO34,$B3)+COUNTIF('12月'!ES4:ES34,$B3)+COUNTIF('12月'!ET4:ET34,$B3)),0)</f>
        <v>0</v>
      </c>
      <c r="O3" s="78">
        <f t="shared" ref="O3:O42" si="0">IFERROR(IF($B3="","",SUM(C3:N3)),0)</f>
        <v>0</v>
      </c>
    </row>
    <row r="4" spans="1:15" ht="19.5" customHeight="1">
      <c r="A4" s="76">
        <v>2</v>
      </c>
      <c r="B4" s="77" t="str">
        <f>IFERROR(現場マスタ!$C$5,"")</f>
        <v>B現場（マンション改修）</v>
      </c>
      <c r="C4" s="76">
        <f>IFERROR(IF($B4="","",COUNTIF('1月'!D4:D34,$B4)+COUNTIF('1月'!E4:E34,$B4)+COUNTIF('1月'!I4:I34,$B4)+COUNTIF('1月'!J4:J34,$B4)+COUNTIF('1月'!N4:N34,$B4)+COUNTIF('1月'!O4:O34,$B4)+COUNTIF('1月'!S4:S34,$B4)+COUNTIF('1月'!T4:T34,$B4)+COUNTIF('1月'!X4:X34,$B4)+COUNTIF('1月'!Y4:Y34,$B4)+COUNTIF('1月'!AC4:AC34,$B4)+COUNTIF('1月'!AD4:AD34,$B4)+COUNTIF('1月'!AH4:AH34,$B4)+COUNTIF('1月'!AI4:AI34,$B4)+COUNTIF('1月'!AM4:AM34,$B4)+COUNTIF('1月'!AN4:AN34,$B4)+COUNTIF('1月'!AR4:AR34,$B4)+COUNTIF('1月'!AS4:AS34,$B4)+COUNTIF('1月'!AW4:AW34,$B4)+COUNTIF('1月'!AX4:AX34,$B4)+COUNTIF('1月'!BB4:BB34,$B4)+COUNTIF('1月'!BC4:BC34,$B4)+COUNTIF('1月'!BG4:BG34,$B4)+COUNTIF('1月'!BH4:BH34,$B4)+COUNTIF('1月'!BL4:BL34,$B4)+COUNTIF('1月'!BM4:BM34,$B4)+COUNTIF('1月'!BQ4:BQ34,$B4)+COUNTIF('1月'!BR4:BR34,$B4)+COUNTIF('1月'!BV4:BV34,$B4)+COUNTIF('1月'!BW4:BW34,$B4)+COUNTIF('1月'!CA4:CA34,$B4)+COUNTIF('1月'!CB4:CB34,$B4)+COUNTIF('1月'!CF4:CF34,$B4)+COUNTIF('1月'!CG4:CG34,$B4)+COUNTIF('1月'!CK4:CK34,$B4)+COUNTIF('1月'!CL4:CL34,$B4)+COUNTIF('1月'!CP4:CP34,$B4)+COUNTIF('1月'!CQ4:CQ34,$B4)+COUNTIF('1月'!CU4:CU34,$B4)+COUNTIF('1月'!CV4:CV34,$B4)+COUNTIF('1月'!CZ4:CZ34,$B4)+COUNTIF('1月'!DA4:DA34,$B4)+COUNTIF('1月'!DE4:DE34,$B4)+COUNTIF('1月'!DF4:DF34,$B4)+COUNTIF('1月'!DJ4:DJ34,$B4)+COUNTIF('1月'!DK4:DK34,$B4)+COUNTIF('1月'!DO4:DO34,$B4)+COUNTIF('1月'!DP4:DP34,$B4)+COUNTIF('1月'!DT4:DT34,$B4)+COUNTIF('1月'!DU4:DU34,$B4)+COUNTIF('1月'!DY4:DY34,$B4)+COUNTIF('1月'!DZ4:DZ34,$B4)+COUNTIF('1月'!ED4:ED34,$B4)+COUNTIF('1月'!EE4:EE34,$B4)+COUNTIF('1月'!EI4:EI34,$B4)+COUNTIF('1月'!EJ4:EJ34,$B4)+COUNTIF('1月'!EN4:EN34,$B4)+COUNTIF('1月'!EO4:EO34,$B4)+COUNTIF('1月'!ES4:ES34,$B4)+COUNTIF('1月'!ET4:ET34,$B4)),0)</f>
        <v>0</v>
      </c>
      <c r="D4" s="76">
        <f>IFERROR(IF($B4="","",COUNTIF('2月'!D4:D34,$B4)+COUNTIF('2月'!E4:E34,$B4)+COUNTIF('2月'!I4:I34,$B4)+COUNTIF('2月'!J4:J34,$B4)+COUNTIF('2月'!N4:N34,$B4)+COUNTIF('2月'!O4:O34,$B4)+COUNTIF('2月'!S4:S34,$B4)+COUNTIF('2月'!T4:T34,$B4)+COUNTIF('2月'!X4:X34,$B4)+COUNTIF('2月'!Y4:Y34,$B4)+COUNTIF('2月'!AC4:AC34,$B4)+COUNTIF('2月'!AD4:AD34,$B4)+COUNTIF('2月'!AH4:AH34,$B4)+COUNTIF('2月'!AI4:AI34,$B4)+COUNTIF('2月'!AM4:AM34,$B4)+COUNTIF('2月'!AN4:AN34,$B4)+COUNTIF('2月'!AR4:AR34,$B4)+COUNTIF('2月'!AS4:AS34,$B4)+COUNTIF('2月'!AW4:AW34,$B4)+COUNTIF('2月'!AX4:AX34,$B4)+COUNTIF('2月'!BB4:BB34,$B4)+COUNTIF('2月'!BC4:BC34,$B4)+COUNTIF('2月'!BG4:BG34,$B4)+COUNTIF('2月'!BH4:BH34,$B4)+COUNTIF('2月'!BL4:BL34,$B4)+COUNTIF('2月'!BM4:BM34,$B4)+COUNTIF('2月'!BQ4:BQ34,$B4)+COUNTIF('2月'!BR4:BR34,$B4)+COUNTIF('2月'!BV4:BV34,$B4)+COUNTIF('2月'!BW4:BW34,$B4)+COUNTIF('2月'!CA4:CA34,$B4)+COUNTIF('2月'!CB4:CB34,$B4)+COUNTIF('2月'!CF4:CF34,$B4)+COUNTIF('2月'!CG4:CG34,$B4)+COUNTIF('2月'!CK4:CK34,$B4)+COUNTIF('2月'!CL4:CL34,$B4)+COUNTIF('2月'!CP4:CP34,$B4)+COUNTIF('2月'!CQ4:CQ34,$B4)+COUNTIF('2月'!CU4:CU34,$B4)+COUNTIF('2月'!CV4:CV34,$B4)+COUNTIF('2月'!CZ4:CZ34,$B4)+COUNTIF('2月'!DA4:DA34,$B4)+COUNTIF('2月'!DE4:DE34,$B4)+COUNTIF('2月'!DF4:DF34,$B4)+COUNTIF('2月'!DJ4:DJ34,$B4)+COUNTIF('2月'!DK4:DK34,$B4)+COUNTIF('2月'!DO4:DO34,$B4)+COUNTIF('2月'!DP4:DP34,$B4)+COUNTIF('2月'!DT4:DT34,$B4)+COUNTIF('2月'!DU4:DU34,$B4)+COUNTIF('2月'!DY4:DY34,$B4)+COUNTIF('2月'!DZ4:DZ34,$B4)+COUNTIF('2月'!ED4:ED34,$B4)+COUNTIF('2月'!EE4:EE34,$B4)+COUNTIF('2月'!EI4:EI34,$B4)+COUNTIF('2月'!EJ4:EJ34,$B4)+COUNTIF('2月'!EN4:EN34,$B4)+COUNTIF('2月'!EO4:EO34,$B4)+COUNTIF('2月'!ES4:ES34,$B4)+COUNTIF('2月'!ET4:ET34,$B4)),0)</f>
        <v>0</v>
      </c>
      <c r="E4" s="76">
        <f>IFERROR(IF($B4="","",COUNTIF('3月'!D4:D34,$B4)+COUNTIF('3月'!E4:E34,$B4)+COUNTIF('3月'!I4:I34,$B4)+COUNTIF('3月'!J4:J34,$B4)+COUNTIF('3月'!N4:N34,$B4)+COUNTIF('3月'!O4:O34,$B4)+COUNTIF('3月'!S4:S34,$B4)+COUNTIF('3月'!T4:T34,$B4)+COUNTIF('3月'!X4:X34,$B4)+COUNTIF('3月'!Y4:Y34,$B4)+COUNTIF('3月'!AC4:AC34,$B4)+COUNTIF('3月'!AD4:AD34,$B4)+COUNTIF('3月'!AH4:AH34,$B4)+COUNTIF('3月'!AI4:AI34,$B4)+COUNTIF('3月'!AM4:AM34,$B4)+COUNTIF('3月'!AN4:AN34,$B4)+COUNTIF('3月'!AR4:AR34,$B4)+COUNTIF('3月'!AS4:AS34,$B4)+COUNTIF('3月'!AW4:AW34,$B4)+COUNTIF('3月'!AX4:AX34,$B4)+COUNTIF('3月'!BB4:BB34,$B4)+COUNTIF('3月'!BC4:BC34,$B4)+COUNTIF('3月'!BG4:BG34,$B4)+COUNTIF('3月'!BH4:BH34,$B4)+COUNTIF('3月'!BL4:BL34,$B4)+COUNTIF('3月'!BM4:BM34,$B4)+COUNTIF('3月'!BQ4:BQ34,$B4)+COUNTIF('3月'!BR4:BR34,$B4)+COUNTIF('3月'!BV4:BV34,$B4)+COUNTIF('3月'!BW4:BW34,$B4)+COUNTIF('3月'!CA4:CA34,$B4)+COUNTIF('3月'!CB4:CB34,$B4)+COUNTIF('3月'!CF4:CF34,$B4)+COUNTIF('3月'!CG4:CG34,$B4)+COUNTIF('3月'!CK4:CK34,$B4)+COUNTIF('3月'!CL4:CL34,$B4)+COUNTIF('3月'!CP4:CP34,$B4)+COUNTIF('3月'!CQ4:CQ34,$B4)+COUNTIF('3月'!CU4:CU34,$B4)+COUNTIF('3月'!CV4:CV34,$B4)+COUNTIF('3月'!CZ4:CZ34,$B4)+COUNTIF('3月'!DA4:DA34,$B4)+COUNTIF('3月'!DE4:DE34,$B4)+COUNTIF('3月'!DF4:DF34,$B4)+COUNTIF('3月'!DJ4:DJ34,$B4)+COUNTIF('3月'!DK4:DK34,$B4)+COUNTIF('3月'!DO4:DO34,$B4)+COUNTIF('3月'!DP4:DP34,$B4)+COUNTIF('3月'!DT4:DT34,$B4)+COUNTIF('3月'!DU4:DU34,$B4)+COUNTIF('3月'!DY4:DY34,$B4)+COUNTIF('3月'!DZ4:DZ34,$B4)+COUNTIF('3月'!ED4:ED34,$B4)+COUNTIF('3月'!EE4:EE34,$B4)+COUNTIF('3月'!EI4:EI34,$B4)+COUNTIF('3月'!EJ4:EJ34,$B4)+COUNTIF('3月'!EN4:EN34,$B4)+COUNTIF('3月'!EO4:EO34,$B4)+COUNTIF('3月'!ES4:ES34,$B4)+COUNTIF('3月'!ET4:ET34,$B4)),0)</f>
        <v>0</v>
      </c>
      <c r="F4" s="76">
        <f>IFERROR(IF($B4="","",COUNTIF('4月'!D4:D34,$B4)+COUNTIF('4月'!E4:E34,$B4)+COUNTIF('4月'!I4:I34,$B4)+COUNTIF('4月'!J4:J34,$B4)+COUNTIF('4月'!N4:N34,$B4)+COUNTIF('4月'!O4:O34,$B4)+COUNTIF('4月'!S4:S34,$B4)+COUNTIF('4月'!T4:T34,$B4)+COUNTIF('4月'!X4:X34,$B4)+COUNTIF('4月'!Y4:Y34,$B4)+COUNTIF('4月'!AC4:AC34,$B4)+COUNTIF('4月'!AD4:AD34,$B4)+COUNTIF('4月'!AH4:AH34,$B4)+COUNTIF('4月'!AI4:AI34,$B4)+COUNTIF('4月'!AM4:AM34,$B4)+COUNTIF('4月'!AN4:AN34,$B4)+COUNTIF('4月'!AR4:AR34,$B4)+COUNTIF('4月'!AS4:AS34,$B4)+COUNTIF('4月'!AW4:AW34,$B4)+COUNTIF('4月'!AX4:AX34,$B4)+COUNTIF('4月'!BB4:BB34,$B4)+COUNTIF('4月'!BC4:BC34,$B4)+COUNTIF('4月'!BG4:BG34,$B4)+COUNTIF('4月'!BH4:BH34,$B4)+COUNTIF('4月'!BL4:BL34,$B4)+COUNTIF('4月'!BM4:BM34,$B4)+COUNTIF('4月'!BQ4:BQ34,$B4)+COUNTIF('4月'!BR4:BR34,$B4)+COUNTIF('4月'!BV4:BV34,$B4)+COUNTIF('4月'!BW4:BW34,$B4)+COUNTIF('4月'!CA4:CA34,$B4)+COUNTIF('4月'!CB4:CB34,$B4)+COUNTIF('4月'!CF4:CF34,$B4)+COUNTIF('4月'!CG4:CG34,$B4)+COUNTIF('4月'!CK4:CK34,$B4)+COUNTIF('4月'!CL4:CL34,$B4)+COUNTIF('4月'!CP4:CP34,$B4)+COUNTIF('4月'!CQ4:CQ34,$B4)+COUNTIF('4月'!CU4:CU34,$B4)+COUNTIF('4月'!CV4:CV34,$B4)+COUNTIF('4月'!CZ4:CZ34,$B4)+COUNTIF('4月'!DA4:DA34,$B4)+COUNTIF('4月'!DE4:DE34,$B4)+COUNTIF('4月'!DF4:DF34,$B4)+COUNTIF('4月'!DJ4:DJ34,$B4)+COUNTIF('4月'!DK4:DK34,$B4)+COUNTIF('4月'!DO4:DO34,$B4)+COUNTIF('4月'!DP4:DP34,$B4)+COUNTIF('4月'!DT4:DT34,$B4)+COUNTIF('4月'!DU4:DU34,$B4)+COUNTIF('4月'!DY4:DY34,$B4)+COUNTIF('4月'!DZ4:DZ34,$B4)+COUNTIF('4月'!ED4:ED34,$B4)+COUNTIF('4月'!EE4:EE34,$B4)+COUNTIF('4月'!EI4:EI34,$B4)+COUNTIF('4月'!EJ4:EJ34,$B4)+COUNTIF('4月'!EN4:EN34,$B4)+COUNTIF('4月'!EO4:EO34,$B4)+COUNTIF('4月'!ES4:ES34,$B4)+COUNTIF('4月'!ET4:ET34,$B4)),0)</f>
        <v>0</v>
      </c>
      <c r="G4" s="76">
        <f>IFERROR(IF($B4="","",COUNTIF('5月'!D4:D34,$B4)+COUNTIF('5月'!E4:E34,$B4)+COUNTIF('5月'!I4:I34,$B4)+COUNTIF('5月'!J4:J34,$B4)+COUNTIF('5月'!N4:N34,$B4)+COUNTIF('5月'!O4:O34,$B4)+COUNTIF('5月'!S4:S34,$B4)+COUNTIF('5月'!T4:T34,$B4)+COUNTIF('5月'!X4:X34,$B4)+COUNTIF('5月'!Y4:Y34,$B4)+COUNTIF('5月'!AC4:AC34,$B4)+COUNTIF('5月'!AD4:AD34,$B4)+COUNTIF('5月'!AH4:AH34,$B4)+COUNTIF('5月'!AI4:AI34,$B4)+COUNTIF('5月'!AM4:AM34,$B4)+COUNTIF('5月'!AN4:AN34,$B4)+COUNTIF('5月'!AR4:AR34,$B4)+COUNTIF('5月'!AS4:AS34,$B4)+COUNTIF('5月'!AW4:AW34,$B4)+COUNTIF('5月'!AX4:AX34,$B4)+COUNTIF('5月'!BB4:BB34,$B4)+COUNTIF('5月'!BC4:BC34,$B4)+COUNTIF('5月'!BG4:BG34,$B4)+COUNTIF('5月'!BH4:BH34,$B4)+COUNTIF('5月'!BL4:BL34,$B4)+COUNTIF('5月'!BM4:BM34,$B4)+COUNTIF('5月'!BQ4:BQ34,$B4)+COUNTIF('5月'!BR4:BR34,$B4)+COUNTIF('5月'!BV4:BV34,$B4)+COUNTIF('5月'!BW4:BW34,$B4)+COUNTIF('5月'!CA4:CA34,$B4)+COUNTIF('5月'!CB4:CB34,$B4)+COUNTIF('5月'!CF4:CF34,$B4)+COUNTIF('5月'!CG4:CG34,$B4)+COUNTIF('5月'!CK4:CK34,$B4)+COUNTIF('5月'!CL4:CL34,$B4)+COUNTIF('5月'!CP4:CP34,$B4)+COUNTIF('5月'!CQ4:CQ34,$B4)+COUNTIF('5月'!CU4:CU34,$B4)+COUNTIF('5月'!CV4:CV34,$B4)+COUNTIF('5月'!CZ4:CZ34,$B4)+COUNTIF('5月'!DA4:DA34,$B4)+COUNTIF('5月'!DE4:DE34,$B4)+COUNTIF('5月'!DF4:DF34,$B4)+COUNTIF('5月'!DJ4:DJ34,$B4)+COUNTIF('5月'!DK4:DK34,$B4)+COUNTIF('5月'!DO4:DO34,$B4)+COUNTIF('5月'!DP4:DP34,$B4)+COUNTIF('5月'!DT4:DT34,$B4)+COUNTIF('5月'!DU4:DU34,$B4)+COUNTIF('5月'!DY4:DY34,$B4)+COUNTIF('5月'!DZ4:DZ34,$B4)+COUNTIF('5月'!ED4:ED34,$B4)+COUNTIF('5月'!EE4:EE34,$B4)+COUNTIF('5月'!EI4:EI34,$B4)+COUNTIF('5月'!EJ4:EJ34,$B4)+COUNTIF('5月'!EN4:EN34,$B4)+COUNTIF('5月'!EO4:EO34,$B4)+COUNTIF('5月'!ES4:ES34,$B4)+COUNTIF('5月'!ET4:ET34,$B4)),0)</f>
        <v>0</v>
      </c>
      <c r="H4" s="76">
        <f>IFERROR(IF($B4="","",COUNTIF('6月'!D4:D34,$B4)+COUNTIF('6月'!E4:E34,$B4)+COUNTIF('6月'!I4:I34,$B4)+COUNTIF('6月'!J4:J34,$B4)+COUNTIF('6月'!N4:N34,$B4)+COUNTIF('6月'!O4:O34,$B4)+COUNTIF('6月'!S4:S34,$B4)+COUNTIF('6月'!T4:T34,$B4)+COUNTIF('6月'!X4:X34,$B4)+COUNTIF('6月'!Y4:Y34,$B4)+COUNTIF('6月'!AC4:AC34,$B4)+COUNTIF('6月'!AD4:AD34,$B4)+COUNTIF('6月'!AH4:AH34,$B4)+COUNTIF('6月'!AI4:AI34,$B4)+COUNTIF('6月'!AM4:AM34,$B4)+COUNTIF('6月'!AN4:AN34,$B4)+COUNTIF('6月'!AR4:AR34,$B4)+COUNTIF('6月'!AS4:AS34,$B4)+COUNTIF('6月'!AW4:AW34,$B4)+COUNTIF('6月'!AX4:AX34,$B4)+COUNTIF('6月'!BB4:BB34,$B4)+COUNTIF('6月'!BC4:BC34,$B4)+COUNTIF('6月'!BG4:BG34,$B4)+COUNTIF('6月'!BH4:BH34,$B4)+COUNTIF('6月'!BL4:BL34,$B4)+COUNTIF('6月'!BM4:BM34,$B4)+COUNTIF('6月'!BQ4:BQ34,$B4)+COUNTIF('6月'!BR4:BR34,$B4)+COUNTIF('6月'!BV4:BV34,$B4)+COUNTIF('6月'!BW4:BW34,$B4)+COUNTIF('6月'!CA4:CA34,$B4)+COUNTIF('6月'!CB4:CB34,$B4)+COUNTIF('6月'!CF4:CF34,$B4)+COUNTIF('6月'!CG4:CG34,$B4)+COUNTIF('6月'!CK4:CK34,$B4)+COUNTIF('6月'!CL4:CL34,$B4)+COUNTIF('6月'!CP4:CP34,$B4)+COUNTIF('6月'!CQ4:CQ34,$B4)+COUNTIF('6月'!CU4:CU34,$B4)+COUNTIF('6月'!CV4:CV34,$B4)+COUNTIF('6月'!CZ4:CZ34,$B4)+COUNTIF('6月'!DA4:DA34,$B4)+COUNTIF('6月'!DE4:DE34,$B4)+COUNTIF('6月'!DF4:DF34,$B4)+COUNTIF('6月'!DJ4:DJ34,$B4)+COUNTIF('6月'!DK4:DK34,$B4)+COUNTIF('6月'!DO4:DO34,$B4)+COUNTIF('6月'!DP4:DP34,$B4)+COUNTIF('6月'!DT4:DT34,$B4)+COUNTIF('6月'!DU4:DU34,$B4)+COUNTIF('6月'!DY4:DY34,$B4)+COUNTIF('6月'!DZ4:DZ34,$B4)+COUNTIF('6月'!ED4:ED34,$B4)+COUNTIF('6月'!EE4:EE34,$B4)+COUNTIF('6月'!EI4:EI34,$B4)+COUNTIF('6月'!EJ4:EJ34,$B4)+COUNTIF('6月'!EN4:EN34,$B4)+COUNTIF('6月'!EO4:EO34,$B4)+COUNTIF('6月'!ES4:ES34,$B4)+COUNTIF('6月'!ET4:ET34,$B4)),0)</f>
        <v>0</v>
      </c>
      <c r="I4" s="76">
        <f>IFERROR(IF($B4="","",COUNTIF('7月'!D4:D34,$B4)+COUNTIF('7月'!E4:E34,$B4)+COUNTIF('7月'!I4:I34,$B4)+COUNTIF('7月'!J4:J34,$B4)+COUNTIF('7月'!N4:N34,$B4)+COUNTIF('7月'!O4:O34,$B4)+COUNTIF('7月'!S4:S34,$B4)+COUNTIF('7月'!T4:T34,$B4)+COUNTIF('7月'!X4:X34,$B4)+COUNTIF('7月'!Y4:Y34,$B4)+COUNTIF('7月'!AC4:AC34,$B4)+COUNTIF('7月'!AD4:AD34,$B4)+COUNTIF('7月'!AH4:AH34,$B4)+COUNTIF('7月'!AI4:AI34,$B4)+COUNTIF('7月'!AM4:AM34,$B4)+COUNTIF('7月'!AN4:AN34,$B4)+COUNTIF('7月'!AR4:AR34,$B4)+COUNTIF('7月'!AS4:AS34,$B4)+COUNTIF('7月'!AW4:AW34,$B4)+COUNTIF('7月'!AX4:AX34,$B4)+COUNTIF('7月'!BB4:BB34,$B4)+COUNTIF('7月'!BC4:BC34,$B4)+COUNTIF('7月'!BG4:BG34,$B4)+COUNTIF('7月'!BH4:BH34,$B4)+COUNTIF('7月'!BL4:BL34,$B4)+COUNTIF('7月'!BM4:BM34,$B4)+COUNTIF('7月'!BQ4:BQ34,$B4)+COUNTIF('7月'!BR4:BR34,$B4)+COUNTIF('7月'!BV4:BV34,$B4)+COUNTIF('7月'!BW4:BW34,$B4)+COUNTIF('7月'!CA4:CA34,$B4)+COUNTIF('7月'!CB4:CB34,$B4)+COUNTIF('7月'!CF4:CF34,$B4)+COUNTIF('7月'!CG4:CG34,$B4)+COUNTIF('7月'!CK4:CK34,$B4)+COUNTIF('7月'!CL4:CL34,$B4)+COUNTIF('7月'!CP4:CP34,$B4)+COUNTIF('7月'!CQ4:CQ34,$B4)+COUNTIF('7月'!CU4:CU34,$B4)+COUNTIF('7月'!CV4:CV34,$B4)+COUNTIF('7月'!CZ4:CZ34,$B4)+COUNTIF('7月'!DA4:DA34,$B4)+COUNTIF('7月'!DE4:DE34,$B4)+COUNTIF('7月'!DF4:DF34,$B4)+COUNTIF('7月'!DJ4:DJ34,$B4)+COUNTIF('7月'!DK4:DK34,$B4)+COUNTIF('7月'!DO4:DO34,$B4)+COUNTIF('7月'!DP4:DP34,$B4)+COUNTIF('7月'!DT4:DT34,$B4)+COUNTIF('7月'!DU4:DU34,$B4)+COUNTIF('7月'!DY4:DY34,$B4)+COUNTIF('7月'!DZ4:DZ34,$B4)+COUNTIF('7月'!ED4:ED34,$B4)+COUNTIF('7月'!EE4:EE34,$B4)+COUNTIF('7月'!EI4:EI34,$B4)+COUNTIF('7月'!EJ4:EJ34,$B4)+COUNTIF('7月'!EN4:EN34,$B4)+COUNTIF('7月'!EO4:EO34,$B4)+COUNTIF('7月'!ES4:ES34,$B4)+COUNTIF('7月'!ET4:ET34,$B4)),0)</f>
        <v>0</v>
      </c>
      <c r="J4" s="76">
        <f>IFERROR(IF($B4="","",COUNTIF('8月'!D4:D34,$B4)+COUNTIF('8月'!E4:E34,$B4)+COUNTIF('8月'!I4:I34,$B4)+COUNTIF('8月'!J4:J34,$B4)+COUNTIF('8月'!N4:N34,$B4)+COUNTIF('8月'!O4:O34,$B4)+COUNTIF('8月'!S4:S34,$B4)+COUNTIF('8月'!T4:T34,$B4)+COUNTIF('8月'!X4:X34,$B4)+COUNTIF('8月'!Y4:Y34,$B4)+COUNTIF('8月'!AC4:AC34,$B4)+COUNTIF('8月'!AD4:AD34,$B4)+COUNTIF('8月'!AH4:AH34,$B4)+COUNTIF('8月'!AI4:AI34,$B4)+COUNTIF('8月'!AM4:AM34,$B4)+COUNTIF('8月'!AN4:AN34,$B4)+COUNTIF('8月'!AR4:AR34,$B4)+COUNTIF('8月'!AS4:AS34,$B4)+COUNTIF('8月'!AW4:AW34,$B4)+COUNTIF('8月'!AX4:AX34,$B4)+COUNTIF('8月'!BB4:BB34,$B4)+COUNTIF('8月'!BC4:BC34,$B4)+COUNTIF('8月'!BG4:BG34,$B4)+COUNTIF('8月'!BH4:BH34,$B4)+COUNTIF('8月'!BL4:BL34,$B4)+COUNTIF('8月'!BM4:BM34,$B4)+COUNTIF('8月'!BQ4:BQ34,$B4)+COUNTIF('8月'!BR4:BR34,$B4)+COUNTIF('8月'!BV4:BV34,$B4)+COUNTIF('8月'!BW4:BW34,$B4)+COUNTIF('8月'!CA4:CA34,$B4)+COUNTIF('8月'!CB4:CB34,$B4)+COUNTIF('8月'!CF4:CF34,$B4)+COUNTIF('8月'!CG4:CG34,$B4)+COUNTIF('8月'!CK4:CK34,$B4)+COUNTIF('8月'!CL4:CL34,$B4)+COUNTIF('8月'!CP4:CP34,$B4)+COUNTIF('8月'!CQ4:CQ34,$B4)+COUNTIF('8月'!CU4:CU34,$B4)+COUNTIF('8月'!CV4:CV34,$B4)+COUNTIF('8月'!CZ4:CZ34,$B4)+COUNTIF('8月'!DA4:DA34,$B4)+COUNTIF('8月'!DE4:DE34,$B4)+COUNTIF('8月'!DF4:DF34,$B4)+COUNTIF('8月'!DJ4:DJ34,$B4)+COUNTIF('8月'!DK4:DK34,$B4)+COUNTIF('8月'!DO4:DO34,$B4)+COUNTIF('8月'!DP4:DP34,$B4)+COUNTIF('8月'!DT4:DT34,$B4)+COUNTIF('8月'!DU4:DU34,$B4)+COUNTIF('8月'!DY4:DY34,$B4)+COUNTIF('8月'!DZ4:DZ34,$B4)+COUNTIF('8月'!ED4:ED34,$B4)+COUNTIF('8月'!EE4:EE34,$B4)+COUNTIF('8月'!EI4:EI34,$B4)+COUNTIF('8月'!EJ4:EJ34,$B4)+COUNTIF('8月'!EN4:EN34,$B4)+COUNTIF('8月'!EO4:EO34,$B4)+COUNTIF('8月'!ES4:ES34,$B4)+COUNTIF('8月'!ET4:ET34,$B4)),0)</f>
        <v>0</v>
      </c>
      <c r="K4" s="76">
        <f>IFERROR(IF($B4="","",COUNTIF('9月'!D4:D34,$B4)+COUNTIF('9月'!E4:E34,$B4)+COUNTIF('9月'!I4:I34,$B4)+COUNTIF('9月'!J4:J34,$B4)+COUNTIF('9月'!N4:N34,$B4)+COUNTIF('9月'!O4:O34,$B4)+COUNTIF('9月'!S4:S34,$B4)+COUNTIF('9月'!T4:T34,$B4)+COUNTIF('9月'!X4:X34,$B4)+COUNTIF('9月'!Y4:Y34,$B4)+COUNTIF('9月'!AC4:AC34,$B4)+COUNTIF('9月'!AD4:AD34,$B4)+COUNTIF('9月'!AH4:AH34,$B4)+COUNTIF('9月'!AI4:AI34,$B4)+COUNTIF('9月'!AM4:AM34,$B4)+COUNTIF('9月'!AN4:AN34,$B4)+COUNTIF('9月'!AR4:AR34,$B4)+COUNTIF('9月'!AS4:AS34,$B4)+COUNTIF('9月'!AW4:AW34,$B4)+COUNTIF('9月'!AX4:AX34,$B4)+COUNTIF('9月'!BB4:BB34,$B4)+COUNTIF('9月'!BC4:BC34,$B4)+COUNTIF('9月'!BG4:BG34,$B4)+COUNTIF('9月'!BH4:BH34,$B4)+COUNTIF('9月'!BL4:BL34,$B4)+COUNTIF('9月'!BM4:BM34,$B4)+COUNTIF('9月'!BQ4:BQ34,$B4)+COUNTIF('9月'!BR4:BR34,$B4)+COUNTIF('9月'!BV4:BV34,$B4)+COUNTIF('9月'!BW4:BW34,$B4)+COUNTIF('9月'!CA4:CA34,$B4)+COUNTIF('9月'!CB4:CB34,$B4)+COUNTIF('9月'!CF4:CF34,$B4)+COUNTIF('9月'!CG4:CG34,$B4)+COUNTIF('9月'!CK4:CK34,$B4)+COUNTIF('9月'!CL4:CL34,$B4)+COUNTIF('9月'!CP4:CP34,$B4)+COUNTIF('9月'!CQ4:CQ34,$B4)+COUNTIF('9月'!CU4:CU34,$B4)+COUNTIF('9月'!CV4:CV34,$B4)+COUNTIF('9月'!CZ4:CZ34,$B4)+COUNTIF('9月'!DA4:DA34,$B4)+COUNTIF('9月'!DE4:DE34,$B4)+COUNTIF('9月'!DF4:DF34,$B4)+COUNTIF('9月'!DJ4:DJ34,$B4)+COUNTIF('9月'!DK4:DK34,$B4)+COUNTIF('9月'!DO4:DO34,$B4)+COUNTIF('9月'!DP4:DP34,$B4)+COUNTIF('9月'!DT4:DT34,$B4)+COUNTIF('9月'!DU4:DU34,$B4)+COUNTIF('9月'!DY4:DY34,$B4)+COUNTIF('9月'!DZ4:DZ34,$B4)+COUNTIF('9月'!ED4:ED34,$B4)+COUNTIF('9月'!EE4:EE34,$B4)+COUNTIF('9月'!EI4:EI34,$B4)+COUNTIF('9月'!EJ4:EJ34,$B4)+COUNTIF('9月'!EN4:EN34,$B4)+COUNTIF('9月'!EO4:EO34,$B4)+COUNTIF('9月'!ES4:ES34,$B4)+COUNTIF('9月'!ET4:ET34,$B4)),0)</f>
        <v>0</v>
      </c>
      <c r="L4" s="76">
        <f>IFERROR(IF($B4="","",COUNTIF('10月'!D4:D34,$B4)+COUNTIF('10月'!E4:E34,$B4)+COUNTIF('10月'!I4:I34,$B4)+COUNTIF('10月'!J4:J34,$B4)+COUNTIF('10月'!N4:N34,$B4)+COUNTIF('10月'!O4:O34,$B4)+COUNTIF('10月'!S4:S34,$B4)+COUNTIF('10月'!T4:T34,$B4)+COUNTIF('10月'!X4:X34,$B4)+COUNTIF('10月'!Y4:Y34,$B4)+COUNTIF('10月'!AC4:AC34,$B4)+COUNTIF('10月'!AD4:AD34,$B4)+COUNTIF('10月'!AH4:AH34,$B4)+COUNTIF('10月'!AI4:AI34,$B4)+COUNTIF('10月'!AM4:AM34,$B4)+COUNTIF('10月'!AN4:AN34,$B4)+COUNTIF('10月'!AR4:AR34,$B4)+COUNTIF('10月'!AS4:AS34,$B4)+COUNTIF('10月'!AW4:AW34,$B4)+COUNTIF('10月'!AX4:AX34,$B4)+COUNTIF('10月'!BB4:BB34,$B4)+COUNTIF('10月'!BC4:BC34,$B4)+COUNTIF('10月'!BG4:BG34,$B4)+COUNTIF('10月'!BH4:BH34,$B4)+COUNTIF('10月'!BL4:BL34,$B4)+COUNTIF('10月'!BM4:BM34,$B4)+COUNTIF('10月'!BQ4:BQ34,$B4)+COUNTIF('10月'!BR4:BR34,$B4)+COUNTIF('10月'!BV4:BV34,$B4)+COUNTIF('10月'!BW4:BW34,$B4)+COUNTIF('10月'!CA4:CA34,$B4)+COUNTIF('10月'!CB4:CB34,$B4)+COUNTIF('10月'!CF4:CF34,$B4)+COUNTIF('10月'!CG4:CG34,$B4)+COUNTIF('10月'!CK4:CK34,$B4)+COUNTIF('10月'!CL4:CL34,$B4)+COUNTIF('10月'!CP4:CP34,$B4)+COUNTIF('10月'!CQ4:CQ34,$B4)+COUNTIF('10月'!CU4:CU34,$B4)+COUNTIF('10月'!CV4:CV34,$B4)+COUNTIF('10月'!CZ4:CZ34,$B4)+COUNTIF('10月'!DA4:DA34,$B4)+COUNTIF('10月'!DE4:DE34,$B4)+COUNTIF('10月'!DF4:DF34,$B4)+COUNTIF('10月'!DJ4:DJ34,$B4)+COUNTIF('10月'!DK4:DK34,$B4)+COUNTIF('10月'!DO4:DO34,$B4)+COUNTIF('10月'!DP4:DP34,$B4)+COUNTIF('10月'!DT4:DT34,$B4)+COUNTIF('10月'!DU4:DU34,$B4)+COUNTIF('10月'!DY4:DY34,$B4)+COUNTIF('10月'!DZ4:DZ34,$B4)+COUNTIF('10月'!ED4:ED34,$B4)+COUNTIF('10月'!EE4:EE34,$B4)+COUNTIF('10月'!EI4:EI34,$B4)+COUNTIF('10月'!EJ4:EJ34,$B4)+COUNTIF('10月'!EN4:EN34,$B4)+COUNTIF('10月'!EO4:EO34,$B4)+COUNTIF('10月'!ES4:ES34,$B4)+COUNTIF('10月'!ET4:ET34,$B4)),0)</f>
        <v>0</v>
      </c>
      <c r="M4" s="76">
        <f>IFERROR(IF($B4="","",COUNTIF('11月'!D4:D34,$B4)+COUNTIF('11月'!E4:E34,$B4)+COUNTIF('11月'!I4:I34,$B4)+COUNTIF('11月'!J4:J34,$B4)+COUNTIF('11月'!N4:N34,$B4)+COUNTIF('11月'!O4:O34,$B4)+COUNTIF('11月'!S4:S34,$B4)+COUNTIF('11月'!T4:T34,$B4)+COUNTIF('11月'!X4:X34,$B4)+COUNTIF('11月'!Y4:Y34,$B4)+COUNTIF('11月'!AC4:AC34,$B4)+COUNTIF('11月'!AD4:AD34,$B4)+COUNTIF('11月'!AH4:AH34,$B4)+COUNTIF('11月'!AI4:AI34,$B4)+COUNTIF('11月'!AM4:AM34,$B4)+COUNTIF('11月'!AN4:AN34,$B4)+COUNTIF('11月'!AR4:AR34,$B4)+COUNTIF('11月'!AS4:AS34,$B4)+COUNTIF('11月'!AW4:AW34,$B4)+COUNTIF('11月'!AX4:AX34,$B4)+COUNTIF('11月'!BB4:BB34,$B4)+COUNTIF('11月'!BC4:BC34,$B4)+COUNTIF('11月'!BG4:BG34,$B4)+COUNTIF('11月'!BH4:BH34,$B4)+COUNTIF('11月'!BL4:BL34,$B4)+COUNTIF('11月'!BM4:BM34,$B4)+COUNTIF('11月'!BQ4:BQ34,$B4)+COUNTIF('11月'!BR4:BR34,$B4)+COUNTIF('11月'!BV4:BV34,$B4)+COUNTIF('11月'!BW4:BW34,$B4)+COUNTIF('11月'!CA4:CA34,$B4)+COUNTIF('11月'!CB4:CB34,$B4)+COUNTIF('11月'!CF4:CF34,$B4)+COUNTIF('11月'!CG4:CG34,$B4)+COUNTIF('11月'!CK4:CK34,$B4)+COUNTIF('11月'!CL4:CL34,$B4)+COUNTIF('11月'!CP4:CP34,$B4)+COUNTIF('11月'!CQ4:CQ34,$B4)+COUNTIF('11月'!CU4:CU34,$B4)+COUNTIF('11月'!CV4:CV34,$B4)+COUNTIF('11月'!CZ4:CZ34,$B4)+COUNTIF('11月'!DA4:DA34,$B4)+COUNTIF('11月'!DE4:DE34,$B4)+COUNTIF('11月'!DF4:DF34,$B4)+COUNTIF('11月'!DJ4:DJ34,$B4)+COUNTIF('11月'!DK4:DK34,$B4)+COUNTIF('11月'!DO4:DO34,$B4)+COUNTIF('11月'!DP4:DP34,$B4)+COUNTIF('11月'!DT4:DT34,$B4)+COUNTIF('11月'!DU4:DU34,$B4)+COUNTIF('11月'!DY4:DY34,$B4)+COUNTIF('11月'!DZ4:DZ34,$B4)+COUNTIF('11月'!ED4:ED34,$B4)+COUNTIF('11月'!EE4:EE34,$B4)+COUNTIF('11月'!EI4:EI34,$B4)+COUNTIF('11月'!EJ4:EJ34,$B4)+COUNTIF('11月'!EN4:EN34,$B4)+COUNTIF('11月'!EO4:EO34,$B4)+COUNTIF('11月'!ES4:ES34,$B4)+COUNTIF('11月'!ET4:ET34,$B4)),0)</f>
        <v>0</v>
      </c>
      <c r="N4" s="76">
        <f>IFERROR(IF($B4="","",COUNTIF('12月'!D4:D34,$B4)+COUNTIF('12月'!E4:E34,$B4)+COUNTIF('12月'!I4:I34,$B4)+COUNTIF('12月'!J4:J34,$B4)+COUNTIF('12月'!N4:N34,$B4)+COUNTIF('12月'!O4:O34,$B4)+COUNTIF('12月'!S4:S34,$B4)+COUNTIF('12月'!T4:T34,$B4)+COUNTIF('12月'!X4:X34,$B4)+COUNTIF('12月'!Y4:Y34,$B4)+COUNTIF('12月'!AC4:AC34,$B4)+COUNTIF('12月'!AD4:AD34,$B4)+COUNTIF('12月'!AH4:AH34,$B4)+COUNTIF('12月'!AI4:AI34,$B4)+COUNTIF('12月'!AM4:AM34,$B4)+COUNTIF('12月'!AN4:AN34,$B4)+COUNTIF('12月'!AR4:AR34,$B4)+COUNTIF('12月'!AS4:AS34,$B4)+COUNTIF('12月'!AW4:AW34,$B4)+COUNTIF('12月'!AX4:AX34,$B4)+COUNTIF('12月'!BB4:BB34,$B4)+COUNTIF('12月'!BC4:BC34,$B4)+COUNTIF('12月'!BG4:BG34,$B4)+COUNTIF('12月'!BH4:BH34,$B4)+COUNTIF('12月'!BL4:BL34,$B4)+COUNTIF('12月'!BM4:BM34,$B4)+COUNTIF('12月'!BQ4:BQ34,$B4)+COUNTIF('12月'!BR4:BR34,$B4)+COUNTIF('12月'!BV4:BV34,$B4)+COUNTIF('12月'!BW4:BW34,$B4)+COUNTIF('12月'!CA4:CA34,$B4)+COUNTIF('12月'!CB4:CB34,$B4)+COUNTIF('12月'!CF4:CF34,$B4)+COUNTIF('12月'!CG4:CG34,$B4)+COUNTIF('12月'!CK4:CK34,$B4)+COUNTIF('12月'!CL4:CL34,$B4)+COUNTIF('12月'!CP4:CP34,$B4)+COUNTIF('12月'!CQ4:CQ34,$B4)+COUNTIF('12月'!CU4:CU34,$B4)+COUNTIF('12月'!CV4:CV34,$B4)+COUNTIF('12月'!CZ4:CZ34,$B4)+COUNTIF('12月'!DA4:DA34,$B4)+COUNTIF('12月'!DE4:DE34,$B4)+COUNTIF('12月'!DF4:DF34,$B4)+COUNTIF('12月'!DJ4:DJ34,$B4)+COUNTIF('12月'!DK4:DK34,$B4)+COUNTIF('12月'!DO4:DO34,$B4)+COUNTIF('12月'!DP4:DP34,$B4)+COUNTIF('12月'!DT4:DT34,$B4)+COUNTIF('12月'!DU4:DU34,$B4)+COUNTIF('12月'!DY4:DY34,$B4)+COUNTIF('12月'!DZ4:DZ34,$B4)+COUNTIF('12月'!ED4:ED34,$B4)+COUNTIF('12月'!EE4:EE34,$B4)+COUNTIF('12月'!EI4:EI34,$B4)+COUNTIF('12月'!EJ4:EJ34,$B4)+COUNTIF('12月'!EN4:EN34,$B4)+COUNTIF('12月'!EO4:EO34,$B4)+COUNTIF('12月'!ES4:ES34,$B4)+COUNTIF('12月'!ET4:ET34,$B4)),0)</f>
        <v>0</v>
      </c>
      <c r="O4" s="78">
        <f t="shared" si="0"/>
        <v>0</v>
      </c>
    </row>
    <row r="5" spans="1:15" ht="19.5" customHeight="1">
      <c r="A5" s="76">
        <v>3</v>
      </c>
      <c r="B5" s="77" t="str">
        <f>IFERROR(現場マスタ!$C$6,"")</f>
        <v>C現場（工場増築）</v>
      </c>
      <c r="C5" s="76">
        <f>IFERROR(IF($B5="","",COUNTIF('1月'!D4:D34,$B5)+COUNTIF('1月'!E4:E34,$B5)+COUNTIF('1月'!I4:I34,$B5)+COUNTIF('1月'!J4:J34,$B5)+COUNTIF('1月'!N4:N34,$B5)+COUNTIF('1月'!O4:O34,$B5)+COUNTIF('1月'!S4:S34,$B5)+COUNTIF('1月'!T4:T34,$B5)+COUNTIF('1月'!X4:X34,$B5)+COUNTIF('1月'!Y4:Y34,$B5)+COUNTIF('1月'!AC4:AC34,$B5)+COUNTIF('1月'!AD4:AD34,$B5)+COUNTIF('1月'!AH4:AH34,$B5)+COUNTIF('1月'!AI4:AI34,$B5)+COUNTIF('1月'!AM4:AM34,$B5)+COUNTIF('1月'!AN4:AN34,$B5)+COUNTIF('1月'!AR4:AR34,$B5)+COUNTIF('1月'!AS4:AS34,$B5)+COUNTIF('1月'!AW4:AW34,$B5)+COUNTIF('1月'!AX4:AX34,$B5)+COUNTIF('1月'!BB4:BB34,$B5)+COUNTIF('1月'!BC4:BC34,$B5)+COUNTIF('1月'!BG4:BG34,$B5)+COUNTIF('1月'!BH4:BH34,$B5)+COUNTIF('1月'!BL4:BL34,$B5)+COUNTIF('1月'!BM4:BM34,$B5)+COUNTIF('1月'!BQ4:BQ34,$B5)+COUNTIF('1月'!BR4:BR34,$B5)+COUNTIF('1月'!BV4:BV34,$B5)+COUNTIF('1月'!BW4:BW34,$B5)+COUNTIF('1月'!CA4:CA34,$B5)+COUNTIF('1月'!CB4:CB34,$B5)+COUNTIF('1月'!CF4:CF34,$B5)+COUNTIF('1月'!CG4:CG34,$B5)+COUNTIF('1月'!CK4:CK34,$B5)+COUNTIF('1月'!CL4:CL34,$B5)+COUNTIF('1月'!CP4:CP34,$B5)+COUNTIF('1月'!CQ4:CQ34,$B5)+COUNTIF('1月'!CU4:CU34,$B5)+COUNTIF('1月'!CV4:CV34,$B5)+COUNTIF('1月'!CZ4:CZ34,$B5)+COUNTIF('1月'!DA4:DA34,$B5)+COUNTIF('1月'!DE4:DE34,$B5)+COUNTIF('1月'!DF4:DF34,$B5)+COUNTIF('1月'!DJ4:DJ34,$B5)+COUNTIF('1月'!DK4:DK34,$B5)+COUNTIF('1月'!DO4:DO34,$B5)+COUNTIF('1月'!DP4:DP34,$B5)+COUNTIF('1月'!DT4:DT34,$B5)+COUNTIF('1月'!DU4:DU34,$B5)+COUNTIF('1月'!DY4:DY34,$B5)+COUNTIF('1月'!DZ4:DZ34,$B5)+COUNTIF('1月'!ED4:ED34,$B5)+COUNTIF('1月'!EE4:EE34,$B5)+COUNTIF('1月'!EI4:EI34,$B5)+COUNTIF('1月'!EJ4:EJ34,$B5)+COUNTIF('1月'!EN4:EN34,$B5)+COUNTIF('1月'!EO4:EO34,$B5)+COUNTIF('1月'!ES4:ES34,$B5)+COUNTIF('1月'!ET4:ET34,$B5)),0)</f>
        <v>0</v>
      </c>
      <c r="D5" s="76">
        <f>IFERROR(IF($B5="","",COUNTIF('2月'!D4:D34,$B5)+COUNTIF('2月'!E4:E34,$B5)+COUNTIF('2月'!I4:I34,$B5)+COUNTIF('2月'!J4:J34,$B5)+COUNTIF('2月'!N4:N34,$B5)+COUNTIF('2月'!O4:O34,$B5)+COUNTIF('2月'!S4:S34,$B5)+COUNTIF('2月'!T4:T34,$B5)+COUNTIF('2月'!X4:X34,$B5)+COUNTIF('2月'!Y4:Y34,$B5)+COUNTIF('2月'!AC4:AC34,$B5)+COUNTIF('2月'!AD4:AD34,$B5)+COUNTIF('2月'!AH4:AH34,$B5)+COUNTIF('2月'!AI4:AI34,$B5)+COUNTIF('2月'!AM4:AM34,$B5)+COUNTIF('2月'!AN4:AN34,$B5)+COUNTIF('2月'!AR4:AR34,$B5)+COUNTIF('2月'!AS4:AS34,$B5)+COUNTIF('2月'!AW4:AW34,$B5)+COUNTIF('2月'!AX4:AX34,$B5)+COUNTIF('2月'!BB4:BB34,$B5)+COUNTIF('2月'!BC4:BC34,$B5)+COUNTIF('2月'!BG4:BG34,$B5)+COUNTIF('2月'!BH4:BH34,$B5)+COUNTIF('2月'!BL4:BL34,$B5)+COUNTIF('2月'!BM4:BM34,$B5)+COUNTIF('2月'!BQ4:BQ34,$B5)+COUNTIF('2月'!BR4:BR34,$B5)+COUNTIF('2月'!BV4:BV34,$B5)+COUNTIF('2月'!BW4:BW34,$B5)+COUNTIF('2月'!CA4:CA34,$B5)+COUNTIF('2月'!CB4:CB34,$B5)+COUNTIF('2月'!CF4:CF34,$B5)+COUNTIF('2月'!CG4:CG34,$B5)+COUNTIF('2月'!CK4:CK34,$B5)+COUNTIF('2月'!CL4:CL34,$B5)+COUNTIF('2月'!CP4:CP34,$B5)+COUNTIF('2月'!CQ4:CQ34,$B5)+COUNTIF('2月'!CU4:CU34,$B5)+COUNTIF('2月'!CV4:CV34,$B5)+COUNTIF('2月'!CZ4:CZ34,$B5)+COUNTIF('2月'!DA4:DA34,$B5)+COUNTIF('2月'!DE4:DE34,$B5)+COUNTIF('2月'!DF4:DF34,$B5)+COUNTIF('2月'!DJ4:DJ34,$B5)+COUNTIF('2月'!DK4:DK34,$B5)+COUNTIF('2月'!DO4:DO34,$B5)+COUNTIF('2月'!DP4:DP34,$B5)+COUNTIF('2月'!DT4:DT34,$B5)+COUNTIF('2月'!DU4:DU34,$B5)+COUNTIF('2月'!DY4:DY34,$B5)+COUNTIF('2月'!DZ4:DZ34,$B5)+COUNTIF('2月'!ED4:ED34,$B5)+COUNTIF('2月'!EE4:EE34,$B5)+COUNTIF('2月'!EI4:EI34,$B5)+COUNTIF('2月'!EJ4:EJ34,$B5)+COUNTIF('2月'!EN4:EN34,$B5)+COUNTIF('2月'!EO4:EO34,$B5)+COUNTIF('2月'!ES4:ES34,$B5)+COUNTIF('2月'!ET4:ET34,$B5)),0)</f>
        <v>0</v>
      </c>
      <c r="E5" s="76">
        <f>IFERROR(IF($B5="","",COUNTIF('3月'!D4:D34,$B5)+COUNTIF('3月'!E4:E34,$B5)+COUNTIF('3月'!I4:I34,$B5)+COUNTIF('3月'!J4:J34,$B5)+COUNTIF('3月'!N4:N34,$B5)+COUNTIF('3月'!O4:O34,$B5)+COUNTIF('3月'!S4:S34,$B5)+COUNTIF('3月'!T4:T34,$B5)+COUNTIF('3月'!X4:X34,$B5)+COUNTIF('3月'!Y4:Y34,$B5)+COUNTIF('3月'!AC4:AC34,$B5)+COUNTIF('3月'!AD4:AD34,$B5)+COUNTIF('3月'!AH4:AH34,$B5)+COUNTIF('3月'!AI4:AI34,$B5)+COUNTIF('3月'!AM4:AM34,$B5)+COUNTIF('3月'!AN4:AN34,$B5)+COUNTIF('3月'!AR4:AR34,$B5)+COUNTIF('3月'!AS4:AS34,$B5)+COUNTIF('3月'!AW4:AW34,$B5)+COUNTIF('3月'!AX4:AX34,$B5)+COUNTIF('3月'!BB4:BB34,$B5)+COUNTIF('3月'!BC4:BC34,$B5)+COUNTIF('3月'!BG4:BG34,$B5)+COUNTIF('3月'!BH4:BH34,$B5)+COUNTIF('3月'!BL4:BL34,$B5)+COUNTIF('3月'!BM4:BM34,$B5)+COUNTIF('3月'!BQ4:BQ34,$B5)+COUNTIF('3月'!BR4:BR34,$B5)+COUNTIF('3月'!BV4:BV34,$B5)+COUNTIF('3月'!BW4:BW34,$B5)+COUNTIF('3月'!CA4:CA34,$B5)+COUNTIF('3月'!CB4:CB34,$B5)+COUNTIF('3月'!CF4:CF34,$B5)+COUNTIF('3月'!CG4:CG34,$B5)+COUNTIF('3月'!CK4:CK34,$B5)+COUNTIF('3月'!CL4:CL34,$B5)+COUNTIF('3月'!CP4:CP34,$B5)+COUNTIF('3月'!CQ4:CQ34,$B5)+COUNTIF('3月'!CU4:CU34,$B5)+COUNTIF('3月'!CV4:CV34,$B5)+COUNTIF('3月'!CZ4:CZ34,$B5)+COUNTIF('3月'!DA4:DA34,$B5)+COUNTIF('3月'!DE4:DE34,$B5)+COUNTIF('3月'!DF4:DF34,$B5)+COUNTIF('3月'!DJ4:DJ34,$B5)+COUNTIF('3月'!DK4:DK34,$B5)+COUNTIF('3月'!DO4:DO34,$B5)+COUNTIF('3月'!DP4:DP34,$B5)+COUNTIF('3月'!DT4:DT34,$B5)+COUNTIF('3月'!DU4:DU34,$B5)+COUNTIF('3月'!DY4:DY34,$B5)+COUNTIF('3月'!DZ4:DZ34,$B5)+COUNTIF('3月'!ED4:ED34,$B5)+COUNTIF('3月'!EE4:EE34,$B5)+COUNTIF('3月'!EI4:EI34,$B5)+COUNTIF('3月'!EJ4:EJ34,$B5)+COUNTIF('3月'!EN4:EN34,$B5)+COUNTIF('3月'!EO4:EO34,$B5)+COUNTIF('3月'!ES4:ES34,$B5)+COUNTIF('3月'!ET4:ET34,$B5)),0)</f>
        <v>0</v>
      </c>
      <c r="F5" s="76">
        <f>IFERROR(IF($B5="","",COUNTIF('4月'!D4:D34,$B5)+COUNTIF('4月'!E4:E34,$B5)+COUNTIF('4月'!I4:I34,$B5)+COUNTIF('4月'!J4:J34,$B5)+COUNTIF('4月'!N4:N34,$B5)+COUNTIF('4月'!O4:O34,$B5)+COUNTIF('4月'!S4:S34,$B5)+COUNTIF('4月'!T4:T34,$B5)+COUNTIF('4月'!X4:X34,$B5)+COUNTIF('4月'!Y4:Y34,$B5)+COUNTIF('4月'!AC4:AC34,$B5)+COUNTIF('4月'!AD4:AD34,$B5)+COUNTIF('4月'!AH4:AH34,$B5)+COUNTIF('4月'!AI4:AI34,$B5)+COUNTIF('4月'!AM4:AM34,$B5)+COUNTIF('4月'!AN4:AN34,$B5)+COUNTIF('4月'!AR4:AR34,$B5)+COUNTIF('4月'!AS4:AS34,$B5)+COUNTIF('4月'!AW4:AW34,$B5)+COUNTIF('4月'!AX4:AX34,$B5)+COUNTIF('4月'!BB4:BB34,$B5)+COUNTIF('4月'!BC4:BC34,$B5)+COUNTIF('4月'!BG4:BG34,$B5)+COUNTIF('4月'!BH4:BH34,$B5)+COUNTIF('4月'!BL4:BL34,$B5)+COUNTIF('4月'!BM4:BM34,$B5)+COUNTIF('4月'!BQ4:BQ34,$B5)+COUNTIF('4月'!BR4:BR34,$B5)+COUNTIF('4月'!BV4:BV34,$B5)+COUNTIF('4月'!BW4:BW34,$B5)+COUNTIF('4月'!CA4:CA34,$B5)+COUNTIF('4月'!CB4:CB34,$B5)+COUNTIF('4月'!CF4:CF34,$B5)+COUNTIF('4月'!CG4:CG34,$B5)+COUNTIF('4月'!CK4:CK34,$B5)+COUNTIF('4月'!CL4:CL34,$B5)+COUNTIF('4月'!CP4:CP34,$B5)+COUNTIF('4月'!CQ4:CQ34,$B5)+COUNTIF('4月'!CU4:CU34,$B5)+COUNTIF('4月'!CV4:CV34,$B5)+COUNTIF('4月'!CZ4:CZ34,$B5)+COUNTIF('4月'!DA4:DA34,$B5)+COUNTIF('4月'!DE4:DE34,$B5)+COUNTIF('4月'!DF4:DF34,$B5)+COUNTIF('4月'!DJ4:DJ34,$B5)+COUNTIF('4月'!DK4:DK34,$B5)+COUNTIF('4月'!DO4:DO34,$B5)+COUNTIF('4月'!DP4:DP34,$B5)+COUNTIF('4月'!DT4:DT34,$B5)+COUNTIF('4月'!DU4:DU34,$B5)+COUNTIF('4月'!DY4:DY34,$B5)+COUNTIF('4月'!DZ4:DZ34,$B5)+COUNTIF('4月'!ED4:ED34,$B5)+COUNTIF('4月'!EE4:EE34,$B5)+COUNTIF('4月'!EI4:EI34,$B5)+COUNTIF('4月'!EJ4:EJ34,$B5)+COUNTIF('4月'!EN4:EN34,$B5)+COUNTIF('4月'!EO4:EO34,$B5)+COUNTIF('4月'!ES4:ES34,$B5)+COUNTIF('4月'!ET4:ET34,$B5)),0)</f>
        <v>0</v>
      </c>
      <c r="G5" s="76">
        <f>IFERROR(IF($B5="","",COUNTIF('5月'!D4:D34,$B5)+COUNTIF('5月'!E4:E34,$B5)+COUNTIF('5月'!I4:I34,$B5)+COUNTIF('5月'!J4:J34,$B5)+COUNTIF('5月'!N4:N34,$B5)+COUNTIF('5月'!O4:O34,$B5)+COUNTIF('5月'!S4:S34,$B5)+COUNTIF('5月'!T4:T34,$B5)+COUNTIF('5月'!X4:X34,$B5)+COUNTIF('5月'!Y4:Y34,$B5)+COUNTIF('5月'!AC4:AC34,$B5)+COUNTIF('5月'!AD4:AD34,$B5)+COUNTIF('5月'!AH4:AH34,$B5)+COUNTIF('5月'!AI4:AI34,$B5)+COUNTIF('5月'!AM4:AM34,$B5)+COUNTIF('5月'!AN4:AN34,$B5)+COUNTIF('5月'!AR4:AR34,$B5)+COUNTIF('5月'!AS4:AS34,$B5)+COUNTIF('5月'!AW4:AW34,$B5)+COUNTIF('5月'!AX4:AX34,$B5)+COUNTIF('5月'!BB4:BB34,$B5)+COUNTIF('5月'!BC4:BC34,$B5)+COUNTIF('5月'!BG4:BG34,$B5)+COUNTIF('5月'!BH4:BH34,$B5)+COUNTIF('5月'!BL4:BL34,$B5)+COUNTIF('5月'!BM4:BM34,$B5)+COUNTIF('5月'!BQ4:BQ34,$B5)+COUNTIF('5月'!BR4:BR34,$B5)+COUNTIF('5月'!BV4:BV34,$B5)+COUNTIF('5月'!BW4:BW34,$B5)+COUNTIF('5月'!CA4:CA34,$B5)+COUNTIF('5月'!CB4:CB34,$B5)+COUNTIF('5月'!CF4:CF34,$B5)+COUNTIF('5月'!CG4:CG34,$B5)+COUNTIF('5月'!CK4:CK34,$B5)+COUNTIF('5月'!CL4:CL34,$B5)+COUNTIF('5月'!CP4:CP34,$B5)+COUNTIF('5月'!CQ4:CQ34,$B5)+COUNTIF('5月'!CU4:CU34,$B5)+COUNTIF('5月'!CV4:CV34,$B5)+COUNTIF('5月'!CZ4:CZ34,$B5)+COUNTIF('5月'!DA4:DA34,$B5)+COUNTIF('5月'!DE4:DE34,$B5)+COUNTIF('5月'!DF4:DF34,$B5)+COUNTIF('5月'!DJ4:DJ34,$B5)+COUNTIF('5月'!DK4:DK34,$B5)+COUNTIF('5月'!DO4:DO34,$B5)+COUNTIF('5月'!DP4:DP34,$B5)+COUNTIF('5月'!DT4:DT34,$B5)+COUNTIF('5月'!DU4:DU34,$B5)+COUNTIF('5月'!DY4:DY34,$B5)+COUNTIF('5月'!DZ4:DZ34,$B5)+COUNTIF('5月'!ED4:ED34,$B5)+COUNTIF('5月'!EE4:EE34,$B5)+COUNTIF('5月'!EI4:EI34,$B5)+COUNTIF('5月'!EJ4:EJ34,$B5)+COUNTIF('5月'!EN4:EN34,$B5)+COUNTIF('5月'!EO4:EO34,$B5)+COUNTIF('5月'!ES4:ES34,$B5)+COUNTIF('5月'!ET4:ET34,$B5)),0)</f>
        <v>0</v>
      </c>
      <c r="H5" s="76">
        <f>IFERROR(IF($B5="","",COUNTIF('6月'!D4:D34,$B5)+COUNTIF('6月'!E4:E34,$B5)+COUNTIF('6月'!I4:I34,$B5)+COUNTIF('6月'!J4:J34,$B5)+COUNTIF('6月'!N4:N34,$B5)+COUNTIF('6月'!O4:O34,$B5)+COUNTIF('6月'!S4:S34,$B5)+COUNTIF('6月'!T4:T34,$B5)+COUNTIF('6月'!X4:X34,$B5)+COUNTIF('6月'!Y4:Y34,$B5)+COUNTIF('6月'!AC4:AC34,$B5)+COUNTIF('6月'!AD4:AD34,$B5)+COUNTIF('6月'!AH4:AH34,$B5)+COUNTIF('6月'!AI4:AI34,$B5)+COUNTIF('6月'!AM4:AM34,$B5)+COUNTIF('6月'!AN4:AN34,$B5)+COUNTIF('6月'!AR4:AR34,$B5)+COUNTIF('6月'!AS4:AS34,$B5)+COUNTIF('6月'!AW4:AW34,$B5)+COUNTIF('6月'!AX4:AX34,$B5)+COUNTIF('6月'!BB4:BB34,$B5)+COUNTIF('6月'!BC4:BC34,$B5)+COUNTIF('6月'!BG4:BG34,$B5)+COUNTIF('6月'!BH4:BH34,$B5)+COUNTIF('6月'!BL4:BL34,$B5)+COUNTIF('6月'!BM4:BM34,$B5)+COUNTIF('6月'!BQ4:BQ34,$B5)+COUNTIF('6月'!BR4:BR34,$B5)+COUNTIF('6月'!BV4:BV34,$B5)+COUNTIF('6月'!BW4:BW34,$B5)+COUNTIF('6月'!CA4:CA34,$B5)+COUNTIF('6月'!CB4:CB34,$B5)+COUNTIF('6月'!CF4:CF34,$B5)+COUNTIF('6月'!CG4:CG34,$B5)+COUNTIF('6月'!CK4:CK34,$B5)+COUNTIF('6月'!CL4:CL34,$B5)+COUNTIF('6月'!CP4:CP34,$B5)+COUNTIF('6月'!CQ4:CQ34,$B5)+COUNTIF('6月'!CU4:CU34,$B5)+COUNTIF('6月'!CV4:CV34,$B5)+COUNTIF('6月'!CZ4:CZ34,$B5)+COUNTIF('6月'!DA4:DA34,$B5)+COUNTIF('6月'!DE4:DE34,$B5)+COUNTIF('6月'!DF4:DF34,$B5)+COUNTIF('6月'!DJ4:DJ34,$B5)+COUNTIF('6月'!DK4:DK34,$B5)+COUNTIF('6月'!DO4:DO34,$B5)+COUNTIF('6月'!DP4:DP34,$B5)+COUNTIF('6月'!DT4:DT34,$B5)+COUNTIF('6月'!DU4:DU34,$B5)+COUNTIF('6月'!DY4:DY34,$B5)+COUNTIF('6月'!DZ4:DZ34,$B5)+COUNTIF('6月'!ED4:ED34,$B5)+COUNTIF('6月'!EE4:EE34,$B5)+COUNTIF('6月'!EI4:EI34,$B5)+COUNTIF('6月'!EJ4:EJ34,$B5)+COUNTIF('6月'!EN4:EN34,$B5)+COUNTIF('6月'!EO4:EO34,$B5)+COUNTIF('6月'!ES4:ES34,$B5)+COUNTIF('6月'!ET4:ET34,$B5)),0)</f>
        <v>0</v>
      </c>
      <c r="I5" s="76">
        <f>IFERROR(IF($B5="","",COUNTIF('7月'!D4:D34,$B5)+COUNTIF('7月'!E4:E34,$B5)+COUNTIF('7月'!I4:I34,$B5)+COUNTIF('7月'!J4:J34,$B5)+COUNTIF('7月'!N4:N34,$B5)+COUNTIF('7月'!O4:O34,$B5)+COUNTIF('7月'!S4:S34,$B5)+COUNTIF('7月'!T4:T34,$B5)+COUNTIF('7月'!X4:X34,$B5)+COUNTIF('7月'!Y4:Y34,$B5)+COUNTIF('7月'!AC4:AC34,$B5)+COUNTIF('7月'!AD4:AD34,$B5)+COUNTIF('7月'!AH4:AH34,$B5)+COUNTIF('7月'!AI4:AI34,$B5)+COUNTIF('7月'!AM4:AM34,$B5)+COUNTIF('7月'!AN4:AN34,$B5)+COUNTIF('7月'!AR4:AR34,$B5)+COUNTIF('7月'!AS4:AS34,$B5)+COUNTIF('7月'!AW4:AW34,$B5)+COUNTIF('7月'!AX4:AX34,$B5)+COUNTIF('7月'!BB4:BB34,$B5)+COUNTIF('7月'!BC4:BC34,$B5)+COUNTIF('7月'!BG4:BG34,$B5)+COUNTIF('7月'!BH4:BH34,$B5)+COUNTIF('7月'!BL4:BL34,$B5)+COUNTIF('7月'!BM4:BM34,$B5)+COUNTIF('7月'!BQ4:BQ34,$B5)+COUNTIF('7月'!BR4:BR34,$B5)+COUNTIF('7月'!BV4:BV34,$B5)+COUNTIF('7月'!BW4:BW34,$B5)+COUNTIF('7月'!CA4:CA34,$B5)+COUNTIF('7月'!CB4:CB34,$B5)+COUNTIF('7月'!CF4:CF34,$B5)+COUNTIF('7月'!CG4:CG34,$B5)+COUNTIF('7月'!CK4:CK34,$B5)+COUNTIF('7月'!CL4:CL34,$B5)+COUNTIF('7月'!CP4:CP34,$B5)+COUNTIF('7月'!CQ4:CQ34,$B5)+COUNTIF('7月'!CU4:CU34,$B5)+COUNTIF('7月'!CV4:CV34,$B5)+COUNTIF('7月'!CZ4:CZ34,$B5)+COUNTIF('7月'!DA4:DA34,$B5)+COUNTIF('7月'!DE4:DE34,$B5)+COUNTIF('7月'!DF4:DF34,$B5)+COUNTIF('7月'!DJ4:DJ34,$B5)+COUNTIF('7月'!DK4:DK34,$B5)+COUNTIF('7月'!DO4:DO34,$B5)+COUNTIF('7月'!DP4:DP34,$B5)+COUNTIF('7月'!DT4:DT34,$B5)+COUNTIF('7月'!DU4:DU34,$B5)+COUNTIF('7月'!DY4:DY34,$B5)+COUNTIF('7月'!DZ4:DZ34,$B5)+COUNTIF('7月'!ED4:ED34,$B5)+COUNTIF('7月'!EE4:EE34,$B5)+COUNTIF('7月'!EI4:EI34,$B5)+COUNTIF('7月'!EJ4:EJ34,$B5)+COUNTIF('7月'!EN4:EN34,$B5)+COUNTIF('7月'!EO4:EO34,$B5)+COUNTIF('7月'!ES4:ES34,$B5)+COUNTIF('7月'!ET4:ET34,$B5)),0)</f>
        <v>0</v>
      </c>
      <c r="J5" s="76">
        <f>IFERROR(IF($B5="","",COUNTIF('8月'!D4:D34,$B5)+COUNTIF('8月'!E4:E34,$B5)+COUNTIF('8月'!I4:I34,$B5)+COUNTIF('8月'!J4:J34,$B5)+COUNTIF('8月'!N4:N34,$B5)+COUNTIF('8月'!O4:O34,$B5)+COUNTIF('8月'!S4:S34,$B5)+COUNTIF('8月'!T4:T34,$B5)+COUNTIF('8月'!X4:X34,$B5)+COUNTIF('8月'!Y4:Y34,$B5)+COUNTIF('8月'!AC4:AC34,$B5)+COUNTIF('8月'!AD4:AD34,$B5)+COUNTIF('8月'!AH4:AH34,$B5)+COUNTIF('8月'!AI4:AI34,$B5)+COUNTIF('8月'!AM4:AM34,$B5)+COUNTIF('8月'!AN4:AN34,$B5)+COUNTIF('8月'!AR4:AR34,$B5)+COUNTIF('8月'!AS4:AS34,$B5)+COUNTIF('8月'!AW4:AW34,$B5)+COUNTIF('8月'!AX4:AX34,$B5)+COUNTIF('8月'!BB4:BB34,$B5)+COUNTIF('8月'!BC4:BC34,$B5)+COUNTIF('8月'!BG4:BG34,$B5)+COUNTIF('8月'!BH4:BH34,$B5)+COUNTIF('8月'!BL4:BL34,$B5)+COUNTIF('8月'!BM4:BM34,$B5)+COUNTIF('8月'!BQ4:BQ34,$B5)+COUNTIF('8月'!BR4:BR34,$B5)+COUNTIF('8月'!BV4:BV34,$B5)+COUNTIF('8月'!BW4:BW34,$B5)+COUNTIF('8月'!CA4:CA34,$B5)+COUNTIF('8月'!CB4:CB34,$B5)+COUNTIF('8月'!CF4:CF34,$B5)+COUNTIF('8月'!CG4:CG34,$B5)+COUNTIF('8月'!CK4:CK34,$B5)+COUNTIF('8月'!CL4:CL34,$B5)+COUNTIF('8月'!CP4:CP34,$B5)+COUNTIF('8月'!CQ4:CQ34,$B5)+COUNTIF('8月'!CU4:CU34,$B5)+COUNTIF('8月'!CV4:CV34,$B5)+COUNTIF('8月'!CZ4:CZ34,$B5)+COUNTIF('8月'!DA4:DA34,$B5)+COUNTIF('8月'!DE4:DE34,$B5)+COUNTIF('8月'!DF4:DF34,$B5)+COUNTIF('8月'!DJ4:DJ34,$B5)+COUNTIF('8月'!DK4:DK34,$B5)+COUNTIF('8月'!DO4:DO34,$B5)+COUNTIF('8月'!DP4:DP34,$B5)+COUNTIF('8月'!DT4:DT34,$B5)+COUNTIF('8月'!DU4:DU34,$B5)+COUNTIF('8月'!DY4:DY34,$B5)+COUNTIF('8月'!DZ4:DZ34,$B5)+COUNTIF('8月'!ED4:ED34,$B5)+COUNTIF('8月'!EE4:EE34,$B5)+COUNTIF('8月'!EI4:EI34,$B5)+COUNTIF('8月'!EJ4:EJ34,$B5)+COUNTIF('8月'!EN4:EN34,$B5)+COUNTIF('8月'!EO4:EO34,$B5)+COUNTIF('8月'!ES4:ES34,$B5)+COUNTIF('8月'!ET4:ET34,$B5)),0)</f>
        <v>0</v>
      </c>
      <c r="K5" s="76">
        <f>IFERROR(IF($B5="","",COUNTIF('9月'!D4:D34,$B5)+COUNTIF('9月'!E4:E34,$B5)+COUNTIF('9月'!I4:I34,$B5)+COUNTIF('9月'!J4:J34,$B5)+COUNTIF('9月'!N4:N34,$B5)+COUNTIF('9月'!O4:O34,$B5)+COUNTIF('9月'!S4:S34,$B5)+COUNTIF('9月'!T4:T34,$B5)+COUNTIF('9月'!X4:X34,$B5)+COUNTIF('9月'!Y4:Y34,$B5)+COUNTIF('9月'!AC4:AC34,$B5)+COUNTIF('9月'!AD4:AD34,$B5)+COUNTIF('9月'!AH4:AH34,$B5)+COUNTIF('9月'!AI4:AI34,$B5)+COUNTIF('9月'!AM4:AM34,$B5)+COUNTIF('9月'!AN4:AN34,$B5)+COUNTIF('9月'!AR4:AR34,$B5)+COUNTIF('9月'!AS4:AS34,$B5)+COUNTIF('9月'!AW4:AW34,$B5)+COUNTIF('9月'!AX4:AX34,$B5)+COUNTIF('9月'!BB4:BB34,$B5)+COUNTIF('9月'!BC4:BC34,$B5)+COUNTIF('9月'!BG4:BG34,$B5)+COUNTIF('9月'!BH4:BH34,$B5)+COUNTIF('9月'!BL4:BL34,$B5)+COUNTIF('9月'!BM4:BM34,$B5)+COUNTIF('9月'!BQ4:BQ34,$B5)+COUNTIF('9月'!BR4:BR34,$B5)+COUNTIF('9月'!BV4:BV34,$B5)+COUNTIF('9月'!BW4:BW34,$B5)+COUNTIF('9月'!CA4:CA34,$B5)+COUNTIF('9月'!CB4:CB34,$B5)+COUNTIF('9月'!CF4:CF34,$B5)+COUNTIF('9月'!CG4:CG34,$B5)+COUNTIF('9月'!CK4:CK34,$B5)+COUNTIF('9月'!CL4:CL34,$B5)+COUNTIF('9月'!CP4:CP34,$B5)+COUNTIF('9月'!CQ4:CQ34,$B5)+COUNTIF('9月'!CU4:CU34,$B5)+COUNTIF('9月'!CV4:CV34,$B5)+COUNTIF('9月'!CZ4:CZ34,$B5)+COUNTIF('9月'!DA4:DA34,$B5)+COUNTIF('9月'!DE4:DE34,$B5)+COUNTIF('9月'!DF4:DF34,$B5)+COUNTIF('9月'!DJ4:DJ34,$B5)+COUNTIF('9月'!DK4:DK34,$B5)+COUNTIF('9月'!DO4:DO34,$B5)+COUNTIF('9月'!DP4:DP34,$B5)+COUNTIF('9月'!DT4:DT34,$B5)+COUNTIF('9月'!DU4:DU34,$B5)+COUNTIF('9月'!DY4:DY34,$B5)+COUNTIF('9月'!DZ4:DZ34,$B5)+COUNTIF('9月'!ED4:ED34,$B5)+COUNTIF('9月'!EE4:EE34,$B5)+COUNTIF('9月'!EI4:EI34,$B5)+COUNTIF('9月'!EJ4:EJ34,$B5)+COUNTIF('9月'!EN4:EN34,$B5)+COUNTIF('9月'!EO4:EO34,$B5)+COUNTIF('9月'!ES4:ES34,$B5)+COUNTIF('9月'!ET4:ET34,$B5)),0)</f>
        <v>0</v>
      </c>
      <c r="L5" s="76">
        <f>IFERROR(IF($B5="","",COUNTIF('10月'!D4:D34,$B5)+COUNTIF('10月'!E4:E34,$B5)+COUNTIF('10月'!I4:I34,$B5)+COUNTIF('10月'!J4:J34,$B5)+COUNTIF('10月'!N4:N34,$B5)+COUNTIF('10月'!O4:O34,$B5)+COUNTIF('10月'!S4:S34,$B5)+COUNTIF('10月'!T4:T34,$B5)+COUNTIF('10月'!X4:X34,$B5)+COUNTIF('10月'!Y4:Y34,$B5)+COUNTIF('10月'!AC4:AC34,$B5)+COUNTIF('10月'!AD4:AD34,$B5)+COUNTIF('10月'!AH4:AH34,$B5)+COUNTIF('10月'!AI4:AI34,$B5)+COUNTIF('10月'!AM4:AM34,$B5)+COUNTIF('10月'!AN4:AN34,$B5)+COUNTIF('10月'!AR4:AR34,$B5)+COUNTIF('10月'!AS4:AS34,$B5)+COUNTIF('10月'!AW4:AW34,$B5)+COUNTIF('10月'!AX4:AX34,$B5)+COUNTIF('10月'!BB4:BB34,$B5)+COUNTIF('10月'!BC4:BC34,$B5)+COUNTIF('10月'!BG4:BG34,$B5)+COUNTIF('10月'!BH4:BH34,$B5)+COUNTIF('10月'!BL4:BL34,$B5)+COUNTIF('10月'!BM4:BM34,$B5)+COUNTIF('10月'!BQ4:BQ34,$B5)+COUNTIF('10月'!BR4:BR34,$B5)+COUNTIF('10月'!BV4:BV34,$B5)+COUNTIF('10月'!BW4:BW34,$B5)+COUNTIF('10月'!CA4:CA34,$B5)+COUNTIF('10月'!CB4:CB34,$B5)+COUNTIF('10月'!CF4:CF34,$B5)+COUNTIF('10月'!CG4:CG34,$B5)+COUNTIF('10月'!CK4:CK34,$B5)+COUNTIF('10月'!CL4:CL34,$B5)+COUNTIF('10月'!CP4:CP34,$B5)+COUNTIF('10月'!CQ4:CQ34,$B5)+COUNTIF('10月'!CU4:CU34,$B5)+COUNTIF('10月'!CV4:CV34,$B5)+COUNTIF('10月'!CZ4:CZ34,$B5)+COUNTIF('10月'!DA4:DA34,$B5)+COUNTIF('10月'!DE4:DE34,$B5)+COUNTIF('10月'!DF4:DF34,$B5)+COUNTIF('10月'!DJ4:DJ34,$B5)+COUNTIF('10月'!DK4:DK34,$B5)+COUNTIF('10月'!DO4:DO34,$B5)+COUNTIF('10月'!DP4:DP34,$B5)+COUNTIF('10月'!DT4:DT34,$B5)+COUNTIF('10月'!DU4:DU34,$B5)+COUNTIF('10月'!DY4:DY34,$B5)+COUNTIF('10月'!DZ4:DZ34,$B5)+COUNTIF('10月'!ED4:ED34,$B5)+COUNTIF('10月'!EE4:EE34,$B5)+COUNTIF('10月'!EI4:EI34,$B5)+COUNTIF('10月'!EJ4:EJ34,$B5)+COUNTIF('10月'!EN4:EN34,$B5)+COUNTIF('10月'!EO4:EO34,$B5)+COUNTIF('10月'!ES4:ES34,$B5)+COUNTIF('10月'!ET4:ET34,$B5)),0)</f>
        <v>0</v>
      </c>
      <c r="M5" s="76">
        <f>IFERROR(IF($B5="","",COUNTIF('11月'!D4:D34,$B5)+COUNTIF('11月'!E4:E34,$B5)+COUNTIF('11月'!I4:I34,$B5)+COUNTIF('11月'!J4:J34,$B5)+COUNTIF('11月'!N4:N34,$B5)+COUNTIF('11月'!O4:O34,$B5)+COUNTIF('11月'!S4:S34,$B5)+COUNTIF('11月'!T4:T34,$B5)+COUNTIF('11月'!X4:X34,$B5)+COUNTIF('11月'!Y4:Y34,$B5)+COUNTIF('11月'!AC4:AC34,$B5)+COUNTIF('11月'!AD4:AD34,$B5)+COUNTIF('11月'!AH4:AH34,$B5)+COUNTIF('11月'!AI4:AI34,$B5)+COUNTIF('11月'!AM4:AM34,$B5)+COUNTIF('11月'!AN4:AN34,$B5)+COUNTIF('11月'!AR4:AR34,$B5)+COUNTIF('11月'!AS4:AS34,$B5)+COUNTIF('11月'!AW4:AW34,$B5)+COUNTIF('11月'!AX4:AX34,$B5)+COUNTIF('11月'!BB4:BB34,$B5)+COUNTIF('11月'!BC4:BC34,$B5)+COUNTIF('11月'!BG4:BG34,$B5)+COUNTIF('11月'!BH4:BH34,$B5)+COUNTIF('11月'!BL4:BL34,$B5)+COUNTIF('11月'!BM4:BM34,$B5)+COUNTIF('11月'!BQ4:BQ34,$B5)+COUNTIF('11月'!BR4:BR34,$B5)+COUNTIF('11月'!BV4:BV34,$B5)+COUNTIF('11月'!BW4:BW34,$B5)+COUNTIF('11月'!CA4:CA34,$B5)+COUNTIF('11月'!CB4:CB34,$B5)+COUNTIF('11月'!CF4:CF34,$B5)+COUNTIF('11月'!CG4:CG34,$B5)+COUNTIF('11月'!CK4:CK34,$B5)+COUNTIF('11月'!CL4:CL34,$B5)+COUNTIF('11月'!CP4:CP34,$B5)+COUNTIF('11月'!CQ4:CQ34,$B5)+COUNTIF('11月'!CU4:CU34,$B5)+COUNTIF('11月'!CV4:CV34,$B5)+COUNTIF('11月'!CZ4:CZ34,$B5)+COUNTIF('11月'!DA4:DA34,$B5)+COUNTIF('11月'!DE4:DE34,$B5)+COUNTIF('11月'!DF4:DF34,$B5)+COUNTIF('11月'!DJ4:DJ34,$B5)+COUNTIF('11月'!DK4:DK34,$B5)+COUNTIF('11月'!DO4:DO34,$B5)+COUNTIF('11月'!DP4:DP34,$B5)+COUNTIF('11月'!DT4:DT34,$B5)+COUNTIF('11月'!DU4:DU34,$B5)+COUNTIF('11月'!DY4:DY34,$B5)+COUNTIF('11月'!DZ4:DZ34,$B5)+COUNTIF('11月'!ED4:ED34,$B5)+COUNTIF('11月'!EE4:EE34,$B5)+COUNTIF('11月'!EI4:EI34,$B5)+COUNTIF('11月'!EJ4:EJ34,$B5)+COUNTIF('11月'!EN4:EN34,$B5)+COUNTIF('11月'!EO4:EO34,$B5)+COUNTIF('11月'!ES4:ES34,$B5)+COUNTIF('11月'!ET4:ET34,$B5)),0)</f>
        <v>0</v>
      </c>
      <c r="N5" s="76">
        <f>IFERROR(IF($B5="","",COUNTIF('12月'!D4:D34,$B5)+COUNTIF('12月'!E4:E34,$B5)+COUNTIF('12月'!I4:I34,$B5)+COUNTIF('12月'!J4:J34,$B5)+COUNTIF('12月'!N4:N34,$B5)+COUNTIF('12月'!O4:O34,$B5)+COUNTIF('12月'!S4:S34,$B5)+COUNTIF('12月'!T4:T34,$B5)+COUNTIF('12月'!X4:X34,$B5)+COUNTIF('12月'!Y4:Y34,$B5)+COUNTIF('12月'!AC4:AC34,$B5)+COUNTIF('12月'!AD4:AD34,$B5)+COUNTIF('12月'!AH4:AH34,$B5)+COUNTIF('12月'!AI4:AI34,$B5)+COUNTIF('12月'!AM4:AM34,$B5)+COUNTIF('12月'!AN4:AN34,$B5)+COUNTIF('12月'!AR4:AR34,$B5)+COUNTIF('12月'!AS4:AS34,$B5)+COUNTIF('12月'!AW4:AW34,$B5)+COUNTIF('12月'!AX4:AX34,$B5)+COUNTIF('12月'!BB4:BB34,$B5)+COUNTIF('12月'!BC4:BC34,$B5)+COUNTIF('12月'!BG4:BG34,$B5)+COUNTIF('12月'!BH4:BH34,$B5)+COUNTIF('12月'!BL4:BL34,$B5)+COUNTIF('12月'!BM4:BM34,$B5)+COUNTIF('12月'!BQ4:BQ34,$B5)+COUNTIF('12月'!BR4:BR34,$B5)+COUNTIF('12月'!BV4:BV34,$B5)+COUNTIF('12月'!BW4:BW34,$B5)+COUNTIF('12月'!CA4:CA34,$B5)+COUNTIF('12月'!CB4:CB34,$B5)+COUNTIF('12月'!CF4:CF34,$B5)+COUNTIF('12月'!CG4:CG34,$B5)+COUNTIF('12月'!CK4:CK34,$B5)+COUNTIF('12月'!CL4:CL34,$B5)+COUNTIF('12月'!CP4:CP34,$B5)+COUNTIF('12月'!CQ4:CQ34,$B5)+COUNTIF('12月'!CU4:CU34,$B5)+COUNTIF('12月'!CV4:CV34,$B5)+COUNTIF('12月'!CZ4:CZ34,$B5)+COUNTIF('12月'!DA4:DA34,$B5)+COUNTIF('12月'!DE4:DE34,$B5)+COUNTIF('12月'!DF4:DF34,$B5)+COUNTIF('12月'!DJ4:DJ34,$B5)+COUNTIF('12月'!DK4:DK34,$B5)+COUNTIF('12月'!DO4:DO34,$B5)+COUNTIF('12月'!DP4:DP34,$B5)+COUNTIF('12月'!DT4:DT34,$B5)+COUNTIF('12月'!DU4:DU34,$B5)+COUNTIF('12月'!DY4:DY34,$B5)+COUNTIF('12月'!DZ4:DZ34,$B5)+COUNTIF('12月'!ED4:ED34,$B5)+COUNTIF('12月'!EE4:EE34,$B5)+COUNTIF('12月'!EI4:EI34,$B5)+COUNTIF('12月'!EJ4:EJ34,$B5)+COUNTIF('12月'!EN4:EN34,$B5)+COUNTIF('12月'!EO4:EO34,$B5)+COUNTIF('12月'!ES4:ES34,$B5)+COUNTIF('12月'!ET4:ET34,$B5)),0)</f>
        <v>0</v>
      </c>
      <c r="O5" s="78">
        <f t="shared" si="0"/>
        <v>0</v>
      </c>
    </row>
    <row r="6" spans="1:15" ht="19.5" customHeight="1">
      <c r="A6" s="76">
        <v>4</v>
      </c>
      <c r="B6" s="77" t="str">
        <f>IFERROR(現場マスタ!$C$7,"")</f>
        <v>D現場（病院増改築）</v>
      </c>
      <c r="C6" s="76">
        <f>IFERROR(IF($B6="","",COUNTIF('1月'!D4:D34,$B6)+COUNTIF('1月'!E4:E34,$B6)+COUNTIF('1月'!I4:I34,$B6)+COUNTIF('1月'!J4:J34,$B6)+COUNTIF('1月'!N4:N34,$B6)+COUNTIF('1月'!O4:O34,$B6)+COUNTIF('1月'!S4:S34,$B6)+COUNTIF('1月'!T4:T34,$B6)+COUNTIF('1月'!X4:X34,$B6)+COUNTIF('1月'!Y4:Y34,$B6)+COUNTIF('1月'!AC4:AC34,$B6)+COUNTIF('1月'!AD4:AD34,$B6)+COUNTIF('1月'!AH4:AH34,$B6)+COUNTIF('1月'!AI4:AI34,$B6)+COUNTIF('1月'!AM4:AM34,$B6)+COUNTIF('1月'!AN4:AN34,$B6)+COUNTIF('1月'!AR4:AR34,$B6)+COUNTIF('1月'!AS4:AS34,$B6)+COUNTIF('1月'!AW4:AW34,$B6)+COUNTIF('1月'!AX4:AX34,$B6)+COUNTIF('1月'!BB4:BB34,$B6)+COUNTIF('1月'!BC4:BC34,$B6)+COUNTIF('1月'!BG4:BG34,$B6)+COUNTIF('1月'!BH4:BH34,$B6)+COUNTIF('1月'!BL4:BL34,$B6)+COUNTIF('1月'!BM4:BM34,$B6)+COUNTIF('1月'!BQ4:BQ34,$B6)+COUNTIF('1月'!BR4:BR34,$B6)+COUNTIF('1月'!BV4:BV34,$B6)+COUNTIF('1月'!BW4:BW34,$B6)+COUNTIF('1月'!CA4:CA34,$B6)+COUNTIF('1月'!CB4:CB34,$B6)+COUNTIF('1月'!CF4:CF34,$B6)+COUNTIF('1月'!CG4:CG34,$B6)+COUNTIF('1月'!CK4:CK34,$B6)+COUNTIF('1月'!CL4:CL34,$B6)+COUNTIF('1月'!CP4:CP34,$B6)+COUNTIF('1月'!CQ4:CQ34,$B6)+COUNTIF('1月'!CU4:CU34,$B6)+COUNTIF('1月'!CV4:CV34,$B6)+COUNTIF('1月'!CZ4:CZ34,$B6)+COUNTIF('1月'!DA4:DA34,$B6)+COUNTIF('1月'!DE4:DE34,$B6)+COUNTIF('1月'!DF4:DF34,$B6)+COUNTIF('1月'!DJ4:DJ34,$B6)+COUNTIF('1月'!DK4:DK34,$B6)+COUNTIF('1月'!DO4:DO34,$B6)+COUNTIF('1月'!DP4:DP34,$B6)+COUNTIF('1月'!DT4:DT34,$B6)+COUNTIF('1月'!DU4:DU34,$B6)+COUNTIF('1月'!DY4:DY34,$B6)+COUNTIF('1月'!DZ4:DZ34,$B6)+COUNTIF('1月'!ED4:ED34,$B6)+COUNTIF('1月'!EE4:EE34,$B6)+COUNTIF('1月'!EI4:EI34,$B6)+COUNTIF('1月'!EJ4:EJ34,$B6)+COUNTIF('1月'!EN4:EN34,$B6)+COUNTIF('1月'!EO4:EO34,$B6)+COUNTIF('1月'!ES4:ES34,$B6)+COUNTIF('1月'!ET4:ET34,$B6)),0)</f>
        <v>0</v>
      </c>
      <c r="D6" s="76">
        <f>IFERROR(IF($B6="","",COUNTIF('2月'!D4:D34,$B6)+COUNTIF('2月'!E4:E34,$B6)+COUNTIF('2月'!I4:I34,$B6)+COUNTIF('2月'!J4:J34,$B6)+COUNTIF('2月'!N4:N34,$B6)+COUNTIF('2月'!O4:O34,$B6)+COUNTIF('2月'!S4:S34,$B6)+COUNTIF('2月'!T4:T34,$B6)+COUNTIF('2月'!X4:X34,$B6)+COUNTIF('2月'!Y4:Y34,$B6)+COUNTIF('2月'!AC4:AC34,$B6)+COUNTIF('2月'!AD4:AD34,$B6)+COUNTIF('2月'!AH4:AH34,$B6)+COUNTIF('2月'!AI4:AI34,$B6)+COUNTIF('2月'!AM4:AM34,$B6)+COUNTIF('2月'!AN4:AN34,$B6)+COUNTIF('2月'!AR4:AR34,$B6)+COUNTIF('2月'!AS4:AS34,$B6)+COUNTIF('2月'!AW4:AW34,$B6)+COUNTIF('2月'!AX4:AX34,$B6)+COUNTIF('2月'!BB4:BB34,$B6)+COUNTIF('2月'!BC4:BC34,$B6)+COUNTIF('2月'!BG4:BG34,$B6)+COUNTIF('2月'!BH4:BH34,$B6)+COUNTIF('2月'!BL4:BL34,$B6)+COUNTIF('2月'!BM4:BM34,$B6)+COUNTIF('2月'!BQ4:BQ34,$B6)+COUNTIF('2月'!BR4:BR34,$B6)+COUNTIF('2月'!BV4:BV34,$B6)+COUNTIF('2月'!BW4:BW34,$B6)+COUNTIF('2月'!CA4:CA34,$B6)+COUNTIF('2月'!CB4:CB34,$B6)+COUNTIF('2月'!CF4:CF34,$B6)+COUNTIF('2月'!CG4:CG34,$B6)+COUNTIF('2月'!CK4:CK34,$B6)+COUNTIF('2月'!CL4:CL34,$B6)+COUNTIF('2月'!CP4:CP34,$B6)+COUNTIF('2月'!CQ4:CQ34,$B6)+COUNTIF('2月'!CU4:CU34,$B6)+COUNTIF('2月'!CV4:CV34,$B6)+COUNTIF('2月'!CZ4:CZ34,$B6)+COUNTIF('2月'!DA4:DA34,$B6)+COUNTIF('2月'!DE4:DE34,$B6)+COUNTIF('2月'!DF4:DF34,$B6)+COUNTIF('2月'!DJ4:DJ34,$B6)+COUNTIF('2月'!DK4:DK34,$B6)+COUNTIF('2月'!DO4:DO34,$B6)+COUNTIF('2月'!DP4:DP34,$B6)+COUNTIF('2月'!DT4:DT34,$B6)+COUNTIF('2月'!DU4:DU34,$B6)+COUNTIF('2月'!DY4:DY34,$B6)+COUNTIF('2月'!DZ4:DZ34,$B6)+COUNTIF('2月'!ED4:ED34,$B6)+COUNTIF('2月'!EE4:EE34,$B6)+COUNTIF('2月'!EI4:EI34,$B6)+COUNTIF('2月'!EJ4:EJ34,$B6)+COUNTIF('2月'!EN4:EN34,$B6)+COUNTIF('2月'!EO4:EO34,$B6)+COUNTIF('2月'!ES4:ES34,$B6)+COUNTIF('2月'!ET4:ET34,$B6)),0)</f>
        <v>0</v>
      </c>
      <c r="E6" s="76">
        <f>IFERROR(IF($B6="","",COUNTIF('3月'!D4:D34,$B6)+COUNTIF('3月'!E4:E34,$B6)+COUNTIF('3月'!I4:I34,$B6)+COUNTIF('3月'!J4:J34,$B6)+COUNTIF('3月'!N4:N34,$B6)+COUNTIF('3月'!O4:O34,$B6)+COUNTIF('3月'!S4:S34,$B6)+COUNTIF('3月'!T4:T34,$B6)+COUNTIF('3月'!X4:X34,$B6)+COUNTIF('3月'!Y4:Y34,$B6)+COUNTIF('3月'!AC4:AC34,$B6)+COUNTIF('3月'!AD4:AD34,$B6)+COUNTIF('3月'!AH4:AH34,$B6)+COUNTIF('3月'!AI4:AI34,$B6)+COUNTIF('3月'!AM4:AM34,$B6)+COUNTIF('3月'!AN4:AN34,$B6)+COUNTIF('3月'!AR4:AR34,$B6)+COUNTIF('3月'!AS4:AS34,$B6)+COUNTIF('3月'!AW4:AW34,$B6)+COUNTIF('3月'!AX4:AX34,$B6)+COUNTIF('3月'!BB4:BB34,$B6)+COUNTIF('3月'!BC4:BC34,$B6)+COUNTIF('3月'!BG4:BG34,$B6)+COUNTIF('3月'!BH4:BH34,$B6)+COUNTIF('3月'!BL4:BL34,$B6)+COUNTIF('3月'!BM4:BM34,$B6)+COUNTIF('3月'!BQ4:BQ34,$B6)+COUNTIF('3月'!BR4:BR34,$B6)+COUNTIF('3月'!BV4:BV34,$B6)+COUNTIF('3月'!BW4:BW34,$B6)+COUNTIF('3月'!CA4:CA34,$B6)+COUNTIF('3月'!CB4:CB34,$B6)+COUNTIF('3月'!CF4:CF34,$B6)+COUNTIF('3月'!CG4:CG34,$B6)+COUNTIF('3月'!CK4:CK34,$B6)+COUNTIF('3月'!CL4:CL34,$B6)+COUNTIF('3月'!CP4:CP34,$B6)+COUNTIF('3月'!CQ4:CQ34,$B6)+COUNTIF('3月'!CU4:CU34,$B6)+COUNTIF('3月'!CV4:CV34,$B6)+COUNTIF('3月'!CZ4:CZ34,$B6)+COUNTIF('3月'!DA4:DA34,$B6)+COUNTIF('3月'!DE4:DE34,$B6)+COUNTIF('3月'!DF4:DF34,$B6)+COUNTIF('3月'!DJ4:DJ34,$B6)+COUNTIF('3月'!DK4:DK34,$B6)+COUNTIF('3月'!DO4:DO34,$B6)+COUNTIF('3月'!DP4:DP34,$B6)+COUNTIF('3月'!DT4:DT34,$B6)+COUNTIF('3月'!DU4:DU34,$B6)+COUNTIF('3月'!DY4:DY34,$B6)+COUNTIF('3月'!DZ4:DZ34,$B6)+COUNTIF('3月'!ED4:ED34,$B6)+COUNTIF('3月'!EE4:EE34,$B6)+COUNTIF('3月'!EI4:EI34,$B6)+COUNTIF('3月'!EJ4:EJ34,$B6)+COUNTIF('3月'!EN4:EN34,$B6)+COUNTIF('3月'!EO4:EO34,$B6)+COUNTIF('3月'!ES4:ES34,$B6)+COUNTIF('3月'!ET4:ET34,$B6)),0)</f>
        <v>0</v>
      </c>
      <c r="F6" s="76">
        <f>IFERROR(IF($B6="","",COUNTIF('4月'!D4:D34,$B6)+COUNTIF('4月'!E4:E34,$B6)+COUNTIF('4月'!I4:I34,$B6)+COUNTIF('4月'!J4:J34,$B6)+COUNTIF('4月'!N4:N34,$B6)+COUNTIF('4月'!O4:O34,$B6)+COUNTIF('4月'!S4:S34,$B6)+COUNTIF('4月'!T4:T34,$B6)+COUNTIF('4月'!X4:X34,$B6)+COUNTIF('4月'!Y4:Y34,$B6)+COUNTIF('4月'!AC4:AC34,$B6)+COUNTIF('4月'!AD4:AD34,$B6)+COUNTIF('4月'!AH4:AH34,$B6)+COUNTIF('4月'!AI4:AI34,$B6)+COUNTIF('4月'!AM4:AM34,$B6)+COUNTIF('4月'!AN4:AN34,$B6)+COUNTIF('4月'!AR4:AR34,$B6)+COUNTIF('4月'!AS4:AS34,$B6)+COUNTIF('4月'!AW4:AW34,$B6)+COUNTIF('4月'!AX4:AX34,$B6)+COUNTIF('4月'!BB4:BB34,$B6)+COUNTIF('4月'!BC4:BC34,$B6)+COUNTIF('4月'!BG4:BG34,$B6)+COUNTIF('4月'!BH4:BH34,$B6)+COUNTIF('4月'!BL4:BL34,$B6)+COUNTIF('4月'!BM4:BM34,$B6)+COUNTIF('4月'!BQ4:BQ34,$B6)+COUNTIF('4月'!BR4:BR34,$B6)+COUNTIF('4月'!BV4:BV34,$B6)+COUNTIF('4月'!BW4:BW34,$B6)+COUNTIF('4月'!CA4:CA34,$B6)+COUNTIF('4月'!CB4:CB34,$B6)+COUNTIF('4月'!CF4:CF34,$B6)+COUNTIF('4月'!CG4:CG34,$B6)+COUNTIF('4月'!CK4:CK34,$B6)+COUNTIF('4月'!CL4:CL34,$B6)+COUNTIF('4月'!CP4:CP34,$B6)+COUNTIF('4月'!CQ4:CQ34,$B6)+COUNTIF('4月'!CU4:CU34,$B6)+COUNTIF('4月'!CV4:CV34,$B6)+COUNTIF('4月'!CZ4:CZ34,$B6)+COUNTIF('4月'!DA4:DA34,$B6)+COUNTIF('4月'!DE4:DE34,$B6)+COUNTIF('4月'!DF4:DF34,$B6)+COUNTIF('4月'!DJ4:DJ34,$B6)+COUNTIF('4月'!DK4:DK34,$B6)+COUNTIF('4月'!DO4:DO34,$B6)+COUNTIF('4月'!DP4:DP34,$B6)+COUNTIF('4月'!DT4:DT34,$B6)+COUNTIF('4月'!DU4:DU34,$B6)+COUNTIF('4月'!DY4:DY34,$B6)+COUNTIF('4月'!DZ4:DZ34,$B6)+COUNTIF('4月'!ED4:ED34,$B6)+COUNTIF('4月'!EE4:EE34,$B6)+COUNTIF('4月'!EI4:EI34,$B6)+COUNTIF('4月'!EJ4:EJ34,$B6)+COUNTIF('4月'!EN4:EN34,$B6)+COUNTIF('4月'!EO4:EO34,$B6)+COUNTIF('4月'!ES4:ES34,$B6)+COUNTIF('4月'!ET4:ET34,$B6)),0)</f>
        <v>0</v>
      </c>
      <c r="G6" s="76">
        <f>IFERROR(IF($B6="","",COUNTIF('5月'!D4:D34,$B6)+COUNTIF('5月'!E4:E34,$B6)+COUNTIF('5月'!I4:I34,$B6)+COUNTIF('5月'!J4:J34,$B6)+COUNTIF('5月'!N4:N34,$B6)+COUNTIF('5月'!O4:O34,$B6)+COUNTIF('5月'!S4:S34,$B6)+COUNTIF('5月'!T4:T34,$B6)+COUNTIF('5月'!X4:X34,$B6)+COUNTIF('5月'!Y4:Y34,$B6)+COUNTIF('5月'!AC4:AC34,$B6)+COUNTIF('5月'!AD4:AD34,$B6)+COUNTIF('5月'!AH4:AH34,$B6)+COUNTIF('5月'!AI4:AI34,$B6)+COUNTIF('5月'!AM4:AM34,$B6)+COUNTIF('5月'!AN4:AN34,$B6)+COUNTIF('5月'!AR4:AR34,$B6)+COUNTIF('5月'!AS4:AS34,$B6)+COUNTIF('5月'!AW4:AW34,$B6)+COUNTIF('5月'!AX4:AX34,$B6)+COUNTIF('5月'!BB4:BB34,$B6)+COUNTIF('5月'!BC4:BC34,$B6)+COUNTIF('5月'!BG4:BG34,$B6)+COUNTIF('5月'!BH4:BH34,$B6)+COUNTIF('5月'!BL4:BL34,$B6)+COUNTIF('5月'!BM4:BM34,$B6)+COUNTIF('5月'!BQ4:BQ34,$B6)+COUNTIF('5月'!BR4:BR34,$B6)+COUNTIF('5月'!BV4:BV34,$B6)+COUNTIF('5月'!BW4:BW34,$B6)+COUNTIF('5月'!CA4:CA34,$B6)+COUNTIF('5月'!CB4:CB34,$B6)+COUNTIF('5月'!CF4:CF34,$B6)+COUNTIF('5月'!CG4:CG34,$B6)+COUNTIF('5月'!CK4:CK34,$B6)+COUNTIF('5月'!CL4:CL34,$B6)+COUNTIF('5月'!CP4:CP34,$B6)+COUNTIF('5月'!CQ4:CQ34,$B6)+COUNTIF('5月'!CU4:CU34,$B6)+COUNTIF('5月'!CV4:CV34,$B6)+COUNTIF('5月'!CZ4:CZ34,$B6)+COUNTIF('5月'!DA4:DA34,$B6)+COUNTIF('5月'!DE4:DE34,$B6)+COUNTIF('5月'!DF4:DF34,$B6)+COUNTIF('5月'!DJ4:DJ34,$B6)+COUNTIF('5月'!DK4:DK34,$B6)+COUNTIF('5月'!DO4:DO34,$B6)+COUNTIF('5月'!DP4:DP34,$B6)+COUNTIF('5月'!DT4:DT34,$B6)+COUNTIF('5月'!DU4:DU34,$B6)+COUNTIF('5月'!DY4:DY34,$B6)+COUNTIF('5月'!DZ4:DZ34,$B6)+COUNTIF('5月'!ED4:ED34,$B6)+COUNTIF('5月'!EE4:EE34,$B6)+COUNTIF('5月'!EI4:EI34,$B6)+COUNTIF('5月'!EJ4:EJ34,$B6)+COUNTIF('5月'!EN4:EN34,$B6)+COUNTIF('5月'!EO4:EO34,$B6)+COUNTIF('5月'!ES4:ES34,$B6)+COUNTIF('5月'!ET4:ET34,$B6)),0)</f>
        <v>0</v>
      </c>
      <c r="H6" s="76">
        <f>IFERROR(IF($B6="","",COUNTIF('6月'!D4:D34,$B6)+COUNTIF('6月'!E4:E34,$B6)+COUNTIF('6月'!I4:I34,$B6)+COUNTIF('6月'!J4:J34,$B6)+COUNTIF('6月'!N4:N34,$B6)+COUNTIF('6月'!O4:O34,$B6)+COUNTIF('6月'!S4:S34,$B6)+COUNTIF('6月'!T4:T34,$B6)+COUNTIF('6月'!X4:X34,$B6)+COUNTIF('6月'!Y4:Y34,$B6)+COUNTIF('6月'!AC4:AC34,$B6)+COUNTIF('6月'!AD4:AD34,$B6)+COUNTIF('6月'!AH4:AH34,$B6)+COUNTIF('6月'!AI4:AI34,$B6)+COUNTIF('6月'!AM4:AM34,$B6)+COUNTIF('6月'!AN4:AN34,$B6)+COUNTIF('6月'!AR4:AR34,$B6)+COUNTIF('6月'!AS4:AS34,$B6)+COUNTIF('6月'!AW4:AW34,$B6)+COUNTIF('6月'!AX4:AX34,$B6)+COUNTIF('6月'!BB4:BB34,$B6)+COUNTIF('6月'!BC4:BC34,$B6)+COUNTIF('6月'!BG4:BG34,$B6)+COUNTIF('6月'!BH4:BH34,$B6)+COUNTIF('6月'!BL4:BL34,$B6)+COUNTIF('6月'!BM4:BM34,$B6)+COUNTIF('6月'!BQ4:BQ34,$B6)+COUNTIF('6月'!BR4:BR34,$B6)+COUNTIF('6月'!BV4:BV34,$B6)+COUNTIF('6月'!BW4:BW34,$B6)+COUNTIF('6月'!CA4:CA34,$B6)+COUNTIF('6月'!CB4:CB34,$B6)+COUNTIF('6月'!CF4:CF34,$B6)+COUNTIF('6月'!CG4:CG34,$B6)+COUNTIF('6月'!CK4:CK34,$B6)+COUNTIF('6月'!CL4:CL34,$B6)+COUNTIF('6月'!CP4:CP34,$B6)+COUNTIF('6月'!CQ4:CQ34,$B6)+COUNTIF('6月'!CU4:CU34,$B6)+COUNTIF('6月'!CV4:CV34,$B6)+COUNTIF('6月'!CZ4:CZ34,$B6)+COUNTIF('6月'!DA4:DA34,$B6)+COUNTIF('6月'!DE4:DE34,$B6)+COUNTIF('6月'!DF4:DF34,$B6)+COUNTIF('6月'!DJ4:DJ34,$B6)+COUNTIF('6月'!DK4:DK34,$B6)+COUNTIF('6月'!DO4:DO34,$B6)+COUNTIF('6月'!DP4:DP34,$B6)+COUNTIF('6月'!DT4:DT34,$B6)+COUNTIF('6月'!DU4:DU34,$B6)+COUNTIF('6月'!DY4:DY34,$B6)+COUNTIF('6月'!DZ4:DZ34,$B6)+COUNTIF('6月'!ED4:ED34,$B6)+COUNTIF('6月'!EE4:EE34,$B6)+COUNTIF('6月'!EI4:EI34,$B6)+COUNTIF('6月'!EJ4:EJ34,$B6)+COUNTIF('6月'!EN4:EN34,$B6)+COUNTIF('6月'!EO4:EO34,$B6)+COUNTIF('6月'!ES4:ES34,$B6)+COUNTIF('6月'!ET4:ET34,$B6)),0)</f>
        <v>0</v>
      </c>
      <c r="I6" s="76">
        <f>IFERROR(IF($B6="","",COUNTIF('7月'!D4:D34,$B6)+COUNTIF('7月'!E4:E34,$B6)+COUNTIF('7月'!I4:I34,$B6)+COUNTIF('7月'!J4:J34,$B6)+COUNTIF('7月'!N4:N34,$B6)+COUNTIF('7月'!O4:O34,$B6)+COUNTIF('7月'!S4:S34,$B6)+COUNTIF('7月'!T4:T34,$B6)+COUNTIF('7月'!X4:X34,$B6)+COUNTIF('7月'!Y4:Y34,$B6)+COUNTIF('7月'!AC4:AC34,$B6)+COUNTIF('7月'!AD4:AD34,$B6)+COUNTIF('7月'!AH4:AH34,$B6)+COUNTIF('7月'!AI4:AI34,$B6)+COUNTIF('7月'!AM4:AM34,$B6)+COUNTIF('7月'!AN4:AN34,$B6)+COUNTIF('7月'!AR4:AR34,$B6)+COUNTIF('7月'!AS4:AS34,$B6)+COUNTIF('7月'!AW4:AW34,$B6)+COUNTIF('7月'!AX4:AX34,$B6)+COUNTIF('7月'!BB4:BB34,$B6)+COUNTIF('7月'!BC4:BC34,$B6)+COUNTIF('7月'!BG4:BG34,$B6)+COUNTIF('7月'!BH4:BH34,$B6)+COUNTIF('7月'!BL4:BL34,$B6)+COUNTIF('7月'!BM4:BM34,$B6)+COUNTIF('7月'!BQ4:BQ34,$B6)+COUNTIF('7月'!BR4:BR34,$B6)+COUNTIF('7月'!BV4:BV34,$B6)+COUNTIF('7月'!BW4:BW34,$B6)+COUNTIF('7月'!CA4:CA34,$B6)+COUNTIF('7月'!CB4:CB34,$B6)+COUNTIF('7月'!CF4:CF34,$B6)+COUNTIF('7月'!CG4:CG34,$B6)+COUNTIF('7月'!CK4:CK34,$B6)+COUNTIF('7月'!CL4:CL34,$B6)+COUNTIF('7月'!CP4:CP34,$B6)+COUNTIF('7月'!CQ4:CQ34,$B6)+COUNTIF('7月'!CU4:CU34,$B6)+COUNTIF('7月'!CV4:CV34,$B6)+COUNTIF('7月'!CZ4:CZ34,$B6)+COUNTIF('7月'!DA4:DA34,$B6)+COUNTIF('7月'!DE4:DE34,$B6)+COUNTIF('7月'!DF4:DF34,$B6)+COUNTIF('7月'!DJ4:DJ34,$B6)+COUNTIF('7月'!DK4:DK34,$B6)+COUNTIF('7月'!DO4:DO34,$B6)+COUNTIF('7月'!DP4:DP34,$B6)+COUNTIF('7月'!DT4:DT34,$B6)+COUNTIF('7月'!DU4:DU34,$B6)+COUNTIF('7月'!DY4:DY34,$B6)+COUNTIF('7月'!DZ4:DZ34,$B6)+COUNTIF('7月'!ED4:ED34,$B6)+COUNTIF('7月'!EE4:EE34,$B6)+COUNTIF('7月'!EI4:EI34,$B6)+COUNTIF('7月'!EJ4:EJ34,$B6)+COUNTIF('7月'!EN4:EN34,$B6)+COUNTIF('7月'!EO4:EO34,$B6)+COUNTIF('7月'!ES4:ES34,$B6)+COUNTIF('7月'!ET4:ET34,$B6)),0)</f>
        <v>0</v>
      </c>
      <c r="J6" s="76">
        <f>IFERROR(IF($B6="","",COUNTIF('8月'!D4:D34,$B6)+COUNTIF('8月'!E4:E34,$B6)+COUNTIF('8月'!I4:I34,$B6)+COUNTIF('8月'!J4:J34,$B6)+COUNTIF('8月'!N4:N34,$B6)+COUNTIF('8月'!O4:O34,$B6)+COUNTIF('8月'!S4:S34,$B6)+COUNTIF('8月'!T4:T34,$B6)+COUNTIF('8月'!X4:X34,$B6)+COUNTIF('8月'!Y4:Y34,$B6)+COUNTIF('8月'!AC4:AC34,$B6)+COUNTIF('8月'!AD4:AD34,$B6)+COUNTIF('8月'!AH4:AH34,$B6)+COUNTIF('8月'!AI4:AI34,$B6)+COUNTIF('8月'!AM4:AM34,$B6)+COUNTIF('8月'!AN4:AN34,$B6)+COUNTIF('8月'!AR4:AR34,$B6)+COUNTIF('8月'!AS4:AS34,$B6)+COUNTIF('8月'!AW4:AW34,$B6)+COUNTIF('8月'!AX4:AX34,$B6)+COUNTIF('8月'!BB4:BB34,$B6)+COUNTIF('8月'!BC4:BC34,$B6)+COUNTIF('8月'!BG4:BG34,$B6)+COUNTIF('8月'!BH4:BH34,$B6)+COUNTIF('8月'!BL4:BL34,$B6)+COUNTIF('8月'!BM4:BM34,$B6)+COUNTIF('8月'!BQ4:BQ34,$B6)+COUNTIF('8月'!BR4:BR34,$B6)+COUNTIF('8月'!BV4:BV34,$B6)+COUNTIF('8月'!BW4:BW34,$B6)+COUNTIF('8月'!CA4:CA34,$B6)+COUNTIF('8月'!CB4:CB34,$B6)+COUNTIF('8月'!CF4:CF34,$B6)+COUNTIF('8月'!CG4:CG34,$B6)+COUNTIF('8月'!CK4:CK34,$B6)+COUNTIF('8月'!CL4:CL34,$B6)+COUNTIF('8月'!CP4:CP34,$B6)+COUNTIF('8月'!CQ4:CQ34,$B6)+COUNTIF('8月'!CU4:CU34,$B6)+COUNTIF('8月'!CV4:CV34,$B6)+COUNTIF('8月'!CZ4:CZ34,$B6)+COUNTIF('8月'!DA4:DA34,$B6)+COUNTIF('8月'!DE4:DE34,$B6)+COUNTIF('8月'!DF4:DF34,$B6)+COUNTIF('8月'!DJ4:DJ34,$B6)+COUNTIF('8月'!DK4:DK34,$B6)+COUNTIF('8月'!DO4:DO34,$B6)+COUNTIF('8月'!DP4:DP34,$B6)+COUNTIF('8月'!DT4:DT34,$B6)+COUNTIF('8月'!DU4:DU34,$B6)+COUNTIF('8月'!DY4:DY34,$B6)+COUNTIF('8月'!DZ4:DZ34,$B6)+COUNTIF('8月'!ED4:ED34,$B6)+COUNTIF('8月'!EE4:EE34,$B6)+COUNTIF('8月'!EI4:EI34,$B6)+COUNTIF('8月'!EJ4:EJ34,$B6)+COUNTIF('8月'!EN4:EN34,$B6)+COUNTIF('8月'!EO4:EO34,$B6)+COUNTIF('8月'!ES4:ES34,$B6)+COUNTIF('8月'!ET4:ET34,$B6)),0)</f>
        <v>0</v>
      </c>
      <c r="K6" s="76">
        <f>IFERROR(IF($B6="","",COUNTIF('9月'!D4:D34,$B6)+COUNTIF('9月'!E4:E34,$B6)+COUNTIF('9月'!I4:I34,$B6)+COUNTIF('9月'!J4:J34,$B6)+COUNTIF('9月'!N4:N34,$B6)+COUNTIF('9月'!O4:O34,$B6)+COUNTIF('9月'!S4:S34,$B6)+COUNTIF('9月'!T4:T34,$B6)+COUNTIF('9月'!X4:X34,$B6)+COUNTIF('9月'!Y4:Y34,$B6)+COUNTIF('9月'!AC4:AC34,$B6)+COUNTIF('9月'!AD4:AD34,$B6)+COUNTIF('9月'!AH4:AH34,$B6)+COUNTIF('9月'!AI4:AI34,$B6)+COUNTIF('9月'!AM4:AM34,$B6)+COUNTIF('9月'!AN4:AN34,$B6)+COUNTIF('9月'!AR4:AR34,$B6)+COUNTIF('9月'!AS4:AS34,$B6)+COUNTIF('9月'!AW4:AW34,$B6)+COUNTIF('9月'!AX4:AX34,$B6)+COUNTIF('9月'!BB4:BB34,$B6)+COUNTIF('9月'!BC4:BC34,$B6)+COUNTIF('9月'!BG4:BG34,$B6)+COUNTIF('9月'!BH4:BH34,$B6)+COUNTIF('9月'!BL4:BL34,$B6)+COUNTIF('9月'!BM4:BM34,$B6)+COUNTIF('9月'!BQ4:BQ34,$B6)+COUNTIF('9月'!BR4:BR34,$B6)+COUNTIF('9月'!BV4:BV34,$B6)+COUNTIF('9月'!BW4:BW34,$B6)+COUNTIF('9月'!CA4:CA34,$B6)+COUNTIF('9月'!CB4:CB34,$B6)+COUNTIF('9月'!CF4:CF34,$B6)+COUNTIF('9月'!CG4:CG34,$B6)+COUNTIF('9月'!CK4:CK34,$B6)+COUNTIF('9月'!CL4:CL34,$B6)+COUNTIF('9月'!CP4:CP34,$B6)+COUNTIF('9月'!CQ4:CQ34,$B6)+COUNTIF('9月'!CU4:CU34,$B6)+COUNTIF('9月'!CV4:CV34,$B6)+COUNTIF('9月'!CZ4:CZ34,$B6)+COUNTIF('9月'!DA4:DA34,$B6)+COUNTIF('9月'!DE4:DE34,$B6)+COUNTIF('9月'!DF4:DF34,$B6)+COUNTIF('9月'!DJ4:DJ34,$B6)+COUNTIF('9月'!DK4:DK34,$B6)+COUNTIF('9月'!DO4:DO34,$B6)+COUNTIF('9月'!DP4:DP34,$B6)+COUNTIF('9月'!DT4:DT34,$B6)+COUNTIF('9月'!DU4:DU34,$B6)+COUNTIF('9月'!DY4:DY34,$B6)+COUNTIF('9月'!DZ4:DZ34,$B6)+COUNTIF('9月'!ED4:ED34,$B6)+COUNTIF('9月'!EE4:EE34,$B6)+COUNTIF('9月'!EI4:EI34,$B6)+COUNTIF('9月'!EJ4:EJ34,$B6)+COUNTIF('9月'!EN4:EN34,$B6)+COUNTIF('9月'!EO4:EO34,$B6)+COUNTIF('9月'!ES4:ES34,$B6)+COUNTIF('9月'!ET4:ET34,$B6)),0)</f>
        <v>0</v>
      </c>
      <c r="L6" s="76">
        <f>IFERROR(IF($B6="","",COUNTIF('10月'!D4:D34,$B6)+COUNTIF('10月'!E4:E34,$B6)+COUNTIF('10月'!I4:I34,$B6)+COUNTIF('10月'!J4:J34,$B6)+COUNTIF('10月'!N4:N34,$B6)+COUNTIF('10月'!O4:O34,$B6)+COUNTIF('10月'!S4:S34,$B6)+COUNTIF('10月'!T4:T34,$B6)+COUNTIF('10月'!X4:X34,$B6)+COUNTIF('10月'!Y4:Y34,$B6)+COUNTIF('10月'!AC4:AC34,$B6)+COUNTIF('10月'!AD4:AD34,$B6)+COUNTIF('10月'!AH4:AH34,$B6)+COUNTIF('10月'!AI4:AI34,$B6)+COUNTIF('10月'!AM4:AM34,$B6)+COUNTIF('10月'!AN4:AN34,$B6)+COUNTIF('10月'!AR4:AR34,$B6)+COUNTIF('10月'!AS4:AS34,$B6)+COUNTIF('10月'!AW4:AW34,$B6)+COUNTIF('10月'!AX4:AX34,$B6)+COUNTIF('10月'!BB4:BB34,$B6)+COUNTIF('10月'!BC4:BC34,$B6)+COUNTIF('10月'!BG4:BG34,$B6)+COUNTIF('10月'!BH4:BH34,$B6)+COUNTIF('10月'!BL4:BL34,$B6)+COUNTIF('10月'!BM4:BM34,$B6)+COUNTIF('10月'!BQ4:BQ34,$B6)+COUNTIF('10月'!BR4:BR34,$B6)+COUNTIF('10月'!BV4:BV34,$B6)+COUNTIF('10月'!BW4:BW34,$B6)+COUNTIF('10月'!CA4:CA34,$B6)+COUNTIF('10月'!CB4:CB34,$B6)+COUNTIF('10月'!CF4:CF34,$B6)+COUNTIF('10月'!CG4:CG34,$B6)+COUNTIF('10月'!CK4:CK34,$B6)+COUNTIF('10月'!CL4:CL34,$B6)+COUNTIF('10月'!CP4:CP34,$B6)+COUNTIF('10月'!CQ4:CQ34,$B6)+COUNTIF('10月'!CU4:CU34,$B6)+COUNTIF('10月'!CV4:CV34,$B6)+COUNTIF('10月'!CZ4:CZ34,$B6)+COUNTIF('10月'!DA4:DA34,$B6)+COUNTIF('10月'!DE4:DE34,$B6)+COUNTIF('10月'!DF4:DF34,$B6)+COUNTIF('10月'!DJ4:DJ34,$B6)+COUNTIF('10月'!DK4:DK34,$B6)+COUNTIF('10月'!DO4:DO34,$B6)+COUNTIF('10月'!DP4:DP34,$B6)+COUNTIF('10月'!DT4:DT34,$B6)+COUNTIF('10月'!DU4:DU34,$B6)+COUNTIF('10月'!DY4:DY34,$B6)+COUNTIF('10月'!DZ4:DZ34,$B6)+COUNTIF('10月'!ED4:ED34,$B6)+COUNTIF('10月'!EE4:EE34,$B6)+COUNTIF('10月'!EI4:EI34,$B6)+COUNTIF('10月'!EJ4:EJ34,$B6)+COUNTIF('10月'!EN4:EN34,$B6)+COUNTIF('10月'!EO4:EO34,$B6)+COUNTIF('10月'!ES4:ES34,$B6)+COUNTIF('10月'!ET4:ET34,$B6)),0)</f>
        <v>0</v>
      </c>
      <c r="M6" s="76">
        <f>IFERROR(IF($B6="","",COUNTIF('11月'!D4:D34,$B6)+COUNTIF('11月'!E4:E34,$B6)+COUNTIF('11月'!I4:I34,$B6)+COUNTIF('11月'!J4:J34,$B6)+COUNTIF('11月'!N4:N34,$B6)+COUNTIF('11月'!O4:O34,$B6)+COUNTIF('11月'!S4:S34,$B6)+COUNTIF('11月'!T4:T34,$B6)+COUNTIF('11月'!X4:X34,$B6)+COUNTIF('11月'!Y4:Y34,$B6)+COUNTIF('11月'!AC4:AC34,$B6)+COUNTIF('11月'!AD4:AD34,$B6)+COUNTIF('11月'!AH4:AH34,$B6)+COUNTIF('11月'!AI4:AI34,$B6)+COUNTIF('11月'!AM4:AM34,$B6)+COUNTIF('11月'!AN4:AN34,$B6)+COUNTIF('11月'!AR4:AR34,$B6)+COUNTIF('11月'!AS4:AS34,$B6)+COUNTIF('11月'!AW4:AW34,$B6)+COUNTIF('11月'!AX4:AX34,$B6)+COUNTIF('11月'!BB4:BB34,$B6)+COUNTIF('11月'!BC4:BC34,$B6)+COUNTIF('11月'!BG4:BG34,$B6)+COUNTIF('11月'!BH4:BH34,$B6)+COUNTIF('11月'!BL4:BL34,$B6)+COUNTIF('11月'!BM4:BM34,$B6)+COUNTIF('11月'!BQ4:BQ34,$B6)+COUNTIF('11月'!BR4:BR34,$B6)+COUNTIF('11月'!BV4:BV34,$B6)+COUNTIF('11月'!BW4:BW34,$B6)+COUNTIF('11月'!CA4:CA34,$B6)+COUNTIF('11月'!CB4:CB34,$B6)+COUNTIF('11月'!CF4:CF34,$B6)+COUNTIF('11月'!CG4:CG34,$B6)+COUNTIF('11月'!CK4:CK34,$B6)+COUNTIF('11月'!CL4:CL34,$B6)+COUNTIF('11月'!CP4:CP34,$B6)+COUNTIF('11月'!CQ4:CQ34,$B6)+COUNTIF('11月'!CU4:CU34,$B6)+COUNTIF('11月'!CV4:CV34,$B6)+COUNTIF('11月'!CZ4:CZ34,$B6)+COUNTIF('11月'!DA4:DA34,$B6)+COUNTIF('11月'!DE4:DE34,$B6)+COUNTIF('11月'!DF4:DF34,$B6)+COUNTIF('11月'!DJ4:DJ34,$B6)+COUNTIF('11月'!DK4:DK34,$B6)+COUNTIF('11月'!DO4:DO34,$B6)+COUNTIF('11月'!DP4:DP34,$B6)+COUNTIF('11月'!DT4:DT34,$B6)+COUNTIF('11月'!DU4:DU34,$B6)+COUNTIF('11月'!DY4:DY34,$B6)+COUNTIF('11月'!DZ4:DZ34,$B6)+COUNTIF('11月'!ED4:ED34,$B6)+COUNTIF('11月'!EE4:EE34,$B6)+COUNTIF('11月'!EI4:EI34,$B6)+COUNTIF('11月'!EJ4:EJ34,$B6)+COUNTIF('11月'!EN4:EN34,$B6)+COUNTIF('11月'!EO4:EO34,$B6)+COUNTIF('11月'!ES4:ES34,$B6)+COUNTIF('11月'!ET4:ET34,$B6)),0)</f>
        <v>0</v>
      </c>
      <c r="N6" s="76">
        <f>IFERROR(IF($B6="","",COUNTIF('12月'!D4:D34,$B6)+COUNTIF('12月'!E4:E34,$B6)+COUNTIF('12月'!I4:I34,$B6)+COUNTIF('12月'!J4:J34,$B6)+COUNTIF('12月'!N4:N34,$B6)+COUNTIF('12月'!O4:O34,$B6)+COUNTIF('12月'!S4:S34,$B6)+COUNTIF('12月'!T4:T34,$B6)+COUNTIF('12月'!X4:X34,$B6)+COUNTIF('12月'!Y4:Y34,$B6)+COUNTIF('12月'!AC4:AC34,$B6)+COUNTIF('12月'!AD4:AD34,$B6)+COUNTIF('12月'!AH4:AH34,$B6)+COUNTIF('12月'!AI4:AI34,$B6)+COUNTIF('12月'!AM4:AM34,$B6)+COUNTIF('12月'!AN4:AN34,$B6)+COUNTIF('12月'!AR4:AR34,$B6)+COUNTIF('12月'!AS4:AS34,$B6)+COUNTIF('12月'!AW4:AW34,$B6)+COUNTIF('12月'!AX4:AX34,$B6)+COUNTIF('12月'!BB4:BB34,$B6)+COUNTIF('12月'!BC4:BC34,$B6)+COUNTIF('12月'!BG4:BG34,$B6)+COUNTIF('12月'!BH4:BH34,$B6)+COUNTIF('12月'!BL4:BL34,$B6)+COUNTIF('12月'!BM4:BM34,$B6)+COUNTIF('12月'!BQ4:BQ34,$B6)+COUNTIF('12月'!BR4:BR34,$B6)+COUNTIF('12月'!BV4:BV34,$B6)+COUNTIF('12月'!BW4:BW34,$B6)+COUNTIF('12月'!CA4:CA34,$B6)+COUNTIF('12月'!CB4:CB34,$B6)+COUNTIF('12月'!CF4:CF34,$B6)+COUNTIF('12月'!CG4:CG34,$B6)+COUNTIF('12月'!CK4:CK34,$B6)+COUNTIF('12月'!CL4:CL34,$B6)+COUNTIF('12月'!CP4:CP34,$B6)+COUNTIF('12月'!CQ4:CQ34,$B6)+COUNTIF('12月'!CU4:CU34,$B6)+COUNTIF('12月'!CV4:CV34,$B6)+COUNTIF('12月'!CZ4:CZ34,$B6)+COUNTIF('12月'!DA4:DA34,$B6)+COUNTIF('12月'!DE4:DE34,$B6)+COUNTIF('12月'!DF4:DF34,$B6)+COUNTIF('12月'!DJ4:DJ34,$B6)+COUNTIF('12月'!DK4:DK34,$B6)+COUNTIF('12月'!DO4:DO34,$B6)+COUNTIF('12月'!DP4:DP34,$B6)+COUNTIF('12月'!DT4:DT34,$B6)+COUNTIF('12月'!DU4:DU34,$B6)+COUNTIF('12月'!DY4:DY34,$B6)+COUNTIF('12月'!DZ4:DZ34,$B6)+COUNTIF('12月'!ED4:ED34,$B6)+COUNTIF('12月'!EE4:EE34,$B6)+COUNTIF('12月'!EI4:EI34,$B6)+COUNTIF('12月'!EJ4:EJ34,$B6)+COUNTIF('12月'!EN4:EN34,$B6)+COUNTIF('12月'!EO4:EO34,$B6)+COUNTIF('12月'!ES4:ES34,$B6)+COUNTIF('12月'!ET4:ET34,$B6)),0)</f>
        <v>0</v>
      </c>
      <c r="O6" s="78">
        <f t="shared" si="0"/>
        <v>0</v>
      </c>
    </row>
    <row r="7" spans="1:15" ht="19.5" customHeight="1">
      <c r="A7" s="76">
        <v>5</v>
      </c>
      <c r="B7" s="77" t="str">
        <f>IFERROR(現場マスタ!$C$8,"")</f>
        <v>E現場（商業施設）</v>
      </c>
      <c r="C7" s="76">
        <f>IFERROR(IF($B7="","",COUNTIF('1月'!D4:D34,$B7)+COUNTIF('1月'!E4:E34,$B7)+COUNTIF('1月'!I4:I34,$B7)+COUNTIF('1月'!J4:J34,$B7)+COUNTIF('1月'!N4:N34,$B7)+COUNTIF('1月'!O4:O34,$B7)+COUNTIF('1月'!S4:S34,$B7)+COUNTIF('1月'!T4:T34,$B7)+COUNTIF('1月'!X4:X34,$B7)+COUNTIF('1月'!Y4:Y34,$B7)+COUNTIF('1月'!AC4:AC34,$B7)+COUNTIF('1月'!AD4:AD34,$B7)+COUNTIF('1月'!AH4:AH34,$B7)+COUNTIF('1月'!AI4:AI34,$B7)+COUNTIF('1月'!AM4:AM34,$B7)+COUNTIF('1月'!AN4:AN34,$B7)+COUNTIF('1月'!AR4:AR34,$B7)+COUNTIF('1月'!AS4:AS34,$B7)+COUNTIF('1月'!AW4:AW34,$B7)+COUNTIF('1月'!AX4:AX34,$B7)+COUNTIF('1月'!BB4:BB34,$B7)+COUNTIF('1月'!BC4:BC34,$B7)+COUNTIF('1月'!BG4:BG34,$B7)+COUNTIF('1月'!BH4:BH34,$B7)+COUNTIF('1月'!BL4:BL34,$B7)+COUNTIF('1月'!BM4:BM34,$B7)+COUNTIF('1月'!BQ4:BQ34,$B7)+COUNTIF('1月'!BR4:BR34,$B7)+COUNTIF('1月'!BV4:BV34,$B7)+COUNTIF('1月'!BW4:BW34,$B7)+COUNTIF('1月'!CA4:CA34,$B7)+COUNTIF('1月'!CB4:CB34,$B7)+COUNTIF('1月'!CF4:CF34,$B7)+COUNTIF('1月'!CG4:CG34,$B7)+COUNTIF('1月'!CK4:CK34,$B7)+COUNTIF('1月'!CL4:CL34,$B7)+COUNTIF('1月'!CP4:CP34,$B7)+COUNTIF('1月'!CQ4:CQ34,$B7)+COUNTIF('1月'!CU4:CU34,$B7)+COUNTIF('1月'!CV4:CV34,$B7)+COUNTIF('1月'!CZ4:CZ34,$B7)+COUNTIF('1月'!DA4:DA34,$B7)+COUNTIF('1月'!DE4:DE34,$B7)+COUNTIF('1月'!DF4:DF34,$B7)+COUNTIF('1月'!DJ4:DJ34,$B7)+COUNTIF('1月'!DK4:DK34,$B7)+COUNTIF('1月'!DO4:DO34,$B7)+COUNTIF('1月'!DP4:DP34,$B7)+COUNTIF('1月'!DT4:DT34,$B7)+COUNTIF('1月'!DU4:DU34,$B7)+COUNTIF('1月'!DY4:DY34,$B7)+COUNTIF('1月'!DZ4:DZ34,$B7)+COUNTIF('1月'!ED4:ED34,$B7)+COUNTIF('1月'!EE4:EE34,$B7)+COUNTIF('1月'!EI4:EI34,$B7)+COUNTIF('1月'!EJ4:EJ34,$B7)+COUNTIF('1月'!EN4:EN34,$B7)+COUNTIF('1月'!EO4:EO34,$B7)+COUNTIF('1月'!ES4:ES34,$B7)+COUNTIF('1月'!ET4:ET34,$B7)),0)</f>
        <v>0</v>
      </c>
      <c r="D7" s="76">
        <f>IFERROR(IF($B7="","",COUNTIF('2月'!D4:D34,$B7)+COUNTIF('2月'!E4:E34,$B7)+COUNTIF('2月'!I4:I34,$B7)+COUNTIF('2月'!J4:J34,$B7)+COUNTIF('2月'!N4:N34,$B7)+COUNTIF('2月'!O4:O34,$B7)+COUNTIF('2月'!S4:S34,$B7)+COUNTIF('2月'!T4:T34,$B7)+COUNTIF('2月'!X4:X34,$B7)+COUNTIF('2月'!Y4:Y34,$B7)+COUNTIF('2月'!AC4:AC34,$B7)+COUNTIF('2月'!AD4:AD34,$B7)+COUNTIF('2月'!AH4:AH34,$B7)+COUNTIF('2月'!AI4:AI34,$B7)+COUNTIF('2月'!AM4:AM34,$B7)+COUNTIF('2月'!AN4:AN34,$B7)+COUNTIF('2月'!AR4:AR34,$B7)+COUNTIF('2月'!AS4:AS34,$B7)+COUNTIF('2月'!AW4:AW34,$B7)+COUNTIF('2月'!AX4:AX34,$B7)+COUNTIF('2月'!BB4:BB34,$B7)+COUNTIF('2月'!BC4:BC34,$B7)+COUNTIF('2月'!BG4:BG34,$B7)+COUNTIF('2月'!BH4:BH34,$B7)+COUNTIF('2月'!BL4:BL34,$B7)+COUNTIF('2月'!BM4:BM34,$B7)+COUNTIF('2月'!BQ4:BQ34,$B7)+COUNTIF('2月'!BR4:BR34,$B7)+COUNTIF('2月'!BV4:BV34,$B7)+COUNTIF('2月'!BW4:BW34,$B7)+COUNTIF('2月'!CA4:CA34,$B7)+COUNTIF('2月'!CB4:CB34,$B7)+COUNTIF('2月'!CF4:CF34,$B7)+COUNTIF('2月'!CG4:CG34,$B7)+COUNTIF('2月'!CK4:CK34,$B7)+COUNTIF('2月'!CL4:CL34,$B7)+COUNTIF('2月'!CP4:CP34,$B7)+COUNTIF('2月'!CQ4:CQ34,$B7)+COUNTIF('2月'!CU4:CU34,$B7)+COUNTIF('2月'!CV4:CV34,$B7)+COUNTIF('2月'!CZ4:CZ34,$B7)+COUNTIF('2月'!DA4:DA34,$B7)+COUNTIF('2月'!DE4:DE34,$B7)+COUNTIF('2月'!DF4:DF34,$B7)+COUNTIF('2月'!DJ4:DJ34,$B7)+COUNTIF('2月'!DK4:DK34,$B7)+COUNTIF('2月'!DO4:DO34,$B7)+COUNTIF('2月'!DP4:DP34,$B7)+COUNTIF('2月'!DT4:DT34,$B7)+COUNTIF('2月'!DU4:DU34,$B7)+COUNTIF('2月'!DY4:DY34,$B7)+COUNTIF('2月'!DZ4:DZ34,$B7)+COUNTIF('2月'!ED4:ED34,$B7)+COUNTIF('2月'!EE4:EE34,$B7)+COUNTIF('2月'!EI4:EI34,$B7)+COUNTIF('2月'!EJ4:EJ34,$B7)+COUNTIF('2月'!EN4:EN34,$B7)+COUNTIF('2月'!EO4:EO34,$B7)+COUNTIF('2月'!ES4:ES34,$B7)+COUNTIF('2月'!ET4:ET34,$B7)),0)</f>
        <v>0</v>
      </c>
      <c r="E7" s="76">
        <f>IFERROR(IF($B7="","",COUNTIF('3月'!D4:D34,$B7)+COUNTIF('3月'!E4:E34,$B7)+COUNTIF('3月'!I4:I34,$B7)+COUNTIF('3月'!J4:J34,$B7)+COUNTIF('3月'!N4:N34,$B7)+COUNTIF('3月'!O4:O34,$B7)+COUNTIF('3月'!S4:S34,$B7)+COUNTIF('3月'!T4:T34,$B7)+COUNTIF('3月'!X4:X34,$B7)+COUNTIF('3月'!Y4:Y34,$B7)+COUNTIF('3月'!AC4:AC34,$B7)+COUNTIF('3月'!AD4:AD34,$B7)+COUNTIF('3月'!AH4:AH34,$B7)+COUNTIF('3月'!AI4:AI34,$B7)+COUNTIF('3月'!AM4:AM34,$B7)+COUNTIF('3月'!AN4:AN34,$B7)+COUNTIF('3月'!AR4:AR34,$B7)+COUNTIF('3月'!AS4:AS34,$B7)+COUNTIF('3月'!AW4:AW34,$B7)+COUNTIF('3月'!AX4:AX34,$B7)+COUNTIF('3月'!BB4:BB34,$B7)+COUNTIF('3月'!BC4:BC34,$B7)+COUNTIF('3月'!BG4:BG34,$B7)+COUNTIF('3月'!BH4:BH34,$B7)+COUNTIF('3月'!BL4:BL34,$B7)+COUNTIF('3月'!BM4:BM34,$B7)+COUNTIF('3月'!BQ4:BQ34,$B7)+COUNTIF('3月'!BR4:BR34,$B7)+COUNTIF('3月'!BV4:BV34,$B7)+COUNTIF('3月'!BW4:BW34,$B7)+COUNTIF('3月'!CA4:CA34,$B7)+COUNTIF('3月'!CB4:CB34,$B7)+COUNTIF('3月'!CF4:CF34,$B7)+COUNTIF('3月'!CG4:CG34,$B7)+COUNTIF('3月'!CK4:CK34,$B7)+COUNTIF('3月'!CL4:CL34,$B7)+COUNTIF('3月'!CP4:CP34,$B7)+COUNTIF('3月'!CQ4:CQ34,$B7)+COUNTIF('3月'!CU4:CU34,$B7)+COUNTIF('3月'!CV4:CV34,$B7)+COUNTIF('3月'!CZ4:CZ34,$B7)+COUNTIF('3月'!DA4:DA34,$B7)+COUNTIF('3月'!DE4:DE34,$B7)+COUNTIF('3月'!DF4:DF34,$B7)+COUNTIF('3月'!DJ4:DJ34,$B7)+COUNTIF('3月'!DK4:DK34,$B7)+COUNTIF('3月'!DO4:DO34,$B7)+COUNTIF('3月'!DP4:DP34,$B7)+COUNTIF('3月'!DT4:DT34,$B7)+COUNTIF('3月'!DU4:DU34,$B7)+COUNTIF('3月'!DY4:DY34,$B7)+COUNTIF('3月'!DZ4:DZ34,$B7)+COUNTIF('3月'!ED4:ED34,$B7)+COUNTIF('3月'!EE4:EE34,$B7)+COUNTIF('3月'!EI4:EI34,$B7)+COUNTIF('3月'!EJ4:EJ34,$B7)+COUNTIF('3月'!EN4:EN34,$B7)+COUNTIF('3月'!EO4:EO34,$B7)+COUNTIF('3月'!ES4:ES34,$B7)+COUNTIF('3月'!ET4:ET34,$B7)),0)</f>
        <v>0</v>
      </c>
      <c r="F7" s="76">
        <f>IFERROR(IF($B7="","",COUNTIF('4月'!D4:D34,$B7)+COUNTIF('4月'!E4:E34,$B7)+COUNTIF('4月'!I4:I34,$B7)+COUNTIF('4月'!J4:J34,$B7)+COUNTIF('4月'!N4:N34,$B7)+COUNTIF('4月'!O4:O34,$B7)+COUNTIF('4月'!S4:S34,$B7)+COUNTIF('4月'!T4:T34,$B7)+COUNTIF('4月'!X4:X34,$B7)+COUNTIF('4月'!Y4:Y34,$B7)+COUNTIF('4月'!AC4:AC34,$B7)+COUNTIF('4月'!AD4:AD34,$B7)+COUNTIF('4月'!AH4:AH34,$B7)+COUNTIF('4月'!AI4:AI34,$B7)+COUNTIF('4月'!AM4:AM34,$B7)+COUNTIF('4月'!AN4:AN34,$B7)+COUNTIF('4月'!AR4:AR34,$B7)+COUNTIF('4月'!AS4:AS34,$B7)+COUNTIF('4月'!AW4:AW34,$B7)+COUNTIF('4月'!AX4:AX34,$B7)+COUNTIF('4月'!BB4:BB34,$B7)+COUNTIF('4月'!BC4:BC34,$B7)+COUNTIF('4月'!BG4:BG34,$B7)+COUNTIF('4月'!BH4:BH34,$B7)+COUNTIF('4月'!BL4:BL34,$B7)+COUNTIF('4月'!BM4:BM34,$B7)+COUNTIF('4月'!BQ4:BQ34,$B7)+COUNTIF('4月'!BR4:BR34,$B7)+COUNTIF('4月'!BV4:BV34,$B7)+COUNTIF('4月'!BW4:BW34,$B7)+COUNTIF('4月'!CA4:CA34,$B7)+COUNTIF('4月'!CB4:CB34,$B7)+COUNTIF('4月'!CF4:CF34,$B7)+COUNTIF('4月'!CG4:CG34,$B7)+COUNTIF('4月'!CK4:CK34,$B7)+COUNTIF('4月'!CL4:CL34,$B7)+COUNTIF('4月'!CP4:CP34,$B7)+COUNTIF('4月'!CQ4:CQ34,$B7)+COUNTIF('4月'!CU4:CU34,$B7)+COUNTIF('4月'!CV4:CV34,$B7)+COUNTIF('4月'!CZ4:CZ34,$B7)+COUNTIF('4月'!DA4:DA34,$B7)+COUNTIF('4月'!DE4:DE34,$B7)+COUNTIF('4月'!DF4:DF34,$B7)+COUNTIF('4月'!DJ4:DJ34,$B7)+COUNTIF('4月'!DK4:DK34,$B7)+COUNTIF('4月'!DO4:DO34,$B7)+COUNTIF('4月'!DP4:DP34,$B7)+COUNTIF('4月'!DT4:DT34,$B7)+COUNTIF('4月'!DU4:DU34,$B7)+COUNTIF('4月'!DY4:DY34,$B7)+COUNTIF('4月'!DZ4:DZ34,$B7)+COUNTIF('4月'!ED4:ED34,$B7)+COUNTIF('4月'!EE4:EE34,$B7)+COUNTIF('4月'!EI4:EI34,$B7)+COUNTIF('4月'!EJ4:EJ34,$B7)+COUNTIF('4月'!EN4:EN34,$B7)+COUNTIF('4月'!EO4:EO34,$B7)+COUNTIF('4月'!ES4:ES34,$B7)+COUNTIF('4月'!ET4:ET34,$B7)),0)</f>
        <v>0</v>
      </c>
      <c r="G7" s="76">
        <f>IFERROR(IF($B7="","",COUNTIF('5月'!D4:D34,$B7)+COUNTIF('5月'!E4:E34,$B7)+COUNTIF('5月'!I4:I34,$B7)+COUNTIF('5月'!J4:J34,$B7)+COUNTIF('5月'!N4:N34,$B7)+COUNTIF('5月'!O4:O34,$B7)+COUNTIF('5月'!S4:S34,$B7)+COUNTIF('5月'!T4:T34,$B7)+COUNTIF('5月'!X4:X34,$B7)+COUNTIF('5月'!Y4:Y34,$B7)+COUNTIF('5月'!AC4:AC34,$B7)+COUNTIF('5月'!AD4:AD34,$B7)+COUNTIF('5月'!AH4:AH34,$B7)+COUNTIF('5月'!AI4:AI34,$B7)+COUNTIF('5月'!AM4:AM34,$B7)+COUNTIF('5月'!AN4:AN34,$B7)+COUNTIF('5月'!AR4:AR34,$B7)+COUNTIF('5月'!AS4:AS34,$B7)+COUNTIF('5月'!AW4:AW34,$B7)+COUNTIF('5月'!AX4:AX34,$B7)+COUNTIF('5月'!BB4:BB34,$B7)+COUNTIF('5月'!BC4:BC34,$B7)+COUNTIF('5月'!BG4:BG34,$B7)+COUNTIF('5月'!BH4:BH34,$B7)+COUNTIF('5月'!BL4:BL34,$B7)+COUNTIF('5月'!BM4:BM34,$B7)+COUNTIF('5月'!BQ4:BQ34,$B7)+COUNTIF('5月'!BR4:BR34,$B7)+COUNTIF('5月'!BV4:BV34,$B7)+COUNTIF('5月'!BW4:BW34,$B7)+COUNTIF('5月'!CA4:CA34,$B7)+COUNTIF('5月'!CB4:CB34,$B7)+COUNTIF('5月'!CF4:CF34,$B7)+COUNTIF('5月'!CG4:CG34,$B7)+COUNTIF('5月'!CK4:CK34,$B7)+COUNTIF('5月'!CL4:CL34,$B7)+COUNTIF('5月'!CP4:CP34,$B7)+COUNTIF('5月'!CQ4:CQ34,$B7)+COUNTIF('5月'!CU4:CU34,$B7)+COUNTIF('5月'!CV4:CV34,$B7)+COUNTIF('5月'!CZ4:CZ34,$B7)+COUNTIF('5月'!DA4:DA34,$B7)+COUNTIF('5月'!DE4:DE34,$B7)+COUNTIF('5月'!DF4:DF34,$B7)+COUNTIF('5月'!DJ4:DJ34,$B7)+COUNTIF('5月'!DK4:DK34,$B7)+COUNTIF('5月'!DO4:DO34,$B7)+COUNTIF('5月'!DP4:DP34,$B7)+COUNTIF('5月'!DT4:DT34,$B7)+COUNTIF('5月'!DU4:DU34,$B7)+COUNTIF('5月'!DY4:DY34,$B7)+COUNTIF('5月'!DZ4:DZ34,$B7)+COUNTIF('5月'!ED4:ED34,$B7)+COUNTIF('5月'!EE4:EE34,$B7)+COUNTIF('5月'!EI4:EI34,$B7)+COUNTIF('5月'!EJ4:EJ34,$B7)+COUNTIF('5月'!EN4:EN34,$B7)+COUNTIF('5月'!EO4:EO34,$B7)+COUNTIF('5月'!ES4:ES34,$B7)+COUNTIF('5月'!ET4:ET34,$B7)),0)</f>
        <v>0</v>
      </c>
      <c r="H7" s="76">
        <f>IFERROR(IF($B7="","",COUNTIF('6月'!D4:D34,$B7)+COUNTIF('6月'!E4:E34,$B7)+COUNTIF('6月'!I4:I34,$B7)+COUNTIF('6月'!J4:J34,$B7)+COUNTIF('6月'!N4:N34,$B7)+COUNTIF('6月'!O4:O34,$B7)+COUNTIF('6月'!S4:S34,$B7)+COUNTIF('6月'!T4:T34,$B7)+COUNTIF('6月'!X4:X34,$B7)+COUNTIF('6月'!Y4:Y34,$B7)+COUNTIF('6月'!AC4:AC34,$B7)+COUNTIF('6月'!AD4:AD34,$B7)+COUNTIF('6月'!AH4:AH34,$B7)+COUNTIF('6月'!AI4:AI34,$B7)+COUNTIF('6月'!AM4:AM34,$B7)+COUNTIF('6月'!AN4:AN34,$B7)+COUNTIF('6月'!AR4:AR34,$B7)+COUNTIF('6月'!AS4:AS34,$B7)+COUNTIF('6月'!AW4:AW34,$B7)+COUNTIF('6月'!AX4:AX34,$B7)+COUNTIF('6月'!BB4:BB34,$B7)+COUNTIF('6月'!BC4:BC34,$B7)+COUNTIF('6月'!BG4:BG34,$B7)+COUNTIF('6月'!BH4:BH34,$B7)+COUNTIF('6月'!BL4:BL34,$B7)+COUNTIF('6月'!BM4:BM34,$B7)+COUNTIF('6月'!BQ4:BQ34,$B7)+COUNTIF('6月'!BR4:BR34,$B7)+COUNTIF('6月'!BV4:BV34,$B7)+COUNTIF('6月'!BW4:BW34,$B7)+COUNTIF('6月'!CA4:CA34,$B7)+COUNTIF('6月'!CB4:CB34,$B7)+COUNTIF('6月'!CF4:CF34,$B7)+COUNTIF('6月'!CG4:CG34,$B7)+COUNTIF('6月'!CK4:CK34,$B7)+COUNTIF('6月'!CL4:CL34,$B7)+COUNTIF('6月'!CP4:CP34,$B7)+COUNTIF('6月'!CQ4:CQ34,$B7)+COUNTIF('6月'!CU4:CU34,$B7)+COUNTIF('6月'!CV4:CV34,$B7)+COUNTIF('6月'!CZ4:CZ34,$B7)+COUNTIF('6月'!DA4:DA34,$B7)+COUNTIF('6月'!DE4:DE34,$B7)+COUNTIF('6月'!DF4:DF34,$B7)+COUNTIF('6月'!DJ4:DJ34,$B7)+COUNTIF('6月'!DK4:DK34,$B7)+COUNTIF('6月'!DO4:DO34,$B7)+COUNTIF('6月'!DP4:DP34,$B7)+COUNTIF('6月'!DT4:DT34,$B7)+COUNTIF('6月'!DU4:DU34,$B7)+COUNTIF('6月'!DY4:DY34,$B7)+COUNTIF('6月'!DZ4:DZ34,$B7)+COUNTIF('6月'!ED4:ED34,$B7)+COUNTIF('6月'!EE4:EE34,$B7)+COUNTIF('6月'!EI4:EI34,$B7)+COUNTIF('6月'!EJ4:EJ34,$B7)+COUNTIF('6月'!EN4:EN34,$B7)+COUNTIF('6月'!EO4:EO34,$B7)+COUNTIF('6月'!ES4:ES34,$B7)+COUNTIF('6月'!ET4:ET34,$B7)),0)</f>
        <v>0</v>
      </c>
      <c r="I7" s="76">
        <f>IFERROR(IF($B7="","",COUNTIF('7月'!D4:D34,$B7)+COUNTIF('7月'!E4:E34,$B7)+COUNTIF('7月'!I4:I34,$B7)+COUNTIF('7月'!J4:J34,$B7)+COUNTIF('7月'!N4:N34,$B7)+COUNTIF('7月'!O4:O34,$B7)+COUNTIF('7月'!S4:S34,$B7)+COUNTIF('7月'!T4:T34,$B7)+COUNTIF('7月'!X4:X34,$B7)+COUNTIF('7月'!Y4:Y34,$B7)+COUNTIF('7月'!AC4:AC34,$B7)+COUNTIF('7月'!AD4:AD34,$B7)+COUNTIF('7月'!AH4:AH34,$B7)+COUNTIF('7月'!AI4:AI34,$B7)+COUNTIF('7月'!AM4:AM34,$B7)+COUNTIF('7月'!AN4:AN34,$B7)+COUNTIF('7月'!AR4:AR34,$B7)+COUNTIF('7月'!AS4:AS34,$B7)+COUNTIF('7月'!AW4:AW34,$B7)+COUNTIF('7月'!AX4:AX34,$B7)+COUNTIF('7月'!BB4:BB34,$B7)+COUNTIF('7月'!BC4:BC34,$B7)+COUNTIF('7月'!BG4:BG34,$B7)+COUNTIF('7月'!BH4:BH34,$B7)+COUNTIF('7月'!BL4:BL34,$B7)+COUNTIF('7月'!BM4:BM34,$B7)+COUNTIF('7月'!BQ4:BQ34,$B7)+COUNTIF('7月'!BR4:BR34,$B7)+COUNTIF('7月'!BV4:BV34,$B7)+COUNTIF('7月'!BW4:BW34,$B7)+COUNTIF('7月'!CA4:CA34,$B7)+COUNTIF('7月'!CB4:CB34,$B7)+COUNTIF('7月'!CF4:CF34,$B7)+COUNTIF('7月'!CG4:CG34,$B7)+COUNTIF('7月'!CK4:CK34,$B7)+COUNTIF('7月'!CL4:CL34,$B7)+COUNTIF('7月'!CP4:CP34,$B7)+COUNTIF('7月'!CQ4:CQ34,$B7)+COUNTIF('7月'!CU4:CU34,$B7)+COUNTIF('7月'!CV4:CV34,$B7)+COUNTIF('7月'!CZ4:CZ34,$B7)+COUNTIF('7月'!DA4:DA34,$B7)+COUNTIF('7月'!DE4:DE34,$B7)+COUNTIF('7月'!DF4:DF34,$B7)+COUNTIF('7月'!DJ4:DJ34,$B7)+COUNTIF('7月'!DK4:DK34,$B7)+COUNTIF('7月'!DO4:DO34,$B7)+COUNTIF('7月'!DP4:DP34,$B7)+COUNTIF('7月'!DT4:DT34,$B7)+COUNTIF('7月'!DU4:DU34,$B7)+COUNTIF('7月'!DY4:DY34,$B7)+COUNTIF('7月'!DZ4:DZ34,$B7)+COUNTIF('7月'!ED4:ED34,$B7)+COUNTIF('7月'!EE4:EE34,$B7)+COUNTIF('7月'!EI4:EI34,$B7)+COUNTIF('7月'!EJ4:EJ34,$B7)+COUNTIF('7月'!EN4:EN34,$B7)+COUNTIF('7月'!EO4:EO34,$B7)+COUNTIF('7月'!ES4:ES34,$B7)+COUNTIF('7月'!ET4:ET34,$B7)),0)</f>
        <v>0</v>
      </c>
      <c r="J7" s="76">
        <f>IFERROR(IF($B7="","",COUNTIF('8月'!D4:D34,$B7)+COUNTIF('8月'!E4:E34,$B7)+COUNTIF('8月'!I4:I34,$B7)+COUNTIF('8月'!J4:J34,$B7)+COUNTIF('8月'!N4:N34,$B7)+COUNTIF('8月'!O4:O34,$B7)+COUNTIF('8月'!S4:S34,$B7)+COUNTIF('8月'!T4:T34,$B7)+COUNTIF('8月'!X4:X34,$B7)+COUNTIF('8月'!Y4:Y34,$B7)+COUNTIF('8月'!AC4:AC34,$B7)+COUNTIF('8月'!AD4:AD34,$B7)+COUNTIF('8月'!AH4:AH34,$B7)+COUNTIF('8月'!AI4:AI34,$B7)+COUNTIF('8月'!AM4:AM34,$B7)+COUNTIF('8月'!AN4:AN34,$B7)+COUNTIF('8月'!AR4:AR34,$B7)+COUNTIF('8月'!AS4:AS34,$B7)+COUNTIF('8月'!AW4:AW34,$B7)+COUNTIF('8月'!AX4:AX34,$B7)+COUNTIF('8月'!BB4:BB34,$B7)+COUNTIF('8月'!BC4:BC34,$B7)+COUNTIF('8月'!BG4:BG34,$B7)+COUNTIF('8月'!BH4:BH34,$B7)+COUNTIF('8月'!BL4:BL34,$B7)+COUNTIF('8月'!BM4:BM34,$B7)+COUNTIF('8月'!BQ4:BQ34,$B7)+COUNTIF('8月'!BR4:BR34,$B7)+COUNTIF('8月'!BV4:BV34,$B7)+COUNTIF('8月'!BW4:BW34,$B7)+COUNTIF('8月'!CA4:CA34,$B7)+COUNTIF('8月'!CB4:CB34,$B7)+COUNTIF('8月'!CF4:CF34,$B7)+COUNTIF('8月'!CG4:CG34,$B7)+COUNTIF('8月'!CK4:CK34,$B7)+COUNTIF('8月'!CL4:CL34,$B7)+COUNTIF('8月'!CP4:CP34,$B7)+COUNTIF('8月'!CQ4:CQ34,$B7)+COUNTIF('8月'!CU4:CU34,$B7)+COUNTIF('8月'!CV4:CV34,$B7)+COUNTIF('8月'!CZ4:CZ34,$B7)+COUNTIF('8月'!DA4:DA34,$B7)+COUNTIF('8月'!DE4:DE34,$B7)+COUNTIF('8月'!DF4:DF34,$B7)+COUNTIF('8月'!DJ4:DJ34,$B7)+COUNTIF('8月'!DK4:DK34,$B7)+COUNTIF('8月'!DO4:DO34,$B7)+COUNTIF('8月'!DP4:DP34,$B7)+COUNTIF('8月'!DT4:DT34,$B7)+COUNTIF('8月'!DU4:DU34,$B7)+COUNTIF('8月'!DY4:DY34,$B7)+COUNTIF('8月'!DZ4:DZ34,$B7)+COUNTIF('8月'!ED4:ED34,$B7)+COUNTIF('8月'!EE4:EE34,$B7)+COUNTIF('8月'!EI4:EI34,$B7)+COUNTIF('8月'!EJ4:EJ34,$B7)+COUNTIF('8月'!EN4:EN34,$B7)+COUNTIF('8月'!EO4:EO34,$B7)+COUNTIF('8月'!ES4:ES34,$B7)+COUNTIF('8月'!ET4:ET34,$B7)),0)</f>
        <v>0</v>
      </c>
      <c r="K7" s="76">
        <f>IFERROR(IF($B7="","",COUNTIF('9月'!D4:D34,$B7)+COUNTIF('9月'!E4:E34,$B7)+COUNTIF('9月'!I4:I34,$B7)+COUNTIF('9月'!J4:J34,$B7)+COUNTIF('9月'!N4:N34,$B7)+COUNTIF('9月'!O4:O34,$B7)+COUNTIF('9月'!S4:S34,$B7)+COUNTIF('9月'!T4:T34,$B7)+COUNTIF('9月'!X4:X34,$B7)+COUNTIF('9月'!Y4:Y34,$B7)+COUNTIF('9月'!AC4:AC34,$B7)+COUNTIF('9月'!AD4:AD34,$B7)+COUNTIF('9月'!AH4:AH34,$B7)+COUNTIF('9月'!AI4:AI34,$B7)+COUNTIF('9月'!AM4:AM34,$B7)+COUNTIF('9月'!AN4:AN34,$B7)+COUNTIF('9月'!AR4:AR34,$B7)+COUNTIF('9月'!AS4:AS34,$B7)+COUNTIF('9月'!AW4:AW34,$B7)+COUNTIF('9月'!AX4:AX34,$B7)+COUNTIF('9月'!BB4:BB34,$B7)+COUNTIF('9月'!BC4:BC34,$B7)+COUNTIF('9月'!BG4:BG34,$B7)+COUNTIF('9月'!BH4:BH34,$B7)+COUNTIF('9月'!BL4:BL34,$B7)+COUNTIF('9月'!BM4:BM34,$B7)+COUNTIF('9月'!BQ4:BQ34,$B7)+COUNTIF('9月'!BR4:BR34,$B7)+COUNTIF('9月'!BV4:BV34,$B7)+COUNTIF('9月'!BW4:BW34,$B7)+COUNTIF('9月'!CA4:CA34,$B7)+COUNTIF('9月'!CB4:CB34,$B7)+COUNTIF('9月'!CF4:CF34,$B7)+COUNTIF('9月'!CG4:CG34,$B7)+COUNTIF('9月'!CK4:CK34,$B7)+COUNTIF('9月'!CL4:CL34,$B7)+COUNTIF('9月'!CP4:CP34,$B7)+COUNTIF('9月'!CQ4:CQ34,$B7)+COUNTIF('9月'!CU4:CU34,$B7)+COUNTIF('9月'!CV4:CV34,$B7)+COUNTIF('9月'!CZ4:CZ34,$B7)+COUNTIF('9月'!DA4:DA34,$B7)+COUNTIF('9月'!DE4:DE34,$B7)+COUNTIF('9月'!DF4:DF34,$B7)+COUNTIF('9月'!DJ4:DJ34,$B7)+COUNTIF('9月'!DK4:DK34,$B7)+COUNTIF('9月'!DO4:DO34,$B7)+COUNTIF('9月'!DP4:DP34,$B7)+COUNTIF('9月'!DT4:DT34,$B7)+COUNTIF('9月'!DU4:DU34,$B7)+COUNTIF('9月'!DY4:DY34,$B7)+COUNTIF('9月'!DZ4:DZ34,$B7)+COUNTIF('9月'!ED4:ED34,$B7)+COUNTIF('9月'!EE4:EE34,$B7)+COUNTIF('9月'!EI4:EI34,$B7)+COUNTIF('9月'!EJ4:EJ34,$B7)+COUNTIF('9月'!EN4:EN34,$B7)+COUNTIF('9月'!EO4:EO34,$B7)+COUNTIF('9月'!ES4:ES34,$B7)+COUNTIF('9月'!ET4:ET34,$B7)),0)</f>
        <v>0</v>
      </c>
      <c r="L7" s="76">
        <f>IFERROR(IF($B7="","",COUNTIF('10月'!D4:D34,$B7)+COUNTIF('10月'!E4:E34,$B7)+COUNTIF('10月'!I4:I34,$B7)+COUNTIF('10月'!J4:J34,$B7)+COUNTIF('10月'!N4:N34,$B7)+COUNTIF('10月'!O4:O34,$B7)+COUNTIF('10月'!S4:S34,$B7)+COUNTIF('10月'!T4:T34,$B7)+COUNTIF('10月'!X4:X34,$B7)+COUNTIF('10月'!Y4:Y34,$B7)+COUNTIF('10月'!AC4:AC34,$B7)+COUNTIF('10月'!AD4:AD34,$B7)+COUNTIF('10月'!AH4:AH34,$B7)+COUNTIF('10月'!AI4:AI34,$B7)+COUNTIF('10月'!AM4:AM34,$B7)+COUNTIF('10月'!AN4:AN34,$B7)+COUNTIF('10月'!AR4:AR34,$B7)+COUNTIF('10月'!AS4:AS34,$B7)+COUNTIF('10月'!AW4:AW34,$B7)+COUNTIF('10月'!AX4:AX34,$B7)+COUNTIF('10月'!BB4:BB34,$B7)+COUNTIF('10月'!BC4:BC34,$B7)+COUNTIF('10月'!BG4:BG34,$B7)+COUNTIF('10月'!BH4:BH34,$B7)+COUNTIF('10月'!BL4:BL34,$B7)+COUNTIF('10月'!BM4:BM34,$B7)+COUNTIF('10月'!BQ4:BQ34,$B7)+COUNTIF('10月'!BR4:BR34,$B7)+COUNTIF('10月'!BV4:BV34,$B7)+COUNTIF('10月'!BW4:BW34,$B7)+COUNTIF('10月'!CA4:CA34,$B7)+COUNTIF('10月'!CB4:CB34,$B7)+COUNTIF('10月'!CF4:CF34,$B7)+COUNTIF('10月'!CG4:CG34,$B7)+COUNTIF('10月'!CK4:CK34,$B7)+COUNTIF('10月'!CL4:CL34,$B7)+COUNTIF('10月'!CP4:CP34,$B7)+COUNTIF('10月'!CQ4:CQ34,$B7)+COUNTIF('10月'!CU4:CU34,$B7)+COUNTIF('10月'!CV4:CV34,$B7)+COUNTIF('10月'!CZ4:CZ34,$B7)+COUNTIF('10月'!DA4:DA34,$B7)+COUNTIF('10月'!DE4:DE34,$B7)+COUNTIF('10月'!DF4:DF34,$B7)+COUNTIF('10月'!DJ4:DJ34,$B7)+COUNTIF('10月'!DK4:DK34,$B7)+COUNTIF('10月'!DO4:DO34,$B7)+COUNTIF('10月'!DP4:DP34,$B7)+COUNTIF('10月'!DT4:DT34,$B7)+COUNTIF('10月'!DU4:DU34,$B7)+COUNTIF('10月'!DY4:DY34,$B7)+COUNTIF('10月'!DZ4:DZ34,$B7)+COUNTIF('10月'!ED4:ED34,$B7)+COUNTIF('10月'!EE4:EE34,$B7)+COUNTIF('10月'!EI4:EI34,$B7)+COUNTIF('10月'!EJ4:EJ34,$B7)+COUNTIF('10月'!EN4:EN34,$B7)+COUNTIF('10月'!EO4:EO34,$B7)+COUNTIF('10月'!ES4:ES34,$B7)+COUNTIF('10月'!ET4:ET34,$B7)),0)</f>
        <v>0</v>
      </c>
      <c r="M7" s="76">
        <f>IFERROR(IF($B7="","",COUNTIF('11月'!D4:D34,$B7)+COUNTIF('11月'!E4:E34,$B7)+COUNTIF('11月'!I4:I34,$B7)+COUNTIF('11月'!J4:J34,$B7)+COUNTIF('11月'!N4:N34,$B7)+COUNTIF('11月'!O4:O34,$B7)+COUNTIF('11月'!S4:S34,$B7)+COUNTIF('11月'!T4:T34,$B7)+COUNTIF('11月'!X4:X34,$B7)+COUNTIF('11月'!Y4:Y34,$B7)+COUNTIF('11月'!AC4:AC34,$B7)+COUNTIF('11月'!AD4:AD34,$B7)+COUNTIF('11月'!AH4:AH34,$B7)+COUNTIF('11月'!AI4:AI34,$B7)+COUNTIF('11月'!AM4:AM34,$B7)+COUNTIF('11月'!AN4:AN34,$B7)+COUNTIF('11月'!AR4:AR34,$B7)+COUNTIF('11月'!AS4:AS34,$B7)+COUNTIF('11月'!AW4:AW34,$B7)+COUNTIF('11月'!AX4:AX34,$B7)+COUNTIF('11月'!BB4:BB34,$B7)+COUNTIF('11月'!BC4:BC34,$B7)+COUNTIF('11月'!BG4:BG34,$B7)+COUNTIF('11月'!BH4:BH34,$B7)+COUNTIF('11月'!BL4:BL34,$B7)+COUNTIF('11月'!BM4:BM34,$B7)+COUNTIF('11月'!BQ4:BQ34,$B7)+COUNTIF('11月'!BR4:BR34,$B7)+COUNTIF('11月'!BV4:BV34,$B7)+COUNTIF('11月'!BW4:BW34,$B7)+COUNTIF('11月'!CA4:CA34,$B7)+COUNTIF('11月'!CB4:CB34,$B7)+COUNTIF('11月'!CF4:CF34,$B7)+COUNTIF('11月'!CG4:CG34,$B7)+COUNTIF('11月'!CK4:CK34,$B7)+COUNTIF('11月'!CL4:CL34,$B7)+COUNTIF('11月'!CP4:CP34,$B7)+COUNTIF('11月'!CQ4:CQ34,$B7)+COUNTIF('11月'!CU4:CU34,$B7)+COUNTIF('11月'!CV4:CV34,$B7)+COUNTIF('11月'!CZ4:CZ34,$B7)+COUNTIF('11月'!DA4:DA34,$B7)+COUNTIF('11月'!DE4:DE34,$B7)+COUNTIF('11月'!DF4:DF34,$B7)+COUNTIF('11月'!DJ4:DJ34,$B7)+COUNTIF('11月'!DK4:DK34,$B7)+COUNTIF('11月'!DO4:DO34,$B7)+COUNTIF('11月'!DP4:DP34,$B7)+COUNTIF('11月'!DT4:DT34,$B7)+COUNTIF('11月'!DU4:DU34,$B7)+COUNTIF('11月'!DY4:DY34,$B7)+COUNTIF('11月'!DZ4:DZ34,$B7)+COUNTIF('11月'!ED4:ED34,$B7)+COUNTIF('11月'!EE4:EE34,$B7)+COUNTIF('11月'!EI4:EI34,$B7)+COUNTIF('11月'!EJ4:EJ34,$B7)+COUNTIF('11月'!EN4:EN34,$B7)+COUNTIF('11月'!EO4:EO34,$B7)+COUNTIF('11月'!ES4:ES34,$B7)+COUNTIF('11月'!ET4:ET34,$B7)),0)</f>
        <v>0</v>
      </c>
      <c r="N7" s="76">
        <f>IFERROR(IF($B7="","",COUNTIF('12月'!D4:D34,$B7)+COUNTIF('12月'!E4:E34,$B7)+COUNTIF('12月'!I4:I34,$B7)+COUNTIF('12月'!J4:J34,$B7)+COUNTIF('12月'!N4:N34,$B7)+COUNTIF('12月'!O4:O34,$B7)+COUNTIF('12月'!S4:S34,$B7)+COUNTIF('12月'!T4:T34,$B7)+COUNTIF('12月'!X4:X34,$B7)+COUNTIF('12月'!Y4:Y34,$B7)+COUNTIF('12月'!AC4:AC34,$B7)+COUNTIF('12月'!AD4:AD34,$B7)+COUNTIF('12月'!AH4:AH34,$B7)+COUNTIF('12月'!AI4:AI34,$B7)+COUNTIF('12月'!AM4:AM34,$B7)+COUNTIF('12月'!AN4:AN34,$B7)+COUNTIF('12月'!AR4:AR34,$B7)+COUNTIF('12月'!AS4:AS34,$B7)+COUNTIF('12月'!AW4:AW34,$B7)+COUNTIF('12月'!AX4:AX34,$B7)+COUNTIF('12月'!BB4:BB34,$B7)+COUNTIF('12月'!BC4:BC34,$B7)+COUNTIF('12月'!BG4:BG34,$B7)+COUNTIF('12月'!BH4:BH34,$B7)+COUNTIF('12月'!BL4:BL34,$B7)+COUNTIF('12月'!BM4:BM34,$B7)+COUNTIF('12月'!BQ4:BQ34,$B7)+COUNTIF('12月'!BR4:BR34,$B7)+COUNTIF('12月'!BV4:BV34,$B7)+COUNTIF('12月'!BW4:BW34,$B7)+COUNTIF('12月'!CA4:CA34,$B7)+COUNTIF('12月'!CB4:CB34,$B7)+COUNTIF('12月'!CF4:CF34,$B7)+COUNTIF('12月'!CG4:CG34,$B7)+COUNTIF('12月'!CK4:CK34,$B7)+COUNTIF('12月'!CL4:CL34,$B7)+COUNTIF('12月'!CP4:CP34,$B7)+COUNTIF('12月'!CQ4:CQ34,$B7)+COUNTIF('12月'!CU4:CU34,$B7)+COUNTIF('12月'!CV4:CV34,$B7)+COUNTIF('12月'!CZ4:CZ34,$B7)+COUNTIF('12月'!DA4:DA34,$B7)+COUNTIF('12月'!DE4:DE34,$B7)+COUNTIF('12月'!DF4:DF34,$B7)+COUNTIF('12月'!DJ4:DJ34,$B7)+COUNTIF('12月'!DK4:DK34,$B7)+COUNTIF('12月'!DO4:DO34,$B7)+COUNTIF('12月'!DP4:DP34,$B7)+COUNTIF('12月'!DT4:DT34,$B7)+COUNTIF('12月'!DU4:DU34,$B7)+COUNTIF('12月'!DY4:DY34,$B7)+COUNTIF('12月'!DZ4:DZ34,$B7)+COUNTIF('12月'!ED4:ED34,$B7)+COUNTIF('12月'!EE4:EE34,$B7)+COUNTIF('12月'!EI4:EI34,$B7)+COUNTIF('12月'!EJ4:EJ34,$B7)+COUNTIF('12月'!EN4:EN34,$B7)+COUNTIF('12月'!EO4:EO34,$B7)+COUNTIF('12月'!ES4:ES34,$B7)+COUNTIF('12月'!ET4:ET34,$B7)),0)</f>
        <v>0</v>
      </c>
      <c r="O7" s="78">
        <f t="shared" si="0"/>
        <v>0</v>
      </c>
    </row>
    <row r="8" spans="1:15" ht="19.5" customHeight="1">
      <c r="A8" s="76">
        <v>6</v>
      </c>
      <c r="B8" s="77" t="str">
        <f>IFERROR(現場マスタ!$C$9,"")</f>
        <v>F現場（ホテル新築）</v>
      </c>
      <c r="C8" s="76">
        <f>IFERROR(IF($B8="","",COUNTIF('1月'!D4:D34,$B8)+COUNTIF('1月'!E4:E34,$B8)+COUNTIF('1月'!I4:I34,$B8)+COUNTIF('1月'!J4:J34,$B8)+COUNTIF('1月'!N4:N34,$B8)+COUNTIF('1月'!O4:O34,$B8)+COUNTIF('1月'!S4:S34,$B8)+COUNTIF('1月'!T4:T34,$B8)+COUNTIF('1月'!X4:X34,$B8)+COUNTIF('1月'!Y4:Y34,$B8)+COUNTIF('1月'!AC4:AC34,$B8)+COUNTIF('1月'!AD4:AD34,$B8)+COUNTIF('1月'!AH4:AH34,$B8)+COUNTIF('1月'!AI4:AI34,$B8)+COUNTIF('1月'!AM4:AM34,$B8)+COUNTIF('1月'!AN4:AN34,$B8)+COUNTIF('1月'!AR4:AR34,$B8)+COUNTIF('1月'!AS4:AS34,$B8)+COUNTIF('1月'!AW4:AW34,$B8)+COUNTIF('1月'!AX4:AX34,$B8)+COUNTIF('1月'!BB4:BB34,$B8)+COUNTIF('1月'!BC4:BC34,$B8)+COUNTIF('1月'!BG4:BG34,$B8)+COUNTIF('1月'!BH4:BH34,$B8)+COUNTIF('1月'!BL4:BL34,$B8)+COUNTIF('1月'!BM4:BM34,$B8)+COUNTIF('1月'!BQ4:BQ34,$B8)+COUNTIF('1月'!BR4:BR34,$B8)+COUNTIF('1月'!BV4:BV34,$B8)+COUNTIF('1月'!BW4:BW34,$B8)+COUNTIF('1月'!CA4:CA34,$B8)+COUNTIF('1月'!CB4:CB34,$B8)+COUNTIF('1月'!CF4:CF34,$B8)+COUNTIF('1月'!CG4:CG34,$B8)+COUNTIF('1月'!CK4:CK34,$B8)+COUNTIF('1月'!CL4:CL34,$B8)+COUNTIF('1月'!CP4:CP34,$B8)+COUNTIF('1月'!CQ4:CQ34,$B8)+COUNTIF('1月'!CU4:CU34,$B8)+COUNTIF('1月'!CV4:CV34,$B8)+COUNTIF('1月'!CZ4:CZ34,$B8)+COUNTIF('1月'!DA4:DA34,$B8)+COUNTIF('1月'!DE4:DE34,$B8)+COUNTIF('1月'!DF4:DF34,$B8)+COUNTIF('1月'!DJ4:DJ34,$B8)+COUNTIF('1月'!DK4:DK34,$B8)+COUNTIF('1月'!DO4:DO34,$B8)+COUNTIF('1月'!DP4:DP34,$B8)+COUNTIF('1月'!DT4:DT34,$B8)+COUNTIF('1月'!DU4:DU34,$B8)+COUNTIF('1月'!DY4:DY34,$B8)+COUNTIF('1月'!DZ4:DZ34,$B8)+COUNTIF('1月'!ED4:ED34,$B8)+COUNTIF('1月'!EE4:EE34,$B8)+COUNTIF('1月'!EI4:EI34,$B8)+COUNTIF('1月'!EJ4:EJ34,$B8)+COUNTIF('1月'!EN4:EN34,$B8)+COUNTIF('1月'!EO4:EO34,$B8)+COUNTIF('1月'!ES4:ES34,$B8)+COUNTIF('1月'!ET4:ET34,$B8)),0)</f>
        <v>0</v>
      </c>
      <c r="D8" s="76">
        <f>IFERROR(IF($B8="","",COUNTIF('2月'!D4:D34,$B8)+COUNTIF('2月'!E4:E34,$B8)+COUNTIF('2月'!I4:I34,$B8)+COUNTIF('2月'!J4:J34,$B8)+COUNTIF('2月'!N4:N34,$B8)+COUNTIF('2月'!O4:O34,$B8)+COUNTIF('2月'!S4:S34,$B8)+COUNTIF('2月'!T4:T34,$B8)+COUNTIF('2月'!X4:X34,$B8)+COUNTIF('2月'!Y4:Y34,$B8)+COUNTIF('2月'!AC4:AC34,$B8)+COUNTIF('2月'!AD4:AD34,$B8)+COUNTIF('2月'!AH4:AH34,$B8)+COUNTIF('2月'!AI4:AI34,$B8)+COUNTIF('2月'!AM4:AM34,$B8)+COUNTIF('2月'!AN4:AN34,$B8)+COUNTIF('2月'!AR4:AR34,$B8)+COUNTIF('2月'!AS4:AS34,$B8)+COUNTIF('2月'!AW4:AW34,$B8)+COUNTIF('2月'!AX4:AX34,$B8)+COUNTIF('2月'!BB4:BB34,$B8)+COUNTIF('2月'!BC4:BC34,$B8)+COUNTIF('2月'!BG4:BG34,$B8)+COUNTIF('2月'!BH4:BH34,$B8)+COUNTIF('2月'!BL4:BL34,$B8)+COUNTIF('2月'!BM4:BM34,$B8)+COUNTIF('2月'!BQ4:BQ34,$B8)+COUNTIF('2月'!BR4:BR34,$B8)+COUNTIF('2月'!BV4:BV34,$B8)+COUNTIF('2月'!BW4:BW34,$B8)+COUNTIF('2月'!CA4:CA34,$B8)+COUNTIF('2月'!CB4:CB34,$B8)+COUNTIF('2月'!CF4:CF34,$B8)+COUNTIF('2月'!CG4:CG34,$B8)+COUNTIF('2月'!CK4:CK34,$B8)+COUNTIF('2月'!CL4:CL34,$B8)+COUNTIF('2月'!CP4:CP34,$B8)+COUNTIF('2月'!CQ4:CQ34,$B8)+COUNTIF('2月'!CU4:CU34,$B8)+COUNTIF('2月'!CV4:CV34,$B8)+COUNTIF('2月'!CZ4:CZ34,$B8)+COUNTIF('2月'!DA4:DA34,$B8)+COUNTIF('2月'!DE4:DE34,$B8)+COUNTIF('2月'!DF4:DF34,$B8)+COUNTIF('2月'!DJ4:DJ34,$B8)+COUNTIF('2月'!DK4:DK34,$B8)+COUNTIF('2月'!DO4:DO34,$B8)+COUNTIF('2月'!DP4:DP34,$B8)+COUNTIF('2月'!DT4:DT34,$B8)+COUNTIF('2月'!DU4:DU34,$B8)+COUNTIF('2月'!DY4:DY34,$B8)+COUNTIF('2月'!DZ4:DZ34,$B8)+COUNTIF('2月'!ED4:ED34,$B8)+COUNTIF('2月'!EE4:EE34,$B8)+COUNTIF('2月'!EI4:EI34,$B8)+COUNTIF('2月'!EJ4:EJ34,$B8)+COUNTIF('2月'!EN4:EN34,$B8)+COUNTIF('2月'!EO4:EO34,$B8)+COUNTIF('2月'!ES4:ES34,$B8)+COUNTIF('2月'!ET4:ET34,$B8)),0)</f>
        <v>0</v>
      </c>
      <c r="E8" s="76">
        <f>IFERROR(IF($B8="","",COUNTIF('3月'!D4:D34,$B8)+COUNTIF('3月'!E4:E34,$B8)+COUNTIF('3月'!I4:I34,$B8)+COUNTIF('3月'!J4:J34,$B8)+COUNTIF('3月'!N4:N34,$B8)+COUNTIF('3月'!O4:O34,$B8)+COUNTIF('3月'!S4:S34,$B8)+COUNTIF('3月'!T4:T34,$B8)+COUNTIF('3月'!X4:X34,$B8)+COUNTIF('3月'!Y4:Y34,$B8)+COUNTIF('3月'!AC4:AC34,$B8)+COUNTIF('3月'!AD4:AD34,$B8)+COUNTIF('3月'!AH4:AH34,$B8)+COUNTIF('3月'!AI4:AI34,$B8)+COUNTIF('3月'!AM4:AM34,$B8)+COUNTIF('3月'!AN4:AN34,$B8)+COUNTIF('3月'!AR4:AR34,$B8)+COUNTIF('3月'!AS4:AS34,$B8)+COUNTIF('3月'!AW4:AW34,$B8)+COUNTIF('3月'!AX4:AX34,$B8)+COUNTIF('3月'!BB4:BB34,$B8)+COUNTIF('3月'!BC4:BC34,$B8)+COUNTIF('3月'!BG4:BG34,$B8)+COUNTIF('3月'!BH4:BH34,$B8)+COUNTIF('3月'!BL4:BL34,$B8)+COUNTIF('3月'!BM4:BM34,$B8)+COUNTIF('3月'!BQ4:BQ34,$B8)+COUNTIF('3月'!BR4:BR34,$B8)+COUNTIF('3月'!BV4:BV34,$B8)+COUNTIF('3月'!BW4:BW34,$B8)+COUNTIF('3月'!CA4:CA34,$B8)+COUNTIF('3月'!CB4:CB34,$B8)+COUNTIF('3月'!CF4:CF34,$B8)+COUNTIF('3月'!CG4:CG34,$B8)+COUNTIF('3月'!CK4:CK34,$B8)+COUNTIF('3月'!CL4:CL34,$B8)+COUNTIF('3月'!CP4:CP34,$B8)+COUNTIF('3月'!CQ4:CQ34,$B8)+COUNTIF('3月'!CU4:CU34,$B8)+COUNTIF('3月'!CV4:CV34,$B8)+COUNTIF('3月'!CZ4:CZ34,$B8)+COUNTIF('3月'!DA4:DA34,$B8)+COUNTIF('3月'!DE4:DE34,$B8)+COUNTIF('3月'!DF4:DF34,$B8)+COUNTIF('3月'!DJ4:DJ34,$B8)+COUNTIF('3月'!DK4:DK34,$B8)+COUNTIF('3月'!DO4:DO34,$B8)+COUNTIF('3月'!DP4:DP34,$B8)+COUNTIF('3月'!DT4:DT34,$B8)+COUNTIF('3月'!DU4:DU34,$B8)+COUNTIF('3月'!DY4:DY34,$B8)+COUNTIF('3月'!DZ4:DZ34,$B8)+COUNTIF('3月'!ED4:ED34,$B8)+COUNTIF('3月'!EE4:EE34,$B8)+COUNTIF('3月'!EI4:EI34,$B8)+COUNTIF('3月'!EJ4:EJ34,$B8)+COUNTIF('3月'!EN4:EN34,$B8)+COUNTIF('3月'!EO4:EO34,$B8)+COUNTIF('3月'!ES4:ES34,$B8)+COUNTIF('3月'!ET4:ET34,$B8)),0)</f>
        <v>0</v>
      </c>
      <c r="F8" s="76">
        <f>IFERROR(IF($B8="","",COUNTIF('4月'!D4:D34,$B8)+COUNTIF('4月'!E4:E34,$B8)+COUNTIF('4月'!I4:I34,$B8)+COUNTIF('4月'!J4:J34,$B8)+COUNTIF('4月'!N4:N34,$B8)+COUNTIF('4月'!O4:O34,$B8)+COUNTIF('4月'!S4:S34,$B8)+COUNTIF('4月'!T4:T34,$B8)+COUNTIF('4月'!X4:X34,$B8)+COUNTIF('4月'!Y4:Y34,$B8)+COUNTIF('4月'!AC4:AC34,$B8)+COUNTIF('4月'!AD4:AD34,$B8)+COUNTIF('4月'!AH4:AH34,$B8)+COUNTIF('4月'!AI4:AI34,$B8)+COUNTIF('4月'!AM4:AM34,$B8)+COUNTIF('4月'!AN4:AN34,$B8)+COUNTIF('4月'!AR4:AR34,$B8)+COUNTIF('4月'!AS4:AS34,$B8)+COUNTIF('4月'!AW4:AW34,$B8)+COUNTIF('4月'!AX4:AX34,$B8)+COUNTIF('4月'!BB4:BB34,$B8)+COUNTIF('4月'!BC4:BC34,$B8)+COUNTIF('4月'!BG4:BG34,$B8)+COUNTIF('4月'!BH4:BH34,$B8)+COUNTIF('4月'!BL4:BL34,$B8)+COUNTIF('4月'!BM4:BM34,$B8)+COUNTIF('4月'!BQ4:BQ34,$B8)+COUNTIF('4月'!BR4:BR34,$B8)+COUNTIF('4月'!BV4:BV34,$B8)+COUNTIF('4月'!BW4:BW34,$B8)+COUNTIF('4月'!CA4:CA34,$B8)+COUNTIF('4月'!CB4:CB34,$B8)+COUNTIF('4月'!CF4:CF34,$B8)+COUNTIF('4月'!CG4:CG34,$B8)+COUNTIF('4月'!CK4:CK34,$B8)+COUNTIF('4月'!CL4:CL34,$B8)+COUNTIF('4月'!CP4:CP34,$B8)+COUNTIF('4月'!CQ4:CQ34,$B8)+COUNTIF('4月'!CU4:CU34,$B8)+COUNTIF('4月'!CV4:CV34,$B8)+COUNTIF('4月'!CZ4:CZ34,$B8)+COUNTIF('4月'!DA4:DA34,$B8)+COUNTIF('4月'!DE4:DE34,$B8)+COUNTIF('4月'!DF4:DF34,$B8)+COUNTIF('4月'!DJ4:DJ34,$B8)+COUNTIF('4月'!DK4:DK34,$B8)+COUNTIF('4月'!DO4:DO34,$B8)+COUNTIF('4月'!DP4:DP34,$B8)+COUNTIF('4月'!DT4:DT34,$B8)+COUNTIF('4月'!DU4:DU34,$B8)+COUNTIF('4月'!DY4:DY34,$B8)+COUNTIF('4月'!DZ4:DZ34,$B8)+COUNTIF('4月'!ED4:ED34,$B8)+COUNTIF('4月'!EE4:EE34,$B8)+COUNTIF('4月'!EI4:EI34,$B8)+COUNTIF('4月'!EJ4:EJ34,$B8)+COUNTIF('4月'!EN4:EN34,$B8)+COUNTIF('4月'!EO4:EO34,$B8)+COUNTIF('4月'!ES4:ES34,$B8)+COUNTIF('4月'!ET4:ET34,$B8)),0)</f>
        <v>0</v>
      </c>
      <c r="G8" s="76">
        <f>IFERROR(IF($B8="","",COUNTIF('5月'!D4:D34,$B8)+COUNTIF('5月'!E4:E34,$B8)+COUNTIF('5月'!I4:I34,$B8)+COUNTIF('5月'!J4:J34,$B8)+COUNTIF('5月'!N4:N34,$B8)+COUNTIF('5月'!O4:O34,$B8)+COUNTIF('5月'!S4:S34,$B8)+COUNTIF('5月'!T4:T34,$B8)+COUNTIF('5月'!X4:X34,$B8)+COUNTIF('5月'!Y4:Y34,$B8)+COUNTIF('5月'!AC4:AC34,$B8)+COUNTIF('5月'!AD4:AD34,$B8)+COUNTIF('5月'!AH4:AH34,$B8)+COUNTIF('5月'!AI4:AI34,$B8)+COUNTIF('5月'!AM4:AM34,$B8)+COUNTIF('5月'!AN4:AN34,$B8)+COUNTIF('5月'!AR4:AR34,$B8)+COUNTIF('5月'!AS4:AS34,$B8)+COUNTIF('5月'!AW4:AW34,$B8)+COUNTIF('5月'!AX4:AX34,$B8)+COUNTIF('5月'!BB4:BB34,$B8)+COUNTIF('5月'!BC4:BC34,$B8)+COUNTIF('5月'!BG4:BG34,$B8)+COUNTIF('5月'!BH4:BH34,$B8)+COUNTIF('5月'!BL4:BL34,$B8)+COUNTIF('5月'!BM4:BM34,$B8)+COUNTIF('5月'!BQ4:BQ34,$B8)+COUNTIF('5月'!BR4:BR34,$B8)+COUNTIF('5月'!BV4:BV34,$B8)+COUNTIF('5月'!BW4:BW34,$B8)+COUNTIF('5月'!CA4:CA34,$B8)+COUNTIF('5月'!CB4:CB34,$B8)+COUNTIF('5月'!CF4:CF34,$B8)+COUNTIF('5月'!CG4:CG34,$B8)+COUNTIF('5月'!CK4:CK34,$B8)+COUNTIF('5月'!CL4:CL34,$B8)+COUNTIF('5月'!CP4:CP34,$B8)+COUNTIF('5月'!CQ4:CQ34,$B8)+COUNTIF('5月'!CU4:CU34,$B8)+COUNTIF('5月'!CV4:CV34,$B8)+COUNTIF('5月'!CZ4:CZ34,$B8)+COUNTIF('5月'!DA4:DA34,$B8)+COUNTIF('5月'!DE4:DE34,$B8)+COUNTIF('5月'!DF4:DF34,$B8)+COUNTIF('5月'!DJ4:DJ34,$B8)+COUNTIF('5月'!DK4:DK34,$B8)+COUNTIF('5月'!DO4:DO34,$B8)+COUNTIF('5月'!DP4:DP34,$B8)+COUNTIF('5月'!DT4:DT34,$B8)+COUNTIF('5月'!DU4:DU34,$B8)+COUNTIF('5月'!DY4:DY34,$B8)+COUNTIF('5月'!DZ4:DZ34,$B8)+COUNTIF('5月'!ED4:ED34,$B8)+COUNTIF('5月'!EE4:EE34,$B8)+COUNTIF('5月'!EI4:EI34,$B8)+COUNTIF('5月'!EJ4:EJ34,$B8)+COUNTIF('5月'!EN4:EN34,$B8)+COUNTIF('5月'!EO4:EO34,$B8)+COUNTIF('5月'!ES4:ES34,$B8)+COUNTIF('5月'!ET4:ET34,$B8)),0)</f>
        <v>0</v>
      </c>
      <c r="H8" s="76">
        <f>IFERROR(IF($B8="","",COUNTIF('6月'!D4:D34,$B8)+COUNTIF('6月'!E4:E34,$B8)+COUNTIF('6月'!I4:I34,$B8)+COUNTIF('6月'!J4:J34,$B8)+COUNTIF('6月'!N4:N34,$B8)+COUNTIF('6月'!O4:O34,$B8)+COUNTIF('6月'!S4:S34,$B8)+COUNTIF('6月'!T4:T34,$B8)+COUNTIF('6月'!X4:X34,$B8)+COUNTIF('6月'!Y4:Y34,$B8)+COUNTIF('6月'!AC4:AC34,$B8)+COUNTIF('6月'!AD4:AD34,$B8)+COUNTIF('6月'!AH4:AH34,$B8)+COUNTIF('6月'!AI4:AI34,$B8)+COUNTIF('6月'!AM4:AM34,$B8)+COUNTIF('6月'!AN4:AN34,$B8)+COUNTIF('6月'!AR4:AR34,$B8)+COUNTIF('6月'!AS4:AS34,$B8)+COUNTIF('6月'!AW4:AW34,$B8)+COUNTIF('6月'!AX4:AX34,$B8)+COUNTIF('6月'!BB4:BB34,$B8)+COUNTIF('6月'!BC4:BC34,$B8)+COUNTIF('6月'!BG4:BG34,$B8)+COUNTIF('6月'!BH4:BH34,$B8)+COUNTIF('6月'!BL4:BL34,$B8)+COUNTIF('6月'!BM4:BM34,$B8)+COUNTIF('6月'!BQ4:BQ34,$B8)+COUNTIF('6月'!BR4:BR34,$B8)+COUNTIF('6月'!BV4:BV34,$B8)+COUNTIF('6月'!BW4:BW34,$B8)+COUNTIF('6月'!CA4:CA34,$B8)+COUNTIF('6月'!CB4:CB34,$B8)+COUNTIF('6月'!CF4:CF34,$B8)+COUNTIF('6月'!CG4:CG34,$B8)+COUNTIF('6月'!CK4:CK34,$B8)+COUNTIF('6月'!CL4:CL34,$B8)+COUNTIF('6月'!CP4:CP34,$B8)+COUNTIF('6月'!CQ4:CQ34,$B8)+COUNTIF('6月'!CU4:CU34,$B8)+COUNTIF('6月'!CV4:CV34,$B8)+COUNTIF('6月'!CZ4:CZ34,$B8)+COUNTIF('6月'!DA4:DA34,$B8)+COUNTIF('6月'!DE4:DE34,$B8)+COUNTIF('6月'!DF4:DF34,$B8)+COUNTIF('6月'!DJ4:DJ34,$B8)+COUNTIF('6月'!DK4:DK34,$B8)+COUNTIF('6月'!DO4:DO34,$B8)+COUNTIF('6月'!DP4:DP34,$B8)+COUNTIF('6月'!DT4:DT34,$B8)+COUNTIF('6月'!DU4:DU34,$B8)+COUNTIF('6月'!DY4:DY34,$B8)+COUNTIF('6月'!DZ4:DZ34,$B8)+COUNTIF('6月'!ED4:ED34,$B8)+COUNTIF('6月'!EE4:EE34,$B8)+COUNTIF('6月'!EI4:EI34,$B8)+COUNTIF('6月'!EJ4:EJ34,$B8)+COUNTIF('6月'!EN4:EN34,$B8)+COUNTIF('6月'!EO4:EO34,$B8)+COUNTIF('6月'!ES4:ES34,$B8)+COUNTIF('6月'!ET4:ET34,$B8)),0)</f>
        <v>0</v>
      </c>
      <c r="I8" s="76">
        <f>IFERROR(IF($B8="","",COUNTIF('7月'!D4:D34,$B8)+COUNTIF('7月'!E4:E34,$B8)+COUNTIF('7月'!I4:I34,$B8)+COUNTIF('7月'!J4:J34,$B8)+COUNTIF('7月'!N4:N34,$B8)+COUNTIF('7月'!O4:O34,$B8)+COUNTIF('7月'!S4:S34,$B8)+COUNTIF('7月'!T4:T34,$B8)+COUNTIF('7月'!X4:X34,$B8)+COUNTIF('7月'!Y4:Y34,$B8)+COUNTIF('7月'!AC4:AC34,$B8)+COUNTIF('7月'!AD4:AD34,$B8)+COUNTIF('7月'!AH4:AH34,$B8)+COUNTIF('7月'!AI4:AI34,$B8)+COUNTIF('7月'!AM4:AM34,$B8)+COUNTIF('7月'!AN4:AN34,$B8)+COUNTIF('7月'!AR4:AR34,$B8)+COUNTIF('7月'!AS4:AS34,$B8)+COUNTIF('7月'!AW4:AW34,$B8)+COUNTIF('7月'!AX4:AX34,$B8)+COUNTIF('7月'!BB4:BB34,$B8)+COUNTIF('7月'!BC4:BC34,$B8)+COUNTIF('7月'!BG4:BG34,$B8)+COUNTIF('7月'!BH4:BH34,$B8)+COUNTIF('7月'!BL4:BL34,$B8)+COUNTIF('7月'!BM4:BM34,$B8)+COUNTIF('7月'!BQ4:BQ34,$B8)+COUNTIF('7月'!BR4:BR34,$B8)+COUNTIF('7月'!BV4:BV34,$B8)+COUNTIF('7月'!BW4:BW34,$B8)+COUNTIF('7月'!CA4:CA34,$B8)+COUNTIF('7月'!CB4:CB34,$B8)+COUNTIF('7月'!CF4:CF34,$B8)+COUNTIF('7月'!CG4:CG34,$B8)+COUNTIF('7月'!CK4:CK34,$B8)+COUNTIF('7月'!CL4:CL34,$B8)+COUNTIF('7月'!CP4:CP34,$B8)+COUNTIF('7月'!CQ4:CQ34,$B8)+COUNTIF('7月'!CU4:CU34,$B8)+COUNTIF('7月'!CV4:CV34,$B8)+COUNTIF('7月'!CZ4:CZ34,$B8)+COUNTIF('7月'!DA4:DA34,$B8)+COUNTIF('7月'!DE4:DE34,$B8)+COUNTIF('7月'!DF4:DF34,$B8)+COUNTIF('7月'!DJ4:DJ34,$B8)+COUNTIF('7月'!DK4:DK34,$B8)+COUNTIF('7月'!DO4:DO34,$B8)+COUNTIF('7月'!DP4:DP34,$B8)+COUNTIF('7月'!DT4:DT34,$B8)+COUNTIF('7月'!DU4:DU34,$B8)+COUNTIF('7月'!DY4:DY34,$B8)+COUNTIF('7月'!DZ4:DZ34,$B8)+COUNTIF('7月'!ED4:ED34,$B8)+COUNTIF('7月'!EE4:EE34,$B8)+COUNTIF('7月'!EI4:EI34,$B8)+COUNTIF('7月'!EJ4:EJ34,$B8)+COUNTIF('7月'!EN4:EN34,$B8)+COUNTIF('7月'!EO4:EO34,$B8)+COUNTIF('7月'!ES4:ES34,$B8)+COUNTIF('7月'!ET4:ET34,$B8)),0)</f>
        <v>0</v>
      </c>
      <c r="J8" s="76">
        <f>IFERROR(IF($B8="","",COUNTIF('8月'!D4:D34,$B8)+COUNTIF('8月'!E4:E34,$B8)+COUNTIF('8月'!I4:I34,$B8)+COUNTIF('8月'!J4:J34,$B8)+COUNTIF('8月'!N4:N34,$B8)+COUNTIF('8月'!O4:O34,$B8)+COUNTIF('8月'!S4:S34,$B8)+COUNTIF('8月'!T4:T34,$B8)+COUNTIF('8月'!X4:X34,$B8)+COUNTIF('8月'!Y4:Y34,$B8)+COUNTIF('8月'!AC4:AC34,$B8)+COUNTIF('8月'!AD4:AD34,$B8)+COUNTIF('8月'!AH4:AH34,$B8)+COUNTIF('8月'!AI4:AI34,$B8)+COUNTIF('8月'!AM4:AM34,$B8)+COUNTIF('8月'!AN4:AN34,$B8)+COUNTIF('8月'!AR4:AR34,$B8)+COUNTIF('8月'!AS4:AS34,$B8)+COUNTIF('8月'!AW4:AW34,$B8)+COUNTIF('8月'!AX4:AX34,$B8)+COUNTIF('8月'!BB4:BB34,$B8)+COUNTIF('8月'!BC4:BC34,$B8)+COUNTIF('8月'!BG4:BG34,$B8)+COUNTIF('8月'!BH4:BH34,$B8)+COUNTIF('8月'!BL4:BL34,$B8)+COUNTIF('8月'!BM4:BM34,$B8)+COUNTIF('8月'!BQ4:BQ34,$B8)+COUNTIF('8月'!BR4:BR34,$B8)+COUNTIF('8月'!BV4:BV34,$B8)+COUNTIF('8月'!BW4:BW34,$B8)+COUNTIF('8月'!CA4:CA34,$B8)+COUNTIF('8月'!CB4:CB34,$B8)+COUNTIF('8月'!CF4:CF34,$B8)+COUNTIF('8月'!CG4:CG34,$B8)+COUNTIF('8月'!CK4:CK34,$B8)+COUNTIF('8月'!CL4:CL34,$B8)+COUNTIF('8月'!CP4:CP34,$B8)+COUNTIF('8月'!CQ4:CQ34,$B8)+COUNTIF('8月'!CU4:CU34,$B8)+COUNTIF('8月'!CV4:CV34,$B8)+COUNTIF('8月'!CZ4:CZ34,$B8)+COUNTIF('8月'!DA4:DA34,$B8)+COUNTIF('8月'!DE4:DE34,$B8)+COUNTIF('8月'!DF4:DF34,$B8)+COUNTIF('8月'!DJ4:DJ34,$B8)+COUNTIF('8月'!DK4:DK34,$B8)+COUNTIF('8月'!DO4:DO34,$B8)+COUNTIF('8月'!DP4:DP34,$B8)+COUNTIF('8月'!DT4:DT34,$B8)+COUNTIF('8月'!DU4:DU34,$B8)+COUNTIF('8月'!DY4:DY34,$B8)+COUNTIF('8月'!DZ4:DZ34,$B8)+COUNTIF('8月'!ED4:ED34,$B8)+COUNTIF('8月'!EE4:EE34,$B8)+COUNTIF('8月'!EI4:EI34,$B8)+COUNTIF('8月'!EJ4:EJ34,$B8)+COUNTIF('8月'!EN4:EN34,$B8)+COUNTIF('8月'!EO4:EO34,$B8)+COUNTIF('8月'!ES4:ES34,$B8)+COUNTIF('8月'!ET4:ET34,$B8)),0)</f>
        <v>0</v>
      </c>
      <c r="K8" s="76">
        <f>IFERROR(IF($B8="","",COUNTIF('9月'!D4:D34,$B8)+COUNTIF('9月'!E4:E34,$B8)+COUNTIF('9月'!I4:I34,$B8)+COUNTIF('9月'!J4:J34,$B8)+COUNTIF('9月'!N4:N34,$B8)+COUNTIF('9月'!O4:O34,$B8)+COUNTIF('9月'!S4:S34,$B8)+COUNTIF('9月'!T4:T34,$B8)+COUNTIF('9月'!X4:X34,$B8)+COUNTIF('9月'!Y4:Y34,$B8)+COUNTIF('9月'!AC4:AC34,$B8)+COUNTIF('9月'!AD4:AD34,$B8)+COUNTIF('9月'!AH4:AH34,$B8)+COUNTIF('9月'!AI4:AI34,$B8)+COUNTIF('9月'!AM4:AM34,$B8)+COUNTIF('9月'!AN4:AN34,$B8)+COUNTIF('9月'!AR4:AR34,$B8)+COUNTIF('9月'!AS4:AS34,$B8)+COUNTIF('9月'!AW4:AW34,$B8)+COUNTIF('9月'!AX4:AX34,$B8)+COUNTIF('9月'!BB4:BB34,$B8)+COUNTIF('9月'!BC4:BC34,$B8)+COUNTIF('9月'!BG4:BG34,$B8)+COUNTIF('9月'!BH4:BH34,$B8)+COUNTIF('9月'!BL4:BL34,$B8)+COUNTIF('9月'!BM4:BM34,$B8)+COUNTIF('9月'!BQ4:BQ34,$B8)+COUNTIF('9月'!BR4:BR34,$B8)+COUNTIF('9月'!BV4:BV34,$B8)+COUNTIF('9月'!BW4:BW34,$B8)+COUNTIF('9月'!CA4:CA34,$B8)+COUNTIF('9月'!CB4:CB34,$B8)+COUNTIF('9月'!CF4:CF34,$B8)+COUNTIF('9月'!CG4:CG34,$B8)+COUNTIF('9月'!CK4:CK34,$B8)+COUNTIF('9月'!CL4:CL34,$B8)+COUNTIF('9月'!CP4:CP34,$B8)+COUNTIF('9月'!CQ4:CQ34,$B8)+COUNTIF('9月'!CU4:CU34,$B8)+COUNTIF('9月'!CV4:CV34,$B8)+COUNTIF('9月'!CZ4:CZ34,$B8)+COUNTIF('9月'!DA4:DA34,$B8)+COUNTIF('9月'!DE4:DE34,$B8)+COUNTIF('9月'!DF4:DF34,$B8)+COUNTIF('9月'!DJ4:DJ34,$B8)+COUNTIF('9月'!DK4:DK34,$B8)+COUNTIF('9月'!DO4:DO34,$B8)+COUNTIF('9月'!DP4:DP34,$B8)+COUNTIF('9月'!DT4:DT34,$B8)+COUNTIF('9月'!DU4:DU34,$B8)+COUNTIF('9月'!DY4:DY34,$B8)+COUNTIF('9月'!DZ4:DZ34,$B8)+COUNTIF('9月'!ED4:ED34,$B8)+COUNTIF('9月'!EE4:EE34,$B8)+COUNTIF('9月'!EI4:EI34,$B8)+COUNTIF('9月'!EJ4:EJ34,$B8)+COUNTIF('9月'!EN4:EN34,$B8)+COUNTIF('9月'!EO4:EO34,$B8)+COUNTIF('9月'!ES4:ES34,$B8)+COUNTIF('9月'!ET4:ET34,$B8)),0)</f>
        <v>0</v>
      </c>
      <c r="L8" s="76">
        <f>IFERROR(IF($B8="","",COUNTIF('10月'!D4:D34,$B8)+COUNTIF('10月'!E4:E34,$B8)+COUNTIF('10月'!I4:I34,$B8)+COUNTIF('10月'!J4:J34,$B8)+COUNTIF('10月'!N4:N34,$B8)+COUNTIF('10月'!O4:O34,$B8)+COUNTIF('10月'!S4:S34,$B8)+COUNTIF('10月'!T4:T34,$B8)+COUNTIF('10月'!X4:X34,$B8)+COUNTIF('10月'!Y4:Y34,$B8)+COUNTIF('10月'!AC4:AC34,$B8)+COUNTIF('10月'!AD4:AD34,$B8)+COUNTIF('10月'!AH4:AH34,$B8)+COUNTIF('10月'!AI4:AI34,$B8)+COUNTIF('10月'!AM4:AM34,$B8)+COUNTIF('10月'!AN4:AN34,$B8)+COUNTIF('10月'!AR4:AR34,$B8)+COUNTIF('10月'!AS4:AS34,$B8)+COUNTIF('10月'!AW4:AW34,$B8)+COUNTIF('10月'!AX4:AX34,$B8)+COUNTIF('10月'!BB4:BB34,$B8)+COUNTIF('10月'!BC4:BC34,$B8)+COUNTIF('10月'!BG4:BG34,$B8)+COUNTIF('10月'!BH4:BH34,$B8)+COUNTIF('10月'!BL4:BL34,$B8)+COUNTIF('10月'!BM4:BM34,$B8)+COUNTIF('10月'!BQ4:BQ34,$B8)+COUNTIF('10月'!BR4:BR34,$B8)+COUNTIF('10月'!BV4:BV34,$B8)+COUNTIF('10月'!BW4:BW34,$B8)+COUNTIF('10月'!CA4:CA34,$B8)+COUNTIF('10月'!CB4:CB34,$B8)+COUNTIF('10月'!CF4:CF34,$B8)+COUNTIF('10月'!CG4:CG34,$B8)+COUNTIF('10月'!CK4:CK34,$B8)+COUNTIF('10月'!CL4:CL34,$B8)+COUNTIF('10月'!CP4:CP34,$B8)+COUNTIF('10月'!CQ4:CQ34,$B8)+COUNTIF('10月'!CU4:CU34,$B8)+COUNTIF('10月'!CV4:CV34,$B8)+COUNTIF('10月'!CZ4:CZ34,$B8)+COUNTIF('10月'!DA4:DA34,$B8)+COUNTIF('10月'!DE4:DE34,$B8)+COUNTIF('10月'!DF4:DF34,$B8)+COUNTIF('10月'!DJ4:DJ34,$B8)+COUNTIF('10月'!DK4:DK34,$B8)+COUNTIF('10月'!DO4:DO34,$B8)+COUNTIF('10月'!DP4:DP34,$B8)+COUNTIF('10月'!DT4:DT34,$B8)+COUNTIF('10月'!DU4:DU34,$B8)+COUNTIF('10月'!DY4:DY34,$B8)+COUNTIF('10月'!DZ4:DZ34,$B8)+COUNTIF('10月'!ED4:ED34,$B8)+COUNTIF('10月'!EE4:EE34,$B8)+COUNTIF('10月'!EI4:EI34,$B8)+COUNTIF('10月'!EJ4:EJ34,$B8)+COUNTIF('10月'!EN4:EN34,$B8)+COUNTIF('10月'!EO4:EO34,$B8)+COUNTIF('10月'!ES4:ES34,$B8)+COUNTIF('10月'!ET4:ET34,$B8)),0)</f>
        <v>0</v>
      </c>
      <c r="M8" s="76">
        <f>IFERROR(IF($B8="","",COUNTIF('11月'!D4:D34,$B8)+COUNTIF('11月'!E4:E34,$B8)+COUNTIF('11月'!I4:I34,$B8)+COUNTIF('11月'!J4:J34,$B8)+COUNTIF('11月'!N4:N34,$B8)+COUNTIF('11月'!O4:O34,$B8)+COUNTIF('11月'!S4:S34,$B8)+COUNTIF('11月'!T4:T34,$B8)+COUNTIF('11月'!X4:X34,$B8)+COUNTIF('11月'!Y4:Y34,$B8)+COUNTIF('11月'!AC4:AC34,$B8)+COUNTIF('11月'!AD4:AD34,$B8)+COUNTIF('11月'!AH4:AH34,$B8)+COUNTIF('11月'!AI4:AI34,$B8)+COUNTIF('11月'!AM4:AM34,$B8)+COUNTIF('11月'!AN4:AN34,$B8)+COUNTIF('11月'!AR4:AR34,$B8)+COUNTIF('11月'!AS4:AS34,$B8)+COUNTIF('11月'!AW4:AW34,$B8)+COUNTIF('11月'!AX4:AX34,$B8)+COUNTIF('11月'!BB4:BB34,$B8)+COUNTIF('11月'!BC4:BC34,$B8)+COUNTIF('11月'!BG4:BG34,$B8)+COUNTIF('11月'!BH4:BH34,$B8)+COUNTIF('11月'!BL4:BL34,$B8)+COUNTIF('11月'!BM4:BM34,$B8)+COUNTIF('11月'!BQ4:BQ34,$B8)+COUNTIF('11月'!BR4:BR34,$B8)+COUNTIF('11月'!BV4:BV34,$B8)+COUNTIF('11月'!BW4:BW34,$B8)+COUNTIF('11月'!CA4:CA34,$B8)+COUNTIF('11月'!CB4:CB34,$B8)+COUNTIF('11月'!CF4:CF34,$B8)+COUNTIF('11月'!CG4:CG34,$B8)+COUNTIF('11月'!CK4:CK34,$B8)+COUNTIF('11月'!CL4:CL34,$B8)+COUNTIF('11月'!CP4:CP34,$B8)+COUNTIF('11月'!CQ4:CQ34,$B8)+COUNTIF('11月'!CU4:CU34,$B8)+COUNTIF('11月'!CV4:CV34,$B8)+COUNTIF('11月'!CZ4:CZ34,$B8)+COUNTIF('11月'!DA4:DA34,$B8)+COUNTIF('11月'!DE4:DE34,$B8)+COUNTIF('11月'!DF4:DF34,$B8)+COUNTIF('11月'!DJ4:DJ34,$B8)+COUNTIF('11月'!DK4:DK34,$B8)+COUNTIF('11月'!DO4:DO34,$B8)+COUNTIF('11月'!DP4:DP34,$B8)+COUNTIF('11月'!DT4:DT34,$B8)+COUNTIF('11月'!DU4:DU34,$B8)+COUNTIF('11月'!DY4:DY34,$B8)+COUNTIF('11月'!DZ4:DZ34,$B8)+COUNTIF('11月'!ED4:ED34,$B8)+COUNTIF('11月'!EE4:EE34,$B8)+COUNTIF('11月'!EI4:EI34,$B8)+COUNTIF('11月'!EJ4:EJ34,$B8)+COUNTIF('11月'!EN4:EN34,$B8)+COUNTIF('11月'!EO4:EO34,$B8)+COUNTIF('11月'!ES4:ES34,$B8)+COUNTIF('11月'!ET4:ET34,$B8)),0)</f>
        <v>0</v>
      </c>
      <c r="N8" s="76">
        <f>IFERROR(IF($B8="","",COUNTIF('12月'!D4:D34,$B8)+COUNTIF('12月'!E4:E34,$B8)+COUNTIF('12月'!I4:I34,$B8)+COUNTIF('12月'!J4:J34,$B8)+COUNTIF('12月'!N4:N34,$B8)+COUNTIF('12月'!O4:O34,$B8)+COUNTIF('12月'!S4:S34,$B8)+COUNTIF('12月'!T4:T34,$B8)+COUNTIF('12月'!X4:X34,$B8)+COUNTIF('12月'!Y4:Y34,$B8)+COUNTIF('12月'!AC4:AC34,$B8)+COUNTIF('12月'!AD4:AD34,$B8)+COUNTIF('12月'!AH4:AH34,$B8)+COUNTIF('12月'!AI4:AI34,$B8)+COUNTIF('12月'!AM4:AM34,$B8)+COUNTIF('12月'!AN4:AN34,$B8)+COUNTIF('12月'!AR4:AR34,$B8)+COUNTIF('12月'!AS4:AS34,$B8)+COUNTIF('12月'!AW4:AW34,$B8)+COUNTIF('12月'!AX4:AX34,$B8)+COUNTIF('12月'!BB4:BB34,$B8)+COUNTIF('12月'!BC4:BC34,$B8)+COUNTIF('12月'!BG4:BG34,$B8)+COUNTIF('12月'!BH4:BH34,$B8)+COUNTIF('12月'!BL4:BL34,$B8)+COUNTIF('12月'!BM4:BM34,$B8)+COUNTIF('12月'!BQ4:BQ34,$B8)+COUNTIF('12月'!BR4:BR34,$B8)+COUNTIF('12月'!BV4:BV34,$B8)+COUNTIF('12月'!BW4:BW34,$B8)+COUNTIF('12月'!CA4:CA34,$B8)+COUNTIF('12月'!CB4:CB34,$B8)+COUNTIF('12月'!CF4:CF34,$B8)+COUNTIF('12月'!CG4:CG34,$B8)+COUNTIF('12月'!CK4:CK34,$B8)+COUNTIF('12月'!CL4:CL34,$B8)+COUNTIF('12月'!CP4:CP34,$B8)+COUNTIF('12月'!CQ4:CQ34,$B8)+COUNTIF('12月'!CU4:CU34,$B8)+COUNTIF('12月'!CV4:CV34,$B8)+COUNTIF('12月'!CZ4:CZ34,$B8)+COUNTIF('12月'!DA4:DA34,$B8)+COUNTIF('12月'!DE4:DE34,$B8)+COUNTIF('12月'!DF4:DF34,$B8)+COUNTIF('12月'!DJ4:DJ34,$B8)+COUNTIF('12月'!DK4:DK34,$B8)+COUNTIF('12月'!DO4:DO34,$B8)+COUNTIF('12月'!DP4:DP34,$B8)+COUNTIF('12月'!DT4:DT34,$B8)+COUNTIF('12月'!DU4:DU34,$B8)+COUNTIF('12月'!DY4:DY34,$B8)+COUNTIF('12月'!DZ4:DZ34,$B8)+COUNTIF('12月'!ED4:ED34,$B8)+COUNTIF('12月'!EE4:EE34,$B8)+COUNTIF('12月'!EI4:EI34,$B8)+COUNTIF('12月'!EJ4:EJ34,$B8)+COUNTIF('12月'!EN4:EN34,$B8)+COUNTIF('12月'!EO4:EO34,$B8)+COUNTIF('12月'!ES4:ES34,$B8)+COUNTIF('12月'!ET4:ET34,$B8)),0)</f>
        <v>0</v>
      </c>
      <c r="O8" s="78">
        <f t="shared" si="0"/>
        <v>0</v>
      </c>
    </row>
    <row r="9" spans="1:15" ht="19.5" customHeight="1">
      <c r="A9" s="76">
        <v>7</v>
      </c>
      <c r="B9" s="77" t="str">
        <f>IFERROR(現場マスタ!$C$10,"")</f>
        <v>G現場（夜勤作業）</v>
      </c>
      <c r="C9" s="76">
        <f>IFERROR(IF($B9="","",COUNTIF('1月'!D4:D34,$B9)+COUNTIF('1月'!E4:E34,$B9)+COUNTIF('1月'!I4:I34,$B9)+COUNTIF('1月'!J4:J34,$B9)+COUNTIF('1月'!N4:N34,$B9)+COUNTIF('1月'!O4:O34,$B9)+COUNTIF('1月'!S4:S34,$B9)+COUNTIF('1月'!T4:T34,$B9)+COUNTIF('1月'!X4:X34,$B9)+COUNTIF('1月'!Y4:Y34,$B9)+COUNTIF('1月'!AC4:AC34,$B9)+COUNTIF('1月'!AD4:AD34,$B9)+COUNTIF('1月'!AH4:AH34,$B9)+COUNTIF('1月'!AI4:AI34,$B9)+COUNTIF('1月'!AM4:AM34,$B9)+COUNTIF('1月'!AN4:AN34,$B9)+COUNTIF('1月'!AR4:AR34,$B9)+COUNTIF('1月'!AS4:AS34,$B9)+COUNTIF('1月'!AW4:AW34,$B9)+COUNTIF('1月'!AX4:AX34,$B9)+COUNTIF('1月'!BB4:BB34,$B9)+COUNTIF('1月'!BC4:BC34,$B9)+COUNTIF('1月'!BG4:BG34,$B9)+COUNTIF('1月'!BH4:BH34,$B9)+COUNTIF('1月'!BL4:BL34,$B9)+COUNTIF('1月'!BM4:BM34,$B9)+COUNTIF('1月'!BQ4:BQ34,$B9)+COUNTIF('1月'!BR4:BR34,$B9)+COUNTIF('1月'!BV4:BV34,$B9)+COUNTIF('1月'!BW4:BW34,$B9)+COUNTIF('1月'!CA4:CA34,$B9)+COUNTIF('1月'!CB4:CB34,$B9)+COUNTIF('1月'!CF4:CF34,$B9)+COUNTIF('1月'!CG4:CG34,$B9)+COUNTIF('1月'!CK4:CK34,$B9)+COUNTIF('1月'!CL4:CL34,$B9)+COUNTIF('1月'!CP4:CP34,$B9)+COUNTIF('1月'!CQ4:CQ34,$B9)+COUNTIF('1月'!CU4:CU34,$B9)+COUNTIF('1月'!CV4:CV34,$B9)+COUNTIF('1月'!CZ4:CZ34,$B9)+COUNTIF('1月'!DA4:DA34,$B9)+COUNTIF('1月'!DE4:DE34,$B9)+COUNTIF('1月'!DF4:DF34,$B9)+COUNTIF('1月'!DJ4:DJ34,$B9)+COUNTIF('1月'!DK4:DK34,$B9)+COUNTIF('1月'!DO4:DO34,$B9)+COUNTIF('1月'!DP4:DP34,$B9)+COUNTIF('1月'!DT4:DT34,$B9)+COUNTIF('1月'!DU4:DU34,$B9)+COUNTIF('1月'!DY4:DY34,$B9)+COUNTIF('1月'!DZ4:DZ34,$B9)+COUNTIF('1月'!ED4:ED34,$B9)+COUNTIF('1月'!EE4:EE34,$B9)+COUNTIF('1月'!EI4:EI34,$B9)+COUNTIF('1月'!EJ4:EJ34,$B9)+COUNTIF('1月'!EN4:EN34,$B9)+COUNTIF('1月'!EO4:EO34,$B9)+COUNTIF('1月'!ES4:ES34,$B9)+COUNTIF('1月'!ET4:ET34,$B9)),0)</f>
        <v>0</v>
      </c>
      <c r="D9" s="76">
        <f>IFERROR(IF($B9="","",COUNTIF('2月'!D4:D34,$B9)+COUNTIF('2月'!E4:E34,$B9)+COUNTIF('2月'!I4:I34,$B9)+COUNTIF('2月'!J4:J34,$B9)+COUNTIF('2月'!N4:N34,$B9)+COUNTIF('2月'!O4:O34,$B9)+COUNTIF('2月'!S4:S34,$B9)+COUNTIF('2月'!T4:T34,$B9)+COUNTIF('2月'!X4:X34,$B9)+COUNTIF('2月'!Y4:Y34,$B9)+COUNTIF('2月'!AC4:AC34,$B9)+COUNTIF('2月'!AD4:AD34,$B9)+COUNTIF('2月'!AH4:AH34,$B9)+COUNTIF('2月'!AI4:AI34,$B9)+COUNTIF('2月'!AM4:AM34,$B9)+COUNTIF('2月'!AN4:AN34,$B9)+COUNTIF('2月'!AR4:AR34,$B9)+COUNTIF('2月'!AS4:AS34,$B9)+COUNTIF('2月'!AW4:AW34,$B9)+COUNTIF('2月'!AX4:AX34,$B9)+COUNTIF('2月'!BB4:BB34,$B9)+COUNTIF('2月'!BC4:BC34,$B9)+COUNTIF('2月'!BG4:BG34,$B9)+COUNTIF('2月'!BH4:BH34,$B9)+COUNTIF('2月'!BL4:BL34,$B9)+COUNTIF('2月'!BM4:BM34,$B9)+COUNTIF('2月'!BQ4:BQ34,$B9)+COUNTIF('2月'!BR4:BR34,$B9)+COUNTIF('2月'!BV4:BV34,$B9)+COUNTIF('2月'!BW4:BW34,$B9)+COUNTIF('2月'!CA4:CA34,$B9)+COUNTIF('2月'!CB4:CB34,$B9)+COUNTIF('2月'!CF4:CF34,$B9)+COUNTIF('2月'!CG4:CG34,$B9)+COUNTIF('2月'!CK4:CK34,$B9)+COUNTIF('2月'!CL4:CL34,$B9)+COUNTIF('2月'!CP4:CP34,$B9)+COUNTIF('2月'!CQ4:CQ34,$B9)+COUNTIF('2月'!CU4:CU34,$B9)+COUNTIF('2月'!CV4:CV34,$B9)+COUNTIF('2月'!CZ4:CZ34,$B9)+COUNTIF('2月'!DA4:DA34,$B9)+COUNTIF('2月'!DE4:DE34,$B9)+COUNTIF('2月'!DF4:DF34,$B9)+COUNTIF('2月'!DJ4:DJ34,$B9)+COUNTIF('2月'!DK4:DK34,$B9)+COUNTIF('2月'!DO4:DO34,$B9)+COUNTIF('2月'!DP4:DP34,$B9)+COUNTIF('2月'!DT4:DT34,$B9)+COUNTIF('2月'!DU4:DU34,$B9)+COUNTIF('2月'!DY4:DY34,$B9)+COUNTIF('2月'!DZ4:DZ34,$B9)+COUNTIF('2月'!ED4:ED34,$B9)+COUNTIF('2月'!EE4:EE34,$B9)+COUNTIF('2月'!EI4:EI34,$B9)+COUNTIF('2月'!EJ4:EJ34,$B9)+COUNTIF('2月'!EN4:EN34,$B9)+COUNTIF('2月'!EO4:EO34,$B9)+COUNTIF('2月'!ES4:ES34,$B9)+COUNTIF('2月'!ET4:ET34,$B9)),0)</f>
        <v>0</v>
      </c>
      <c r="E9" s="76">
        <f>IFERROR(IF($B9="","",COUNTIF('3月'!D4:D34,$B9)+COUNTIF('3月'!E4:E34,$B9)+COUNTIF('3月'!I4:I34,$B9)+COUNTIF('3月'!J4:J34,$B9)+COUNTIF('3月'!N4:N34,$B9)+COUNTIF('3月'!O4:O34,$B9)+COUNTIF('3月'!S4:S34,$B9)+COUNTIF('3月'!T4:T34,$B9)+COUNTIF('3月'!X4:X34,$B9)+COUNTIF('3月'!Y4:Y34,$B9)+COUNTIF('3月'!AC4:AC34,$B9)+COUNTIF('3月'!AD4:AD34,$B9)+COUNTIF('3月'!AH4:AH34,$B9)+COUNTIF('3月'!AI4:AI34,$B9)+COUNTIF('3月'!AM4:AM34,$B9)+COUNTIF('3月'!AN4:AN34,$B9)+COUNTIF('3月'!AR4:AR34,$B9)+COUNTIF('3月'!AS4:AS34,$B9)+COUNTIF('3月'!AW4:AW34,$B9)+COUNTIF('3月'!AX4:AX34,$B9)+COUNTIF('3月'!BB4:BB34,$B9)+COUNTIF('3月'!BC4:BC34,$B9)+COUNTIF('3月'!BG4:BG34,$B9)+COUNTIF('3月'!BH4:BH34,$B9)+COUNTIF('3月'!BL4:BL34,$B9)+COUNTIF('3月'!BM4:BM34,$B9)+COUNTIF('3月'!BQ4:BQ34,$B9)+COUNTIF('3月'!BR4:BR34,$B9)+COUNTIF('3月'!BV4:BV34,$B9)+COUNTIF('3月'!BW4:BW34,$B9)+COUNTIF('3月'!CA4:CA34,$B9)+COUNTIF('3月'!CB4:CB34,$B9)+COUNTIF('3月'!CF4:CF34,$B9)+COUNTIF('3月'!CG4:CG34,$B9)+COUNTIF('3月'!CK4:CK34,$B9)+COUNTIF('3月'!CL4:CL34,$B9)+COUNTIF('3月'!CP4:CP34,$B9)+COUNTIF('3月'!CQ4:CQ34,$B9)+COUNTIF('3月'!CU4:CU34,$B9)+COUNTIF('3月'!CV4:CV34,$B9)+COUNTIF('3月'!CZ4:CZ34,$B9)+COUNTIF('3月'!DA4:DA34,$B9)+COUNTIF('3月'!DE4:DE34,$B9)+COUNTIF('3月'!DF4:DF34,$B9)+COUNTIF('3月'!DJ4:DJ34,$B9)+COUNTIF('3月'!DK4:DK34,$B9)+COUNTIF('3月'!DO4:DO34,$B9)+COUNTIF('3月'!DP4:DP34,$B9)+COUNTIF('3月'!DT4:DT34,$B9)+COUNTIF('3月'!DU4:DU34,$B9)+COUNTIF('3月'!DY4:DY34,$B9)+COUNTIF('3月'!DZ4:DZ34,$B9)+COUNTIF('3月'!ED4:ED34,$B9)+COUNTIF('3月'!EE4:EE34,$B9)+COUNTIF('3月'!EI4:EI34,$B9)+COUNTIF('3月'!EJ4:EJ34,$B9)+COUNTIF('3月'!EN4:EN34,$B9)+COUNTIF('3月'!EO4:EO34,$B9)+COUNTIF('3月'!ES4:ES34,$B9)+COUNTIF('3月'!ET4:ET34,$B9)),0)</f>
        <v>0</v>
      </c>
      <c r="F9" s="76">
        <f>IFERROR(IF($B9="","",COUNTIF('4月'!D4:D34,$B9)+COUNTIF('4月'!E4:E34,$B9)+COUNTIF('4月'!I4:I34,$B9)+COUNTIF('4月'!J4:J34,$B9)+COUNTIF('4月'!N4:N34,$B9)+COUNTIF('4月'!O4:O34,$B9)+COUNTIF('4月'!S4:S34,$B9)+COUNTIF('4月'!T4:T34,$B9)+COUNTIF('4月'!X4:X34,$B9)+COUNTIF('4月'!Y4:Y34,$B9)+COUNTIF('4月'!AC4:AC34,$B9)+COUNTIF('4月'!AD4:AD34,$B9)+COUNTIF('4月'!AH4:AH34,$B9)+COUNTIF('4月'!AI4:AI34,$B9)+COUNTIF('4月'!AM4:AM34,$B9)+COUNTIF('4月'!AN4:AN34,$B9)+COUNTIF('4月'!AR4:AR34,$B9)+COUNTIF('4月'!AS4:AS34,$B9)+COUNTIF('4月'!AW4:AW34,$B9)+COUNTIF('4月'!AX4:AX34,$B9)+COUNTIF('4月'!BB4:BB34,$B9)+COUNTIF('4月'!BC4:BC34,$B9)+COUNTIF('4月'!BG4:BG34,$B9)+COUNTIF('4月'!BH4:BH34,$B9)+COUNTIF('4月'!BL4:BL34,$B9)+COUNTIF('4月'!BM4:BM34,$B9)+COUNTIF('4月'!BQ4:BQ34,$B9)+COUNTIF('4月'!BR4:BR34,$B9)+COUNTIF('4月'!BV4:BV34,$B9)+COUNTIF('4月'!BW4:BW34,$B9)+COUNTIF('4月'!CA4:CA34,$B9)+COUNTIF('4月'!CB4:CB34,$B9)+COUNTIF('4月'!CF4:CF34,$B9)+COUNTIF('4月'!CG4:CG34,$B9)+COUNTIF('4月'!CK4:CK34,$B9)+COUNTIF('4月'!CL4:CL34,$B9)+COUNTIF('4月'!CP4:CP34,$B9)+COUNTIF('4月'!CQ4:CQ34,$B9)+COUNTIF('4月'!CU4:CU34,$B9)+COUNTIF('4月'!CV4:CV34,$B9)+COUNTIF('4月'!CZ4:CZ34,$B9)+COUNTIF('4月'!DA4:DA34,$B9)+COUNTIF('4月'!DE4:DE34,$B9)+COUNTIF('4月'!DF4:DF34,$B9)+COUNTIF('4月'!DJ4:DJ34,$B9)+COUNTIF('4月'!DK4:DK34,$B9)+COUNTIF('4月'!DO4:DO34,$B9)+COUNTIF('4月'!DP4:DP34,$B9)+COUNTIF('4月'!DT4:DT34,$B9)+COUNTIF('4月'!DU4:DU34,$B9)+COUNTIF('4月'!DY4:DY34,$B9)+COUNTIF('4月'!DZ4:DZ34,$B9)+COUNTIF('4月'!ED4:ED34,$B9)+COUNTIF('4月'!EE4:EE34,$B9)+COUNTIF('4月'!EI4:EI34,$B9)+COUNTIF('4月'!EJ4:EJ34,$B9)+COUNTIF('4月'!EN4:EN34,$B9)+COUNTIF('4月'!EO4:EO34,$B9)+COUNTIF('4月'!ES4:ES34,$B9)+COUNTIF('4月'!ET4:ET34,$B9)),0)</f>
        <v>0</v>
      </c>
      <c r="G9" s="76">
        <f>IFERROR(IF($B9="","",COUNTIF('5月'!D4:D34,$B9)+COUNTIF('5月'!E4:E34,$B9)+COUNTIF('5月'!I4:I34,$B9)+COUNTIF('5月'!J4:J34,$B9)+COUNTIF('5月'!N4:N34,$B9)+COUNTIF('5月'!O4:O34,$B9)+COUNTIF('5月'!S4:S34,$B9)+COUNTIF('5月'!T4:T34,$B9)+COUNTIF('5月'!X4:X34,$B9)+COUNTIF('5月'!Y4:Y34,$B9)+COUNTIF('5月'!AC4:AC34,$B9)+COUNTIF('5月'!AD4:AD34,$B9)+COUNTIF('5月'!AH4:AH34,$B9)+COUNTIF('5月'!AI4:AI34,$B9)+COUNTIF('5月'!AM4:AM34,$B9)+COUNTIF('5月'!AN4:AN34,$B9)+COUNTIF('5月'!AR4:AR34,$B9)+COUNTIF('5月'!AS4:AS34,$B9)+COUNTIF('5月'!AW4:AW34,$B9)+COUNTIF('5月'!AX4:AX34,$B9)+COUNTIF('5月'!BB4:BB34,$B9)+COUNTIF('5月'!BC4:BC34,$B9)+COUNTIF('5月'!BG4:BG34,$B9)+COUNTIF('5月'!BH4:BH34,$B9)+COUNTIF('5月'!BL4:BL34,$B9)+COUNTIF('5月'!BM4:BM34,$B9)+COUNTIF('5月'!BQ4:BQ34,$B9)+COUNTIF('5月'!BR4:BR34,$B9)+COUNTIF('5月'!BV4:BV34,$B9)+COUNTIF('5月'!BW4:BW34,$B9)+COUNTIF('5月'!CA4:CA34,$B9)+COUNTIF('5月'!CB4:CB34,$B9)+COUNTIF('5月'!CF4:CF34,$B9)+COUNTIF('5月'!CG4:CG34,$B9)+COUNTIF('5月'!CK4:CK34,$B9)+COUNTIF('5月'!CL4:CL34,$B9)+COUNTIF('5月'!CP4:CP34,$B9)+COUNTIF('5月'!CQ4:CQ34,$B9)+COUNTIF('5月'!CU4:CU34,$B9)+COUNTIF('5月'!CV4:CV34,$B9)+COUNTIF('5月'!CZ4:CZ34,$B9)+COUNTIF('5月'!DA4:DA34,$B9)+COUNTIF('5月'!DE4:DE34,$B9)+COUNTIF('5月'!DF4:DF34,$B9)+COUNTIF('5月'!DJ4:DJ34,$B9)+COUNTIF('5月'!DK4:DK34,$B9)+COUNTIF('5月'!DO4:DO34,$B9)+COUNTIF('5月'!DP4:DP34,$B9)+COUNTIF('5月'!DT4:DT34,$B9)+COUNTIF('5月'!DU4:DU34,$B9)+COUNTIF('5月'!DY4:DY34,$B9)+COUNTIF('5月'!DZ4:DZ34,$B9)+COUNTIF('5月'!ED4:ED34,$B9)+COUNTIF('5月'!EE4:EE34,$B9)+COUNTIF('5月'!EI4:EI34,$B9)+COUNTIF('5月'!EJ4:EJ34,$B9)+COUNTIF('5月'!EN4:EN34,$B9)+COUNTIF('5月'!EO4:EO34,$B9)+COUNTIF('5月'!ES4:ES34,$B9)+COUNTIF('5月'!ET4:ET34,$B9)),0)</f>
        <v>0</v>
      </c>
      <c r="H9" s="76">
        <f>IFERROR(IF($B9="","",COUNTIF('6月'!D4:D34,$B9)+COUNTIF('6月'!E4:E34,$B9)+COUNTIF('6月'!I4:I34,$B9)+COUNTIF('6月'!J4:J34,$B9)+COUNTIF('6月'!N4:N34,$B9)+COUNTIF('6月'!O4:O34,$B9)+COUNTIF('6月'!S4:S34,$B9)+COUNTIF('6月'!T4:T34,$B9)+COUNTIF('6月'!X4:X34,$B9)+COUNTIF('6月'!Y4:Y34,$B9)+COUNTIF('6月'!AC4:AC34,$B9)+COUNTIF('6月'!AD4:AD34,$B9)+COUNTIF('6月'!AH4:AH34,$B9)+COUNTIF('6月'!AI4:AI34,$B9)+COUNTIF('6月'!AM4:AM34,$B9)+COUNTIF('6月'!AN4:AN34,$B9)+COUNTIF('6月'!AR4:AR34,$B9)+COUNTIF('6月'!AS4:AS34,$B9)+COUNTIF('6月'!AW4:AW34,$B9)+COUNTIF('6月'!AX4:AX34,$B9)+COUNTIF('6月'!BB4:BB34,$B9)+COUNTIF('6月'!BC4:BC34,$B9)+COUNTIF('6月'!BG4:BG34,$B9)+COUNTIF('6月'!BH4:BH34,$B9)+COUNTIF('6月'!BL4:BL34,$B9)+COUNTIF('6月'!BM4:BM34,$B9)+COUNTIF('6月'!BQ4:BQ34,$B9)+COUNTIF('6月'!BR4:BR34,$B9)+COUNTIF('6月'!BV4:BV34,$B9)+COUNTIF('6月'!BW4:BW34,$B9)+COUNTIF('6月'!CA4:CA34,$B9)+COUNTIF('6月'!CB4:CB34,$B9)+COUNTIF('6月'!CF4:CF34,$B9)+COUNTIF('6月'!CG4:CG34,$B9)+COUNTIF('6月'!CK4:CK34,$B9)+COUNTIF('6月'!CL4:CL34,$B9)+COUNTIF('6月'!CP4:CP34,$B9)+COUNTIF('6月'!CQ4:CQ34,$B9)+COUNTIF('6月'!CU4:CU34,$B9)+COUNTIF('6月'!CV4:CV34,$B9)+COUNTIF('6月'!CZ4:CZ34,$B9)+COUNTIF('6月'!DA4:DA34,$B9)+COUNTIF('6月'!DE4:DE34,$B9)+COUNTIF('6月'!DF4:DF34,$B9)+COUNTIF('6月'!DJ4:DJ34,$B9)+COUNTIF('6月'!DK4:DK34,$B9)+COUNTIF('6月'!DO4:DO34,$B9)+COUNTIF('6月'!DP4:DP34,$B9)+COUNTIF('6月'!DT4:DT34,$B9)+COUNTIF('6月'!DU4:DU34,$B9)+COUNTIF('6月'!DY4:DY34,$B9)+COUNTIF('6月'!DZ4:DZ34,$B9)+COUNTIF('6月'!ED4:ED34,$B9)+COUNTIF('6月'!EE4:EE34,$B9)+COUNTIF('6月'!EI4:EI34,$B9)+COUNTIF('6月'!EJ4:EJ34,$B9)+COUNTIF('6月'!EN4:EN34,$B9)+COUNTIF('6月'!EO4:EO34,$B9)+COUNTIF('6月'!ES4:ES34,$B9)+COUNTIF('6月'!ET4:ET34,$B9)),0)</f>
        <v>0</v>
      </c>
      <c r="I9" s="76">
        <f>IFERROR(IF($B9="","",COUNTIF('7月'!D4:D34,$B9)+COUNTIF('7月'!E4:E34,$B9)+COUNTIF('7月'!I4:I34,$B9)+COUNTIF('7月'!J4:J34,$B9)+COUNTIF('7月'!N4:N34,$B9)+COUNTIF('7月'!O4:O34,$B9)+COUNTIF('7月'!S4:S34,$B9)+COUNTIF('7月'!T4:T34,$B9)+COUNTIF('7月'!X4:X34,$B9)+COUNTIF('7月'!Y4:Y34,$B9)+COUNTIF('7月'!AC4:AC34,$B9)+COUNTIF('7月'!AD4:AD34,$B9)+COUNTIF('7月'!AH4:AH34,$B9)+COUNTIF('7月'!AI4:AI34,$B9)+COUNTIF('7月'!AM4:AM34,$B9)+COUNTIF('7月'!AN4:AN34,$B9)+COUNTIF('7月'!AR4:AR34,$B9)+COUNTIF('7月'!AS4:AS34,$B9)+COUNTIF('7月'!AW4:AW34,$B9)+COUNTIF('7月'!AX4:AX34,$B9)+COUNTIF('7月'!BB4:BB34,$B9)+COUNTIF('7月'!BC4:BC34,$B9)+COUNTIF('7月'!BG4:BG34,$B9)+COUNTIF('7月'!BH4:BH34,$B9)+COUNTIF('7月'!BL4:BL34,$B9)+COUNTIF('7月'!BM4:BM34,$B9)+COUNTIF('7月'!BQ4:BQ34,$B9)+COUNTIF('7月'!BR4:BR34,$B9)+COUNTIF('7月'!BV4:BV34,$B9)+COUNTIF('7月'!BW4:BW34,$B9)+COUNTIF('7月'!CA4:CA34,$B9)+COUNTIF('7月'!CB4:CB34,$B9)+COUNTIF('7月'!CF4:CF34,$B9)+COUNTIF('7月'!CG4:CG34,$B9)+COUNTIF('7月'!CK4:CK34,$B9)+COUNTIF('7月'!CL4:CL34,$B9)+COUNTIF('7月'!CP4:CP34,$B9)+COUNTIF('7月'!CQ4:CQ34,$B9)+COUNTIF('7月'!CU4:CU34,$B9)+COUNTIF('7月'!CV4:CV34,$B9)+COUNTIF('7月'!CZ4:CZ34,$B9)+COUNTIF('7月'!DA4:DA34,$B9)+COUNTIF('7月'!DE4:DE34,$B9)+COUNTIF('7月'!DF4:DF34,$B9)+COUNTIF('7月'!DJ4:DJ34,$B9)+COUNTIF('7月'!DK4:DK34,$B9)+COUNTIF('7月'!DO4:DO34,$B9)+COUNTIF('7月'!DP4:DP34,$B9)+COUNTIF('7月'!DT4:DT34,$B9)+COUNTIF('7月'!DU4:DU34,$B9)+COUNTIF('7月'!DY4:DY34,$B9)+COUNTIF('7月'!DZ4:DZ34,$B9)+COUNTIF('7月'!ED4:ED34,$B9)+COUNTIF('7月'!EE4:EE34,$B9)+COUNTIF('7月'!EI4:EI34,$B9)+COUNTIF('7月'!EJ4:EJ34,$B9)+COUNTIF('7月'!EN4:EN34,$B9)+COUNTIF('7月'!EO4:EO34,$B9)+COUNTIF('7月'!ES4:ES34,$B9)+COUNTIF('7月'!ET4:ET34,$B9)),0)</f>
        <v>0</v>
      </c>
      <c r="J9" s="76">
        <f>IFERROR(IF($B9="","",COUNTIF('8月'!D4:D34,$B9)+COUNTIF('8月'!E4:E34,$B9)+COUNTIF('8月'!I4:I34,$B9)+COUNTIF('8月'!J4:J34,$B9)+COUNTIF('8月'!N4:N34,$B9)+COUNTIF('8月'!O4:O34,$B9)+COUNTIF('8月'!S4:S34,$B9)+COUNTIF('8月'!T4:T34,$B9)+COUNTIF('8月'!X4:X34,$B9)+COUNTIF('8月'!Y4:Y34,$B9)+COUNTIF('8月'!AC4:AC34,$B9)+COUNTIF('8月'!AD4:AD34,$B9)+COUNTIF('8月'!AH4:AH34,$B9)+COUNTIF('8月'!AI4:AI34,$B9)+COUNTIF('8月'!AM4:AM34,$B9)+COUNTIF('8月'!AN4:AN34,$B9)+COUNTIF('8月'!AR4:AR34,$B9)+COUNTIF('8月'!AS4:AS34,$B9)+COUNTIF('8月'!AW4:AW34,$B9)+COUNTIF('8月'!AX4:AX34,$B9)+COUNTIF('8月'!BB4:BB34,$B9)+COUNTIF('8月'!BC4:BC34,$B9)+COUNTIF('8月'!BG4:BG34,$B9)+COUNTIF('8月'!BH4:BH34,$B9)+COUNTIF('8月'!BL4:BL34,$B9)+COUNTIF('8月'!BM4:BM34,$B9)+COUNTIF('8月'!BQ4:BQ34,$B9)+COUNTIF('8月'!BR4:BR34,$B9)+COUNTIF('8月'!BV4:BV34,$B9)+COUNTIF('8月'!BW4:BW34,$B9)+COUNTIF('8月'!CA4:CA34,$B9)+COUNTIF('8月'!CB4:CB34,$B9)+COUNTIF('8月'!CF4:CF34,$B9)+COUNTIF('8月'!CG4:CG34,$B9)+COUNTIF('8月'!CK4:CK34,$B9)+COUNTIF('8月'!CL4:CL34,$B9)+COUNTIF('8月'!CP4:CP34,$B9)+COUNTIF('8月'!CQ4:CQ34,$B9)+COUNTIF('8月'!CU4:CU34,$B9)+COUNTIF('8月'!CV4:CV34,$B9)+COUNTIF('8月'!CZ4:CZ34,$B9)+COUNTIF('8月'!DA4:DA34,$B9)+COUNTIF('8月'!DE4:DE34,$B9)+COUNTIF('8月'!DF4:DF34,$B9)+COUNTIF('8月'!DJ4:DJ34,$B9)+COUNTIF('8月'!DK4:DK34,$B9)+COUNTIF('8月'!DO4:DO34,$B9)+COUNTIF('8月'!DP4:DP34,$B9)+COUNTIF('8月'!DT4:DT34,$B9)+COUNTIF('8月'!DU4:DU34,$B9)+COUNTIF('8月'!DY4:DY34,$B9)+COUNTIF('8月'!DZ4:DZ34,$B9)+COUNTIF('8月'!ED4:ED34,$B9)+COUNTIF('8月'!EE4:EE34,$B9)+COUNTIF('8月'!EI4:EI34,$B9)+COUNTIF('8月'!EJ4:EJ34,$B9)+COUNTIF('8月'!EN4:EN34,$B9)+COUNTIF('8月'!EO4:EO34,$B9)+COUNTIF('8月'!ES4:ES34,$B9)+COUNTIF('8月'!ET4:ET34,$B9)),0)</f>
        <v>0</v>
      </c>
      <c r="K9" s="76">
        <f>IFERROR(IF($B9="","",COUNTIF('9月'!D4:D34,$B9)+COUNTIF('9月'!E4:E34,$B9)+COUNTIF('9月'!I4:I34,$B9)+COUNTIF('9月'!J4:J34,$B9)+COUNTIF('9月'!N4:N34,$B9)+COUNTIF('9月'!O4:O34,$B9)+COUNTIF('9月'!S4:S34,$B9)+COUNTIF('9月'!T4:T34,$B9)+COUNTIF('9月'!X4:X34,$B9)+COUNTIF('9月'!Y4:Y34,$B9)+COUNTIF('9月'!AC4:AC34,$B9)+COUNTIF('9月'!AD4:AD34,$B9)+COUNTIF('9月'!AH4:AH34,$B9)+COUNTIF('9月'!AI4:AI34,$B9)+COUNTIF('9月'!AM4:AM34,$B9)+COUNTIF('9月'!AN4:AN34,$B9)+COUNTIF('9月'!AR4:AR34,$B9)+COUNTIF('9月'!AS4:AS34,$B9)+COUNTIF('9月'!AW4:AW34,$B9)+COUNTIF('9月'!AX4:AX34,$B9)+COUNTIF('9月'!BB4:BB34,$B9)+COUNTIF('9月'!BC4:BC34,$B9)+COUNTIF('9月'!BG4:BG34,$B9)+COUNTIF('9月'!BH4:BH34,$B9)+COUNTIF('9月'!BL4:BL34,$B9)+COUNTIF('9月'!BM4:BM34,$B9)+COUNTIF('9月'!BQ4:BQ34,$B9)+COUNTIF('9月'!BR4:BR34,$B9)+COUNTIF('9月'!BV4:BV34,$B9)+COUNTIF('9月'!BW4:BW34,$B9)+COUNTIF('9月'!CA4:CA34,$B9)+COUNTIF('9月'!CB4:CB34,$B9)+COUNTIF('9月'!CF4:CF34,$B9)+COUNTIF('9月'!CG4:CG34,$B9)+COUNTIF('9月'!CK4:CK34,$B9)+COUNTIF('9月'!CL4:CL34,$B9)+COUNTIF('9月'!CP4:CP34,$B9)+COUNTIF('9月'!CQ4:CQ34,$B9)+COUNTIF('9月'!CU4:CU34,$B9)+COUNTIF('9月'!CV4:CV34,$B9)+COUNTIF('9月'!CZ4:CZ34,$B9)+COUNTIF('9月'!DA4:DA34,$B9)+COUNTIF('9月'!DE4:DE34,$B9)+COUNTIF('9月'!DF4:DF34,$B9)+COUNTIF('9月'!DJ4:DJ34,$B9)+COUNTIF('9月'!DK4:DK34,$B9)+COUNTIF('9月'!DO4:DO34,$B9)+COUNTIF('9月'!DP4:DP34,$B9)+COUNTIF('9月'!DT4:DT34,$B9)+COUNTIF('9月'!DU4:DU34,$B9)+COUNTIF('9月'!DY4:DY34,$B9)+COUNTIF('9月'!DZ4:DZ34,$B9)+COUNTIF('9月'!ED4:ED34,$B9)+COUNTIF('9月'!EE4:EE34,$B9)+COUNTIF('9月'!EI4:EI34,$B9)+COUNTIF('9月'!EJ4:EJ34,$B9)+COUNTIF('9月'!EN4:EN34,$B9)+COUNTIF('9月'!EO4:EO34,$B9)+COUNTIF('9月'!ES4:ES34,$B9)+COUNTIF('9月'!ET4:ET34,$B9)),0)</f>
        <v>0</v>
      </c>
      <c r="L9" s="76">
        <f>IFERROR(IF($B9="","",COUNTIF('10月'!D4:D34,$B9)+COUNTIF('10月'!E4:E34,$B9)+COUNTIF('10月'!I4:I34,$B9)+COUNTIF('10月'!J4:J34,$B9)+COUNTIF('10月'!N4:N34,$B9)+COUNTIF('10月'!O4:O34,$B9)+COUNTIF('10月'!S4:S34,$B9)+COUNTIF('10月'!T4:T34,$B9)+COUNTIF('10月'!X4:X34,$B9)+COUNTIF('10月'!Y4:Y34,$B9)+COUNTIF('10月'!AC4:AC34,$B9)+COUNTIF('10月'!AD4:AD34,$B9)+COUNTIF('10月'!AH4:AH34,$B9)+COUNTIF('10月'!AI4:AI34,$B9)+COUNTIF('10月'!AM4:AM34,$B9)+COUNTIF('10月'!AN4:AN34,$B9)+COUNTIF('10月'!AR4:AR34,$B9)+COUNTIF('10月'!AS4:AS34,$B9)+COUNTIF('10月'!AW4:AW34,$B9)+COUNTIF('10月'!AX4:AX34,$B9)+COUNTIF('10月'!BB4:BB34,$B9)+COUNTIF('10月'!BC4:BC34,$B9)+COUNTIF('10月'!BG4:BG34,$B9)+COUNTIF('10月'!BH4:BH34,$B9)+COUNTIF('10月'!BL4:BL34,$B9)+COUNTIF('10月'!BM4:BM34,$B9)+COUNTIF('10月'!BQ4:BQ34,$B9)+COUNTIF('10月'!BR4:BR34,$B9)+COUNTIF('10月'!BV4:BV34,$B9)+COUNTIF('10月'!BW4:BW34,$B9)+COUNTIF('10月'!CA4:CA34,$B9)+COUNTIF('10月'!CB4:CB34,$B9)+COUNTIF('10月'!CF4:CF34,$B9)+COUNTIF('10月'!CG4:CG34,$B9)+COUNTIF('10月'!CK4:CK34,$B9)+COUNTIF('10月'!CL4:CL34,$B9)+COUNTIF('10月'!CP4:CP34,$B9)+COUNTIF('10月'!CQ4:CQ34,$B9)+COUNTIF('10月'!CU4:CU34,$B9)+COUNTIF('10月'!CV4:CV34,$B9)+COUNTIF('10月'!CZ4:CZ34,$B9)+COUNTIF('10月'!DA4:DA34,$B9)+COUNTIF('10月'!DE4:DE34,$B9)+COUNTIF('10月'!DF4:DF34,$B9)+COUNTIF('10月'!DJ4:DJ34,$B9)+COUNTIF('10月'!DK4:DK34,$B9)+COUNTIF('10月'!DO4:DO34,$B9)+COUNTIF('10月'!DP4:DP34,$B9)+COUNTIF('10月'!DT4:DT34,$B9)+COUNTIF('10月'!DU4:DU34,$B9)+COUNTIF('10月'!DY4:DY34,$B9)+COUNTIF('10月'!DZ4:DZ34,$B9)+COUNTIF('10月'!ED4:ED34,$B9)+COUNTIF('10月'!EE4:EE34,$B9)+COUNTIF('10月'!EI4:EI34,$B9)+COUNTIF('10月'!EJ4:EJ34,$B9)+COUNTIF('10月'!EN4:EN34,$B9)+COUNTIF('10月'!EO4:EO34,$B9)+COUNTIF('10月'!ES4:ES34,$B9)+COUNTIF('10月'!ET4:ET34,$B9)),0)</f>
        <v>0</v>
      </c>
      <c r="M9" s="76">
        <f>IFERROR(IF($B9="","",COUNTIF('11月'!D4:D34,$B9)+COUNTIF('11月'!E4:E34,$B9)+COUNTIF('11月'!I4:I34,$B9)+COUNTIF('11月'!J4:J34,$B9)+COUNTIF('11月'!N4:N34,$B9)+COUNTIF('11月'!O4:O34,$B9)+COUNTIF('11月'!S4:S34,$B9)+COUNTIF('11月'!T4:T34,$B9)+COUNTIF('11月'!X4:X34,$B9)+COUNTIF('11月'!Y4:Y34,$B9)+COUNTIF('11月'!AC4:AC34,$B9)+COUNTIF('11月'!AD4:AD34,$B9)+COUNTIF('11月'!AH4:AH34,$B9)+COUNTIF('11月'!AI4:AI34,$B9)+COUNTIF('11月'!AM4:AM34,$B9)+COUNTIF('11月'!AN4:AN34,$B9)+COUNTIF('11月'!AR4:AR34,$B9)+COUNTIF('11月'!AS4:AS34,$B9)+COUNTIF('11月'!AW4:AW34,$B9)+COUNTIF('11月'!AX4:AX34,$B9)+COUNTIF('11月'!BB4:BB34,$B9)+COUNTIF('11月'!BC4:BC34,$B9)+COUNTIF('11月'!BG4:BG34,$B9)+COUNTIF('11月'!BH4:BH34,$B9)+COUNTIF('11月'!BL4:BL34,$B9)+COUNTIF('11月'!BM4:BM34,$B9)+COUNTIF('11月'!BQ4:BQ34,$B9)+COUNTIF('11月'!BR4:BR34,$B9)+COUNTIF('11月'!BV4:BV34,$B9)+COUNTIF('11月'!BW4:BW34,$B9)+COUNTIF('11月'!CA4:CA34,$B9)+COUNTIF('11月'!CB4:CB34,$B9)+COUNTIF('11月'!CF4:CF34,$B9)+COUNTIF('11月'!CG4:CG34,$B9)+COUNTIF('11月'!CK4:CK34,$B9)+COUNTIF('11月'!CL4:CL34,$B9)+COUNTIF('11月'!CP4:CP34,$B9)+COUNTIF('11月'!CQ4:CQ34,$B9)+COUNTIF('11月'!CU4:CU34,$B9)+COUNTIF('11月'!CV4:CV34,$B9)+COUNTIF('11月'!CZ4:CZ34,$B9)+COUNTIF('11月'!DA4:DA34,$B9)+COUNTIF('11月'!DE4:DE34,$B9)+COUNTIF('11月'!DF4:DF34,$B9)+COUNTIF('11月'!DJ4:DJ34,$B9)+COUNTIF('11月'!DK4:DK34,$B9)+COUNTIF('11月'!DO4:DO34,$B9)+COUNTIF('11月'!DP4:DP34,$B9)+COUNTIF('11月'!DT4:DT34,$B9)+COUNTIF('11月'!DU4:DU34,$B9)+COUNTIF('11月'!DY4:DY34,$B9)+COUNTIF('11月'!DZ4:DZ34,$B9)+COUNTIF('11月'!ED4:ED34,$B9)+COUNTIF('11月'!EE4:EE34,$B9)+COUNTIF('11月'!EI4:EI34,$B9)+COUNTIF('11月'!EJ4:EJ34,$B9)+COUNTIF('11月'!EN4:EN34,$B9)+COUNTIF('11月'!EO4:EO34,$B9)+COUNTIF('11月'!ES4:ES34,$B9)+COUNTIF('11月'!ET4:ET34,$B9)),0)</f>
        <v>0</v>
      </c>
      <c r="N9" s="76">
        <f>IFERROR(IF($B9="","",COUNTIF('12月'!D4:D34,$B9)+COUNTIF('12月'!E4:E34,$B9)+COUNTIF('12月'!I4:I34,$B9)+COUNTIF('12月'!J4:J34,$B9)+COUNTIF('12月'!N4:N34,$B9)+COUNTIF('12月'!O4:O34,$B9)+COUNTIF('12月'!S4:S34,$B9)+COUNTIF('12月'!T4:T34,$B9)+COUNTIF('12月'!X4:X34,$B9)+COUNTIF('12月'!Y4:Y34,$B9)+COUNTIF('12月'!AC4:AC34,$B9)+COUNTIF('12月'!AD4:AD34,$B9)+COUNTIF('12月'!AH4:AH34,$B9)+COUNTIF('12月'!AI4:AI34,$B9)+COUNTIF('12月'!AM4:AM34,$B9)+COUNTIF('12月'!AN4:AN34,$B9)+COUNTIF('12月'!AR4:AR34,$B9)+COUNTIF('12月'!AS4:AS34,$B9)+COUNTIF('12月'!AW4:AW34,$B9)+COUNTIF('12月'!AX4:AX34,$B9)+COUNTIF('12月'!BB4:BB34,$B9)+COUNTIF('12月'!BC4:BC34,$B9)+COUNTIF('12月'!BG4:BG34,$B9)+COUNTIF('12月'!BH4:BH34,$B9)+COUNTIF('12月'!BL4:BL34,$B9)+COUNTIF('12月'!BM4:BM34,$B9)+COUNTIF('12月'!BQ4:BQ34,$B9)+COUNTIF('12月'!BR4:BR34,$B9)+COUNTIF('12月'!BV4:BV34,$B9)+COUNTIF('12月'!BW4:BW34,$B9)+COUNTIF('12月'!CA4:CA34,$B9)+COUNTIF('12月'!CB4:CB34,$B9)+COUNTIF('12月'!CF4:CF34,$B9)+COUNTIF('12月'!CG4:CG34,$B9)+COUNTIF('12月'!CK4:CK34,$B9)+COUNTIF('12月'!CL4:CL34,$B9)+COUNTIF('12月'!CP4:CP34,$B9)+COUNTIF('12月'!CQ4:CQ34,$B9)+COUNTIF('12月'!CU4:CU34,$B9)+COUNTIF('12月'!CV4:CV34,$B9)+COUNTIF('12月'!CZ4:CZ34,$B9)+COUNTIF('12月'!DA4:DA34,$B9)+COUNTIF('12月'!DE4:DE34,$B9)+COUNTIF('12月'!DF4:DF34,$B9)+COUNTIF('12月'!DJ4:DJ34,$B9)+COUNTIF('12月'!DK4:DK34,$B9)+COUNTIF('12月'!DO4:DO34,$B9)+COUNTIF('12月'!DP4:DP34,$B9)+COUNTIF('12月'!DT4:DT34,$B9)+COUNTIF('12月'!DU4:DU34,$B9)+COUNTIF('12月'!DY4:DY34,$B9)+COUNTIF('12月'!DZ4:DZ34,$B9)+COUNTIF('12月'!ED4:ED34,$B9)+COUNTIF('12月'!EE4:EE34,$B9)+COUNTIF('12月'!EI4:EI34,$B9)+COUNTIF('12月'!EJ4:EJ34,$B9)+COUNTIF('12月'!EN4:EN34,$B9)+COUNTIF('12月'!EO4:EO34,$B9)+COUNTIF('12月'!ES4:ES34,$B9)+COUNTIF('12月'!ET4:ET34,$B9)),0)</f>
        <v>0</v>
      </c>
      <c r="O9" s="78">
        <f t="shared" si="0"/>
        <v>0</v>
      </c>
    </row>
    <row r="10" spans="1:15" ht="19.5" customHeight="1">
      <c r="A10" s="76">
        <v>8</v>
      </c>
      <c r="B10" s="77" t="str">
        <f>IFERROR(現場マスタ!$C$11,"")</f>
        <v>事務所</v>
      </c>
      <c r="C10" s="76">
        <f>IFERROR(IF($B10="","",COUNTIF('1月'!D4:D34,$B10)+COUNTIF('1月'!E4:E34,$B10)+COUNTIF('1月'!I4:I34,$B10)+COUNTIF('1月'!J4:J34,$B10)+COUNTIF('1月'!N4:N34,$B10)+COUNTIF('1月'!O4:O34,$B10)+COUNTIF('1月'!S4:S34,$B10)+COUNTIF('1月'!T4:T34,$B10)+COUNTIF('1月'!X4:X34,$B10)+COUNTIF('1月'!Y4:Y34,$B10)+COUNTIF('1月'!AC4:AC34,$B10)+COUNTIF('1月'!AD4:AD34,$B10)+COUNTIF('1月'!AH4:AH34,$B10)+COUNTIF('1月'!AI4:AI34,$B10)+COUNTIF('1月'!AM4:AM34,$B10)+COUNTIF('1月'!AN4:AN34,$B10)+COUNTIF('1月'!AR4:AR34,$B10)+COUNTIF('1月'!AS4:AS34,$B10)+COUNTIF('1月'!AW4:AW34,$B10)+COUNTIF('1月'!AX4:AX34,$B10)+COUNTIF('1月'!BB4:BB34,$B10)+COUNTIF('1月'!BC4:BC34,$B10)+COUNTIF('1月'!BG4:BG34,$B10)+COUNTIF('1月'!BH4:BH34,$B10)+COUNTIF('1月'!BL4:BL34,$B10)+COUNTIF('1月'!BM4:BM34,$B10)+COUNTIF('1月'!BQ4:BQ34,$B10)+COUNTIF('1月'!BR4:BR34,$B10)+COUNTIF('1月'!BV4:BV34,$B10)+COUNTIF('1月'!BW4:BW34,$B10)+COUNTIF('1月'!CA4:CA34,$B10)+COUNTIF('1月'!CB4:CB34,$B10)+COUNTIF('1月'!CF4:CF34,$B10)+COUNTIF('1月'!CG4:CG34,$B10)+COUNTIF('1月'!CK4:CK34,$B10)+COUNTIF('1月'!CL4:CL34,$B10)+COUNTIF('1月'!CP4:CP34,$B10)+COUNTIF('1月'!CQ4:CQ34,$B10)+COUNTIF('1月'!CU4:CU34,$B10)+COUNTIF('1月'!CV4:CV34,$B10)+COUNTIF('1月'!CZ4:CZ34,$B10)+COUNTIF('1月'!DA4:DA34,$B10)+COUNTIF('1月'!DE4:DE34,$B10)+COUNTIF('1月'!DF4:DF34,$B10)+COUNTIF('1月'!DJ4:DJ34,$B10)+COUNTIF('1月'!DK4:DK34,$B10)+COUNTIF('1月'!DO4:DO34,$B10)+COUNTIF('1月'!DP4:DP34,$B10)+COUNTIF('1月'!DT4:DT34,$B10)+COUNTIF('1月'!DU4:DU34,$B10)+COUNTIF('1月'!DY4:DY34,$B10)+COUNTIF('1月'!DZ4:DZ34,$B10)+COUNTIF('1月'!ED4:ED34,$B10)+COUNTIF('1月'!EE4:EE34,$B10)+COUNTIF('1月'!EI4:EI34,$B10)+COUNTIF('1月'!EJ4:EJ34,$B10)+COUNTIF('1月'!EN4:EN34,$B10)+COUNTIF('1月'!EO4:EO34,$B10)+COUNTIF('1月'!ES4:ES34,$B10)+COUNTIF('1月'!ET4:ET34,$B10)),0)</f>
        <v>16</v>
      </c>
      <c r="D10" s="76">
        <f>IFERROR(IF($B10="","",COUNTIF('2月'!D4:D34,$B10)+COUNTIF('2月'!E4:E34,$B10)+COUNTIF('2月'!I4:I34,$B10)+COUNTIF('2月'!J4:J34,$B10)+COUNTIF('2月'!N4:N34,$B10)+COUNTIF('2月'!O4:O34,$B10)+COUNTIF('2月'!S4:S34,$B10)+COUNTIF('2月'!T4:T34,$B10)+COUNTIF('2月'!X4:X34,$B10)+COUNTIF('2月'!Y4:Y34,$B10)+COUNTIF('2月'!AC4:AC34,$B10)+COUNTIF('2月'!AD4:AD34,$B10)+COUNTIF('2月'!AH4:AH34,$B10)+COUNTIF('2月'!AI4:AI34,$B10)+COUNTIF('2月'!AM4:AM34,$B10)+COUNTIF('2月'!AN4:AN34,$B10)+COUNTIF('2月'!AR4:AR34,$B10)+COUNTIF('2月'!AS4:AS34,$B10)+COUNTIF('2月'!AW4:AW34,$B10)+COUNTIF('2月'!AX4:AX34,$B10)+COUNTIF('2月'!BB4:BB34,$B10)+COUNTIF('2月'!BC4:BC34,$B10)+COUNTIF('2月'!BG4:BG34,$B10)+COUNTIF('2月'!BH4:BH34,$B10)+COUNTIF('2月'!BL4:BL34,$B10)+COUNTIF('2月'!BM4:BM34,$B10)+COUNTIF('2月'!BQ4:BQ34,$B10)+COUNTIF('2月'!BR4:BR34,$B10)+COUNTIF('2月'!BV4:BV34,$B10)+COUNTIF('2月'!BW4:BW34,$B10)+COUNTIF('2月'!CA4:CA34,$B10)+COUNTIF('2月'!CB4:CB34,$B10)+COUNTIF('2月'!CF4:CF34,$B10)+COUNTIF('2月'!CG4:CG34,$B10)+COUNTIF('2月'!CK4:CK34,$B10)+COUNTIF('2月'!CL4:CL34,$B10)+COUNTIF('2月'!CP4:CP34,$B10)+COUNTIF('2月'!CQ4:CQ34,$B10)+COUNTIF('2月'!CU4:CU34,$B10)+COUNTIF('2月'!CV4:CV34,$B10)+COUNTIF('2月'!CZ4:CZ34,$B10)+COUNTIF('2月'!DA4:DA34,$B10)+COUNTIF('2月'!DE4:DE34,$B10)+COUNTIF('2月'!DF4:DF34,$B10)+COUNTIF('2月'!DJ4:DJ34,$B10)+COUNTIF('2月'!DK4:DK34,$B10)+COUNTIF('2月'!DO4:DO34,$B10)+COUNTIF('2月'!DP4:DP34,$B10)+COUNTIF('2月'!DT4:DT34,$B10)+COUNTIF('2月'!DU4:DU34,$B10)+COUNTIF('2月'!DY4:DY34,$B10)+COUNTIF('2月'!DZ4:DZ34,$B10)+COUNTIF('2月'!ED4:ED34,$B10)+COUNTIF('2月'!EE4:EE34,$B10)+COUNTIF('2月'!EI4:EI34,$B10)+COUNTIF('2月'!EJ4:EJ34,$B10)+COUNTIF('2月'!EN4:EN34,$B10)+COUNTIF('2月'!EO4:EO34,$B10)+COUNTIF('2月'!ES4:ES34,$B10)+COUNTIF('2月'!ET4:ET34,$B10)),0)</f>
        <v>36</v>
      </c>
      <c r="E10" s="76">
        <f>IFERROR(IF($B10="","",COUNTIF('3月'!D4:D34,$B10)+COUNTIF('3月'!E4:E34,$B10)+COUNTIF('3月'!I4:I34,$B10)+COUNTIF('3月'!J4:J34,$B10)+COUNTIF('3月'!N4:N34,$B10)+COUNTIF('3月'!O4:O34,$B10)+COUNTIF('3月'!S4:S34,$B10)+COUNTIF('3月'!T4:T34,$B10)+COUNTIF('3月'!X4:X34,$B10)+COUNTIF('3月'!Y4:Y34,$B10)+COUNTIF('3月'!AC4:AC34,$B10)+COUNTIF('3月'!AD4:AD34,$B10)+COUNTIF('3月'!AH4:AH34,$B10)+COUNTIF('3月'!AI4:AI34,$B10)+COUNTIF('3月'!AM4:AM34,$B10)+COUNTIF('3月'!AN4:AN34,$B10)+COUNTIF('3月'!AR4:AR34,$B10)+COUNTIF('3月'!AS4:AS34,$B10)+COUNTIF('3月'!AW4:AW34,$B10)+COUNTIF('3月'!AX4:AX34,$B10)+COUNTIF('3月'!BB4:BB34,$B10)+COUNTIF('3月'!BC4:BC34,$B10)+COUNTIF('3月'!BG4:BG34,$B10)+COUNTIF('3月'!BH4:BH34,$B10)+COUNTIF('3月'!BL4:BL34,$B10)+COUNTIF('3月'!BM4:BM34,$B10)+COUNTIF('3月'!BQ4:BQ34,$B10)+COUNTIF('3月'!BR4:BR34,$B10)+COUNTIF('3月'!BV4:BV34,$B10)+COUNTIF('3月'!BW4:BW34,$B10)+COUNTIF('3月'!CA4:CA34,$B10)+COUNTIF('3月'!CB4:CB34,$B10)+COUNTIF('3月'!CF4:CF34,$B10)+COUNTIF('3月'!CG4:CG34,$B10)+COUNTIF('3月'!CK4:CK34,$B10)+COUNTIF('3月'!CL4:CL34,$B10)+COUNTIF('3月'!CP4:CP34,$B10)+COUNTIF('3月'!CQ4:CQ34,$B10)+COUNTIF('3月'!CU4:CU34,$B10)+COUNTIF('3月'!CV4:CV34,$B10)+COUNTIF('3月'!CZ4:CZ34,$B10)+COUNTIF('3月'!DA4:DA34,$B10)+COUNTIF('3月'!DE4:DE34,$B10)+COUNTIF('3月'!DF4:DF34,$B10)+COUNTIF('3月'!DJ4:DJ34,$B10)+COUNTIF('3月'!DK4:DK34,$B10)+COUNTIF('3月'!DO4:DO34,$B10)+COUNTIF('3月'!DP4:DP34,$B10)+COUNTIF('3月'!DT4:DT34,$B10)+COUNTIF('3月'!DU4:DU34,$B10)+COUNTIF('3月'!DY4:DY34,$B10)+COUNTIF('3月'!DZ4:DZ34,$B10)+COUNTIF('3月'!ED4:ED34,$B10)+COUNTIF('3月'!EE4:EE34,$B10)+COUNTIF('3月'!EI4:EI34,$B10)+COUNTIF('3月'!EJ4:EJ34,$B10)+COUNTIF('3月'!EN4:EN34,$B10)+COUNTIF('3月'!EO4:EO34,$B10)+COUNTIF('3月'!ES4:ES34,$B10)+COUNTIF('3月'!ET4:ET34,$B10)),0)</f>
        <v>41</v>
      </c>
      <c r="F10" s="76">
        <f>IFERROR(IF($B10="","",COUNTIF('4月'!D4:D34,$B10)+COUNTIF('4月'!E4:E34,$B10)+COUNTIF('4月'!I4:I34,$B10)+COUNTIF('4月'!J4:J34,$B10)+COUNTIF('4月'!N4:N34,$B10)+COUNTIF('4月'!O4:O34,$B10)+COUNTIF('4月'!S4:S34,$B10)+COUNTIF('4月'!T4:T34,$B10)+COUNTIF('4月'!X4:X34,$B10)+COUNTIF('4月'!Y4:Y34,$B10)+COUNTIF('4月'!AC4:AC34,$B10)+COUNTIF('4月'!AD4:AD34,$B10)+COUNTIF('4月'!AH4:AH34,$B10)+COUNTIF('4月'!AI4:AI34,$B10)+COUNTIF('4月'!AM4:AM34,$B10)+COUNTIF('4月'!AN4:AN34,$B10)+COUNTIF('4月'!AR4:AR34,$B10)+COUNTIF('4月'!AS4:AS34,$B10)+COUNTIF('4月'!AW4:AW34,$B10)+COUNTIF('4月'!AX4:AX34,$B10)+COUNTIF('4月'!BB4:BB34,$B10)+COUNTIF('4月'!BC4:BC34,$B10)+COUNTIF('4月'!BG4:BG34,$B10)+COUNTIF('4月'!BH4:BH34,$B10)+COUNTIF('4月'!BL4:BL34,$B10)+COUNTIF('4月'!BM4:BM34,$B10)+COUNTIF('4月'!BQ4:BQ34,$B10)+COUNTIF('4月'!BR4:BR34,$B10)+COUNTIF('4月'!BV4:BV34,$B10)+COUNTIF('4月'!BW4:BW34,$B10)+COUNTIF('4月'!CA4:CA34,$B10)+COUNTIF('4月'!CB4:CB34,$B10)+COUNTIF('4月'!CF4:CF34,$B10)+COUNTIF('4月'!CG4:CG34,$B10)+COUNTIF('4月'!CK4:CK34,$B10)+COUNTIF('4月'!CL4:CL34,$B10)+COUNTIF('4月'!CP4:CP34,$B10)+COUNTIF('4月'!CQ4:CQ34,$B10)+COUNTIF('4月'!CU4:CU34,$B10)+COUNTIF('4月'!CV4:CV34,$B10)+COUNTIF('4月'!CZ4:CZ34,$B10)+COUNTIF('4月'!DA4:DA34,$B10)+COUNTIF('4月'!DE4:DE34,$B10)+COUNTIF('4月'!DF4:DF34,$B10)+COUNTIF('4月'!DJ4:DJ34,$B10)+COUNTIF('4月'!DK4:DK34,$B10)+COUNTIF('4月'!DO4:DO34,$B10)+COUNTIF('4月'!DP4:DP34,$B10)+COUNTIF('4月'!DT4:DT34,$B10)+COUNTIF('4月'!DU4:DU34,$B10)+COUNTIF('4月'!DY4:DY34,$B10)+COUNTIF('4月'!DZ4:DZ34,$B10)+COUNTIF('4月'!ED4:ED34,$B10)+COUNTIF('4月'!EE4:EE34,$B10)+COUNTIF('4月'!EI4:EI34,$B10)+COUNTIF('4月'!EJ4:EJ34,$B10)+COUNTIF('4月'!EN4:EN34,$B10)+COUNTIF('4月'!EO4:EO34,$B10)+COUNTIF('4月'!ES4:ES34,$B10)+COUNTIF('4月'!ET4:ET34,$B10)),0)</f>
        <v>42</v>
      </c>
      <c r="G10" s="76">
        <f>IFERROR(IF($B10="","",COUNTIF('5月'!D4:D34,$B10)+COUNTIF('5月'!E4:E34,$B10)+COUNTIF('5月'!I4:I34,$B10)+COUNTIF('5月'!J4:J34,$B10)+COUNTIF('5月'!N4:N34,$B10)+COUNTIF('5月'!O4:O34,$B10)+COUNTIF('5月'!S4:S34,$B10)+COUNTIF('5月'!T4:T34,$B10)+COUNTIF('5月'!X4:X34,$B10)+COUNTIF('5月'!Y4:Y34,$B10)+COUNTIF('5月'!AC4:AC34,$B10)+COUNTIF('5月'!AD4:AD34,$B10)+COUNTIF('5月'!AH4:AH34,$B10)+COUNTIF('5月'!AI4:AI34,$B10)+COUNTIF('5月'!AM4:AM34,$B10)+COUNTIF('5月'!AN4:AN34,$B10)+COUNTIF('5月'!AR4:AR34,$B10)+COUNTIF('5月'!AS4:AS34,$B10)+COUNTIF('5月'!AW4:AW34,$B10)+COUNTIF('5月'!AX4:AX34,$B10)+COUNTIF('5月'!BB4:BB34,$B10)+COUNTIF('5月'!BC4:BC34,$B10)+COUNTIF('5月'!BG4:BG34,$B10)+COUNTIF('5月'!BH4:BH34,$B10)+COUNTIF('5月'!BL4:BL34,$B10)+COUNTIF('5月'!BM4:BM34,$B10)+COUNTIF('5月'!BQ4:BQ34,$B10)+COUNTIF('5月'!BR4:BR34,$B10)+COUNTIF('5月'!BV4:BV34,$B10)+COUNTIF('5月'!BW4:BW34,$B10)+COUNTIF('5月'!CA4:CA34,$B10)+COUNTIF('5月'!CB4:CB34,$B10)+COUNTIF('5月'!CF4:CF34,$B10)+COUNTIF('5月'!CG4:CG34,$B10)+COUNTIF('5月'!CK4:CK34,$B10)+COUNTIF('5月'!CL4:CL34,$B10)+COUNTIF('5月'!CP4:CP34,$B10)+COUNTIF('5月'!CQ4:CQ34,$B10)+COUNTIF('5月'!CU4:CU34,$B10)+COUNTIF('5月'!CV4:CV34,$B10)+COUNTIF('5月'!CZ4:CZ34,$B10)+COUNTIF('5月'!DA4:DA34,$B10)+COUNTIF('5月'!DE4:DE34,$B10)+COUNTIF('5月'!DF4:DF34,$B10)+COUNTIF('5月'!DJ4:DJ34,$B10)+COUNTIF('5月'!DK4:DK34,$B10)+COUNTIF('5月'!DO4:DO34,$B10)+COUNTIF('5月'!DP4:DP34,$B10)+COUNTIF('5月'!DT4:DT34,$B10)+COUNTIF('5月'!DU4:DU34,$B10)+COUNTIF('5月'!DY4:DY34,$B10)+COUNTIF('5月'!DZ4:DZ34,$B10)+COUNTIF('5月'!ED4:ED34,$B10)+COUNTIF('5月'!EE4:EE34,$B10)+COUNTIF('5月'!EI4:EI34,$B10)+COUNTIF('5月'!EJ4:EJ34,$B10)+COUNTIF('5月'!EN4:EN34,$B10)+COUNTIF('5月'!EO4:EO34,$B10)+COUNTIF('5月'!ES4:ES34,$B10)+COUNTIF('5月'!ET4:ET34,$B10)),0)</f>
        <v>0</v>
      </c>
      <c r="H10" s="76">
        <f>IFERROR(IF($B10="","",COUNTIF('6月'!D4:D34,$B10)+COUNTIF('6月'!E4:E34,$B10)+COUNTIF('6月'!I4:I34,$B10)+COUNTIF('6月'!J4:J34,$B10)+COUNTIF('6月'!N4:N34,$B10)+COUNTIF('6月'!O4:O34,$B10)+COUNTIF('6月'!S4:S34,$B10)+COUNTIF('6月'!T4:T34,$B10)+COUNTIF('6月'!X4:X34,$B10)+COUNTIF('6月'!Y4:Y34,$B10)+COUNTIF('6月'!AC4:AC34,$B10)+COUNTIF('6月'!AD4:AD34,$B10)+COUNTIF('6月'!AH4:AH34,$B10)+COUNTIF('6月'!AI4:AI34,$B10)+COUNTIF('6月'!AM4:AM34,$B10)+COUNTIF('6月'!AN4:AN34,$B10)+COUNTIF('6月'!AR4:AR34,$B10)+COUNTIF('6月'!AS4:AS34,$B10)+COUNTIF('6月'!AW4:AW34,$B10)+COUNTIF('6月'!AX4:AX34,$B10)+COUNTIF('6月'!BB4:BB34,$B10)+COUNTIF('6月'!BC4:BC34,$B10)+COUNTIF('6月'!BG4:BG34,$B10)+COUNTIF('6月'!BH4:BH34,$B10)+COUNTIF('6月'!BL4:BL34,$B10)+COUNTIF('6月'!BM4:BM34,$B10)+COUNTIF('6月'!BQ4:BQ34,$B10)+COUNTIF('6月'!BR4:BR34,$B10)+COUNTIF('6月'!BV4:BV34,$B10)+COUNTIF('6月'!BW4:BW34,$B10)+COUNTIF('6月'!CA4:CA34,$B10)+COUNTIF('6月'!CB4:CB34,$B10)+COUNTIF('6月'!CF4:CF34,$B10)+COUNTIF('6月'!CG4:CG34,$B10)+COUNTIF('6月'!CK4:CK34,$B10)+COUNTIF('6月'!CL4:CL34,$B10)+COUNTIF('6月'!CP4:CP34,$B10)+COUNTIF('6月'!CQ4:CQ34,$B10)+COUNTIF('6月'!CU4:CU34,$B10)+COUNTIF('6月'!CV4:CV34,$B10)+COUNTIF('6月'!CZ4:CZ34,$B10)+COUNTIF('6月'!DA4:DA34,$B10)+COUNTIF('6月'!DE4:DE34,$B10)+COUNTIF('6月'!DF4:DF34,$B10)+COUNTIF('6月'!DJ4:DJ34,$B10)+COUNTIF('6月'!DK4:DK34,$B10)+COUNTIF('6月'!DO4:DO34,$B10)+COUNTIF('6月'!DP4:DP34,$B10)+COUNTIF('6月'!DT4:DT34,$B10)+COUNTIF('6月'!DU4:DU34,$B10)+COUNTIF('6月'!DY4:DY34,$B10)+COUNTIF('6月'!DZ4:DZ34,$B10)+COUNTIF('6月'!ED4:ED34,$B10)+COUNTIF('6月'!EE4:EE34,$B10)+COUNTIF('6月'!EI4:EI34,$B10)+COUNTIF('6月'!EJ4:EJ34,$B10)+COUNTIF('6月'!EN4:EN34,$B10)+COUNTIF('6月'!EO4:EO34,$B10)+COUNTIF('6月'!ES4:ES34,$B10)+COUNTIF('6月'!ET4:ET34,$B10)),0)</f>
        <v>0</v>
      </c>
      <c r="I10" s="76">
        <f>IFERROR(IF($B10="","",COUNTIF('7月'!D4:D34,$B10)+COUNTIF('7月'!E4:E34,$B10)+COUNTIF('7月'!I4:I34,$B10)+COUNTIF('7月'!J4:J34,$B10)+COUNTIF('7月'!N4:N34,$B10)+COUNTIF('7月'!O4:O34,$B10)+COUNTIF('7月'!S4:S34,$B10)+COUNTIF('7月'!T4:T34,$B10)+COUNTIF('7月'!X4:X34,$B10)+COUNTIF('7月'!Y4:Y34,$B10)+COUNTIF('7月'!AC4:AC34,$B10)+COUNTIF('7月'!AD4:AD34,$B10)+COUNTIF('7月'!AH4:AH34,$B10)+COUNTIF('7月'!AI4:AI34,$B10)+COUNTIF('7月'!AM4:AM34,$B10)+COUNTIF('7月'!AN4:AN34,$B10)+COUNTIF('7月'!AR4:AR34,$B10)+COUNTIF('7月'!AS4:AS34,$B10)+COUNTIF('7月'!AW4:AW34,$B10)+COUNTIF('7月'!AX4:AX34,$B10)+COUNTIF('7月'!BB4:BB34,$B10)+COUNTIF('7月'!BC4:BC34,$B10)+COUNTIF('7月'!BG4:BG34,$B10)+COUNTIF('7月'!BH4:BH34,$B10)+COUNTIF('7月'!BL4:BL34,$B10)+COUNTIF('7月'!BM4:BM34,$B10)+COUNTIF('7月'!BQ4:BQ34,$B10)+COUNTIF('7月'!BR4:BR34,$B10)+COUNTIF('7月'!BV4:BV34,$B10)+COUNTIF('7月'!BW4:BW34,$B10)+COUNTIF('7月'!CA4:CA34,$B10)+COUNTIF('7月'!CB4:CB34,$B10)+COUNTIF('7月'!CF4:CF34,$B10)+COUNTIF('7月'!CG4:CG34,$B10)+COUNTIF('7月'!CK4:CK34,$B10)+COUNTIF('7月'!CL4:CL34,$B10)+COUNTIF('7月'!CP4:CP34,$B10)+COUNTIF('7月'!CQ4:CQ34,$B10)+COUNTIF('7月'!CU4:CU34,$B10)+COUNTIF('7月'!CV4:CV34,$B10)+COUNTIF('7月'!CZ4:CZ34,$B10)+COUNTIF('7月'!DA4:DA34,$B10)+COUNTIF('7月'!DE4:DE34,$B10)+COUNTIF('7月'!DF4:DF34,$B10)+COUNTIF('7月'!DJ4:DJ34,$B10)+COUNTIF('7月'!DK4:DK34,$B10)+COUNTIF('7月'!DO4:DO34,$B10)+COUNTIF('7月'!DP4:DP34,$B10)+COUNTIF('7月'!DT4:DT34,$B10)+COUNTIF('7月'!DU4:DU34,$B10)+COUNTIF('7月'!DY4:DY34,$B10)+COUNTIF('7月'!DZ4:DZ34,$B10)+COUNTIF('7月'!ED4:ED34,$B10)+COUNTIF('7月'!EE4:EE34,$B10)+COUNTIF('7月'!EI4:EI34,$B10)+COUNTIF('7月'!EJ4:EJ34,$B10)+COUNTIF('7月'!EN4:EN34,$B10)+COUNTIF('7月'!EO4:EO34,$B10)+COUNTIF('7月'!ES4:ES34,$B10)+COUNTIF('7月'!ET4:ET34,$B10)),0)</f>
        <v>0</v>
      </c>
      <c r="J10" s="76">
        <f>IFERROR(IF($B10="","",COUNTIF('8月'!D4:D34,$B10)+COUNTIF('8月'!E4:E34,$B10)+COUNTIF('8月'!I4:I34,$B10)+COUNTIF('8月'!J4:J34,$B10)+COUNTIF('8月'!N4:N34,$B10)+COUNTIF('8月'!O4:O34,$B10)+COUNTIF('8月'!S4:S34,$B10)+COUNTIF('8月'!T4:T34,$B10)+COUNTIF('8月'!X4:X34,$B10)+COUNTIF('8月'!Y4:Y34,$B10)+COUNTIF('8月'!AC4:AC34,$B10)+COUNTIF('8月'!AD4:AD34,$B10)+COUNTIF('8月'!AH4:AH34,$B10)+COUNTIF('8月'!AI4:AI34,$B10)+COUNTIF('8月'!AM4:AM34,$B10)+COUNTIF('8月'!AN4:AN34,$B10)+COUNTIF('8月'!AR4:AR34,$B10)+COUNTIF('8月'!AS4:AS34,$B10)+COUNTIF('8月'!AW4:AW34,$B10)+COUNTIF('8月'!AX4:AX34,$B10)+COUNTIF('8月'!BB4:BB34,$B10)+COUNTIF('8月'!BC4:BC34,$B10)+COUNTIF('8月'!BG4:BG34,$B10)+COUNTIF('8月'!BH4:BH34,$B10)+COUNTIF('8月'!BL4:BL34,$B10)+COUNTIF('8月'!BM4:BM34,$B10)+COUNTIF('8月'!BQ4:BQ34,$B10)+COUNTIF('8月'!BR4:BR34,$B10)+COUNTIF('8月'!BV4:BV34,$B10)+COUNTIF('8月'!BW4:BW34,$B10)+COUNTIF('8月'!CA4:CA34,$B10)+COUNTIF('8月'!CB4:CB34,$B10)+COUNTIF('8月'!CF4:CF34,$B10)+COUNTIF('8月'!CG4:CG34,$B10)+COUNTIF('8月'!CK4:CK34,$B10)+COUNTIF('8月'!CL4:CL34,$B10)+COUNTIF('8月'!CP4:CP34,$B10)+COUNTIF('8月'!CQ4:CQ34,$B10)+COUNTIF('8月'!CU4:CU34,$B10)+COUNTIF('8月'!CV4:CV34,$B10)+COUNTIF('8月'!CZ4:CZ34,$B10)+COUNTIF('8月'!DA4:DA34,$B10)+COUNTIF('8月'!DE4:DE34,$B10)+COUNTIF('8月'!DF4:DF34,$B10)+COUNTIF('8月'!DJ4:DJ34,$B10)+COUNTIF('8月'!DK4:DK34,$B10)+COUNTIF('8月'!DO4:DO34,$B10)+COUNTIF('8月'!DP4:DP34,$B10)+COUNTIF('8月'!DT4:DT34,$B10)+COUNTIF('8月'!DU4:DU34,$B10)+COUNTIF('8月'!DY4:DY34,$B10)+COUNTIF('8月'!DZ4:DZ34,$B10)+COUNTIF('8月'!ED4:ED34,$B10)+COUNTIF('8月'!EE4:EE34,$B10)+COUNTIF('8月'!EI4:EI34,$B10)+COUNTIF('8月'!EJ4:EJ34,$B10)+COUNTIF('8月'!EN4:EN34,$B10)+COUNTIF('8月'!EO4:EO34,$B10)+COUNTIF('8月'!ES4:ES34,$B10)+COUNTIF('8月'!ET4:ET34,$B10)),0)</f>
        <v>0</v>
      </c>
      <c r="K10" s="76">
        <f>IFERROR(IF($B10="","",COUNTIF('9月'!D4:D34,$B10)+COUNTIF('9月'!E4:E34,$B10)+COUNTIF('9月'!I4:I34,$B10)+COUNTIF('9月'!J4:J34,$B10)+COUNTIF('9月'!N4:N34,$B10)+COUNTIF('9月'!O4:O34,$B10)+COUNTIF('9月'!S4:S34,$B10)+COUNTIF('9月'!T4:T34,$B10)+COUNTIF('9月'!X4:X34,$B10)+COUNTIF('9月'!Y4:Y34,$B10)+COUNTIF('9月'!AC4:AC34,$B10)+COUNTIF('9月'!AD4:AD34,$B10)+COUNTIF('9月'!AH4:AH34,$B10)+COUNTIF('9月'!AI4:AI34,$B10)+COUNTIF('9月'!AM4:AM34,$B10)+COUNTIF('9月'!AN4:AN34,$B10)+COUNTIF('9月'!AR4:AR34,$B10)+COUNTIF('9月'!AS4:AS34,$B10)+COUNTIF('9月'!AW4:AW34,$B10)+COUNTIF('9月'!AX4:AX34,$B10)+COUNTIF('9月'!BB4:BB34,$B10)+COUNTIF('9月'!BC4:BC34,$B10)+COUNTIF('9月'!BG4:BG34,$B10)+COUNTIF('9月'!BH4:BH34,$B10)+COUNTIF('9月'!BL4:BL34,$B10)+COUNTIF('9月'!BM4:BM34,$B10)+COUNTIF('9月'!BQ4:BQ34,$B10)+COUNTIF('9月'!BR4:BR34,$B10)+COUNTIF('9月'!BV4:BV34,$B10)+COUNTIF('9月'!BW4:BW34,$B10)+COUNTIF('9月'!CA4:CA34,$B10)+COUNTIF('9月'!CB4:CB34,$B10)+COUNTIF('9月'!CF4:CF34,$B10)+COUNTIF('9月'!CG4:CG34,$B10)+COUNTIF('9月'!CK4:CK34,$B10)+COUNTIF('9月'!CL4:CL34,$B10)+COUNTIF('9月'!CP4:CP34,$B10)+COUNTIF('9月'!CQ4:CQ34,$B10)+COUNTIF('9月'!CU4:CU34,$B10)+COUNTIF('9月'!CV4:CV34,$B10)+COUNTIF('9月'!CZ4:CZ34,$B10)+COUNTIF('9月'!DA4:DA34,$B10)+COUNTIF('9月'!DE4:DE34,$B10)+COUNTIF('9月'!DF4:DF34,$B10)+COUNTIF('9月'!DJ4:DJ34,$B10)+COUNTIF('9月'!DK4:DK34,$B10)+COUNTIF('9月'!DO4:DO34,$B10)+COUNTIF('9月'!DP4:DP34,$B10)+COUNTIF('9月'!DT4:DT34,$B10)+COUNTIF('9月'!DU4:DU34,$B10)+COUNTIF('9月'!DY4:DY34,$B10)+COUNTIF('9月'!DZ4:DZ34,$B10)+COUNTIF('9月'!ED4:ED34,$B10)+COUNTIF('9月'!EE4:EE34,$B10)+COUNTIF('9月'!EI4:EI34,$B10)+COUNTIF('9月'!EJ4:EJ34,$B10)+COUNTIF('9月'!EN4:EN34,$B10)+COUNTIF('9月'!EO4:EO34,$B10)+COUNTIF('9月'!ES4:ES34,$B10)+COUNTIF('9月'!ET4:ET34,$B10)),0)</f>
        <v>0</v>
      </c>
      <c r="L10" s="76">
        <f>IFERROR(IF($B10="","",COUNTIF('10月'!D4:D34,$B10)+COUNTIF('10月'!E4:E34,$B10)+COUNTIF('10月'!I4:I34,$B10)+COUNTIF('10月'!J4:J34,$B10)+COUNTIF('10月'!N4:N34,$B10)+COUNTIF('10月'!O4:O34,$B10)+COUNTIF('10月'!S4:S34,$B10)+COUNTIF('10月'!T4:T34,$B10)+COUNTIF('10月'!X4:X34,$B10)+COUNTIF('10月'!Y4:Y34,$B10)+COUNTIF('10月'!AC4:AC34,$B10)+COUNTIF('10月'!AD4:AD34,$B10)+COUNTIF('10月'!AH4:AH34,$B10)+COUNTIF('10月'!AI4:AI34,$B10)+COUNTIF('10月'!AM4:AM34,$B10)+COUNTIF('10月'!AN4:AN34,$B10)+COUNTIF('10月'!AR4:AR34,$B10)+COUNTIF('10月'!AS4:AS34,$B10)+COUNTIF('10月'!AW4:AW34,$B10)+COUNTIF('10月'!AX4:AX34,$B10)+COUNTIF('10月'!BB4:BB34,$B10)+COUNTIF('10月'!BC4:BC34,$B10)+COUNTIF('10月'!BG4:BG34,$B10)+COUNTIF('10月'!BH4:BH34,$B10)+COUNTIF('10月'!BL4:BL34,$B10)+COUNTIF('10月'!BM4:BM34,$B10)+COUNTIF('10月'!BQ4:BQ34,$B10)+COUNTIF('10月'!BR4:BR34,$B10)+COUNTIF('10月'!BV4:BV34,$B10)+COUNTIF('10月'!BW4:BW34,$B10)+COUNTIF('10月'!CA4:CA34,$B10)+COUNTIF('10月'!CB4:CB34,$B10)+COUNTIF('10月'!CF4:CF34,$B10)+COUNTIF('10月'!CG4:CG34,$B10)+COUNTIF('10月'!CK4:CK34,$B10)+COUNTIF('10月'!CL4:CL34,$B10)+COUNTIF('10月'!CP4:CP34,$B10)+COUNTIF('10月'!CQ4:CQ34,$B10)+COUNTIF('10月'!CU4:CU34,$B10)+COUNTIF('10月'!CV4:CV34,$B10)+COUNTIF('10月'!CZ4:CZ34,$B10)+COUNTIF('10月'!DA4:DA34,$B10)+COUNTIF('10月'!DE4:DE34,$B10)+COUNTIF('10月'!DF4:DF34,$B10)+COUNTIF('10月'!DJ4:DJ34,$B10)+COUNTIF('10月'!DK4:DK34,$B10)+COUNTIF('10月'!DO4:DO34,$B10)+COUNTIF('10月'!DP4:DP34,$B10)+COUNTIF('10月'!DT4:DT34,$B10)+COUNTIF('10月'!DU4:DU34,$B10)+COUNTIF('10月'!DY4:DY34,$B10)+COUNTIF('10月'!DZ4:DZ34,$B10)+COUNTIF('10月'!ED4:ED34,$B10)+COUNTIF('10月'!EE4:EE34,$B10)+COUNTIF('10月'!EI4:EI34,$B10)+COUNTIF('10月'!EJ4:EJ34,$B10)+COUNTIF('10月'!EN4:EN34,$B10)+COUNTIF('10月'!EO4:EO34,$B10)+COUNTIF('10月'!ES4:ES34,$B10)+COUNTIF('10月'!ET4:ET34,$B10)),0)</f>
        <v>0</v>
      </c>
      <c r="M10" s="76">
        <f>IFERROR(IF($B10="","",COUNTIF('11月'!D4:D34,$B10)+COUNTIF('11月'!E4:E34,$B10)+COUNTIF('11月'!I4:I34,$B10)+COUNTIF('11月'!J4:J34,$B10)+COUNTIF('11月'!N4:N34,$B10)+COUNTIF('11月'!O4:O34,$B10)+COUNTIF('11月'!S4:S34,$B10)+COUNTIF('11月'!T4:T34,$B10)+COUNTIF('11月'!X4:X34,$B10)+COUNTIF('11月'!Y4:Y34,$B10)+COUNTIF('11月'!AC4:AC34,$B10)+COUNTIF('11月'!AD4:AD34,$B10)+COUNTIF('11月'!AH4:AH34,$B10)+COUNTIF('11月'!AI4:AI34,$B10)+COUNTIF('11月'!AM4:AM34,$B10)+COUNTIF('11月'!AN4:AN34,$B10)+COUNTIF('11月'!AR4:AR34,$B10)+COUNTIF('11月'!AS4:AS34,$B10)+COUNTIF('11月'!AW4:AW34,$B10)+COUNTIF('11月'!AX4:AX34,$B10)+COUNTIF('11月'!BB4:BB34,$B10)+COUNTIF('11月'!BC4:BC34,$B10)+COUNTIF('11月'!BG4:BG34,$B10)+COUNTIF('11月'!BH4:BH34,$B10)+COUNTIF('11月'!BL4:BL34,$B10)+COUNTIF('11月'!BM4:BM34,$B10)+COUNTIF('11月'!BQ4:BQ34,$B10)+COUNTIF('11月'!BR4:BR34,$B10)+COUNTIF('11月'!BV4:BV34,$B10)+COUNTIF('11月'!BW4:BW34,$B10)+COUNTIF('11月'!CA4:CA34,$B10)+COUNTIF('11月'!CB4:CB34,$B10)+COUNTIF('11月'!CF4:CF34,$B10)+COUNTIF('11月'!CG4:CG34,$B10)+COUNTIF('11月'!CK4:CK34,$B10)+COUNTIF('11月'!CL4:CL34,$B10)+COUNTIF('11月'!CP4:CP34,$B10)+COUNTIF('11月'!CQ4:CQ34,$B10)+COUNTIF('11月'!CU4:CU34,$B10)+COUNTIF('11月'!CV4:CV34,$B10)+COUNTIF('11月'!CZ4:CZ34,$B10)+COUNTIF('11月'!DA4:DA34,$B10)+COUNTIF('11月'!DE4:DE34,$B10)+COUNTIF('11月'!DF4:DF34,$B10)+COUNTIF('11月'!DJ4:DJ34,$B10)+COUNTIF('11月'!DK4:DK34,$B10)+COUNTIF('11月'!DO4:DO34,$B10)+COUNTIF('11月'!DP4:DP34,$B10)+COUNTIF('11月'!DT4:DT34,$B10)+COUNTIF('11月'!DU4:DU34,$B10)+COUNTIF('11月'!DY4:DY34,$B10)+COUNTIF('11月'!DZ4:DZ34,$B10)+COUNTIF('11月'!ED4:ED34,$B10)+COUNTIF('11月'!EE4:EE34,$B10)+COUNTIF('11月'!EI4:EI34,$B10)+COUNTIF('11月'!EJ4:EJ34,$B10)+COUNTIF('11月'!EN4:EN34,$B10)+COUNTIF('11月'!EO4:EO34,$B10)+COUNTIF('11月'!ES4:ES34,$B10)+COUNTIF('11月'!ET4:ET34,$B10)),0)</f>
        <v>0</v>
      </c>
      <c r="N10" s="76">
        <f>IFERROR(IF($B10="","",COUNTIF('12月'!D4:D34,$B10)+COUNTIF('12月'!E4:E34,$B10)+COUNTIF('12月'!I4:I34,$B10)+COUNTIF('12月'!J4:J34,$B10)+COUNTIF('12月'!N4:N34,$B10)+COUNTIF('12月'!O4:O34,$B10)+COUNTIF('12月'!S4:S34,$B10)+COUNTIF('12月'!T4:T34,$B10)+COUNTIF('12月'!X4:X34,$B10)+COUNTIF('12月'!Y4:Y34,$B10)+COUNTIF('12月'!AC4:AC34,$B10)+COUNTIF('12月'!AD4:AD34,$B10)+COUNTIF('12月'!AH4:AH34,$B10)+COUNTIF('12月'!AI4:AI34,$B10)+COUNTIF('12月'!AM4:AM34,$B10)+COUNTIF('12月'!AN4:AN34,$B10)+COUNTIF('12月'!AR4:AR34,$B10)+COUNTIF('12月'!AS4:AS34,$B10)+COUNTIF('12月'!AW4:AW34,$B10)+COUNTIF('12月'!AX4:AX34,$B10)+COUNTIF('12月'!BB4:BB34,$B10)+COUNTIF('12月'!BC4:BC34,$B10)+COUNTIF('12月'!BG4:BG34,$B10)+COUNTIF('12月'!BH4:BH34,$B10)+COUNTIF('12月'!BL4:BL34,$B10)+COUNTIF('12月'!BM4:BM34,$B10)+COUNTIF('12月'!BQ4:BQ34,$B10)+COUNTIF('12月'!BR4:BR34,$B10)+COUNTIF('12月'!BV4:BV34,$B10)+COUNTIF('12月'!BW4:BW34,$B10)+COUNTIF('12月'!CA4:CA34,$B10)+COUNTIF('12月'!CB4:CB34,$B10)+COUNTIF('12月'!CF4:CF34,$B10)+COUNTIF('12月'!CG4:CG34,$B10)+COUNTIF('12月'!CK4:CK34,$B10)+COUNTIF('12月'!CL4:CL34,$B10)+COUNTIF('12月'!CP4:CP34,$B10)+COUNTIF('12月'!CQ4:CQ34,$B10)+COUNTIF('12月'!CU4:CU34,$B10)+COUNTIF('12月'!CV4:CV34,$B10)+COUNTIF('12月'!CZ4:CZ34,$B10)+COUNTIF('12月'!DA4:DA34,$B10)+COUNTIF('12月'!DE4:DE34,$B10)+COUNTIF('12月'!DF4:DF34,$B10)+COUNTIF('12月'!DJ4:DJ34,$B10)+COUNTIF('12月'!DK4:DK34,$B10)+COUNTIF('12月'!DO4:DO34,$B10)+COUNTIF('12月'!DP4:DP34,$B10)+COUNTIF('12月'!DT4:DT34,$B10)+COUNTIF('12月'!DU4:DU34,$B10)+COUNTIF('12月'!DY4:DY34,$B10)+COUNTIF('12月'!DZ4:DZ34,$B10)+COUNTIF('12月'!ED4:ED34,$B10)+COUNTIF('12月'!EE4:EE34,$B10)+COUNTIF('12月'!EI4:EI34,$B10)+COUNTIF('12月'!EJ4:EJ34,$B10)+COUNTIF('12月'!EN4:EN34,$B10)+COUNTIF('12月'!EO4:EO34,$B10)+COUNTIF('12月'!ES4:ES34,$B10)+COUNTIF('12月'!ET4:ET34,$B10)),0)</f>
        <v>0</v>
      </c>
      <c r="O10" s="78">
        <f t="shared" si="0"/>
        <v>135</v>
      </c>
    </row>
    <row r="11" spans="1:15" ht="19.5" customHeight="1">
      <c r="A11" s="76">
        <v>9</v>
      </c>
      <c r="B11" s="77" t="str">
        <f>IFERROR(現場マスタ!$C$12,"")</f>
        <v>有給</v>
      </c>
      <c r="C11" s="76">
        <f>IFERROR(IF($B11="","",COUNTIF('1月'!D4:D34,$B11)+COUNTIF('1月'!E4:E34,$B11)+COUNTIF('1月'!I4:I34,$B11)+COUNTIF('1月'!J4:J34,$B11)+COUNTIF('1月'!N4:N34,$B11)+COUNTIF('1月'!O4:O34,$B11)+COUNTIF('1月'!S4:S34,$B11)+COUNTIF('1月'!T4:T34,$B11)+COUNTIF('1月'!X4:X34,$B11)+COUNTIF('1月'!Y4:Y34,$B11)+COUNTIF('1月'!AC4:AC34,$B11)+COUNTIF('1月'!AD4:AD34,$B11)+COUNTIF('1月'!AH4:AH34,$B11)+COUNTIF('1月'!AI4:AI34,$B11)+COUNTIF('1月'!AM4:AM34,$B11)+COUNTIF('1月'!AN4:AN34,$B11)+COUNTIF('1月'!AR4:AR34,$B11)+COUNTIF('1月'!AS4:AS34,$B11)+COUNTIF('1月'!AW4:AW34,$B11)+COUNTIF('1月'!AX4:AX34,$B11)+COUNTIF('1月'!BB4:BB34,$B11)+COUNTIF('1月'!BC4:BC34,$B11)+COUNTIF('1月'!BG4:BG34,$B11)+COUNTIF('1月'!BH4:BH34,$B11)+COUNTIF('1月'!BL4:BL34,$B11)+COUNTIF('1月'!BM4:BM34,$B11)+COUNTIF('1月'!BQ4:BQ34,$B11)+COUNTIF('1月'!BR4:BR34,$B11)+COUNTIF('1月'!BV4:BV34,$B11)+COUNTIF('1月'!BW4:BW34,$B11)+COUNTIF('1月'!CA4:CA34,$B11)+COUNTIF('1月'!CB4:CB34,$B11)+COUNTIF('1月'!CF4:CF34,$B11)+COUNTIF('1月'!CG4:CG34,$B11)+COUNTIF('1月'!CK4:CK34,$B11)+COUNTIF('1月'!CL4:CL34,$B11)+COUNTIF('1月'!CP4:CP34,$B11)+COUNTIF('1月'!CQ4:CQ34,$B11)+COUNTIF('1月'!CU4:CU34,$B11)+COUNTIF('1月'!CV4:CV34,$B11)+COUNTIF('1月'!CZ4:CZ34,$B11)+COUNTIF('1月'!DA4:DA34,$B11)+COUNTIF('1月'!DE4:DE34,$B11)+COUNTIF('1月'!DF4:DF34,$B11)+COUNTIF('1月'!DJ4:DJ34,$B11)+COUNTIF('1月'!DK4:DK34,$B11)+COUNTIF('1月'!DO4:DO34,$B11)+COUNTIF('1月'!DP4:DP34,$B11)+COUNTIF('1月'!DT4:DT34,$B11)+COUNTIF('1月'!DU4:DU34,$B11)+COUNTIF('1月'!DY4:DY34,$B11)+COUNTIF('1月'!DZ4:DZ34,$B11)+COUNTIF('1月'!ED4:ED34,$B11)+COUNTIF('1月'!EE4:EE34,$B11)+COUNTIF('1月'!EI4:EI34,$B11)+COUNTIF('1月'!EJ4:EJ34,$B11)+COUNTIF('1月'!EN4:EN34,$B11)+COUNTIF('1月'!EO4:EO34,$B11)+COUNTIF('1月'!ES4:ES34,$B11)+COUNTIF('1月'!ET4:ET34,$B11)),0)</f>
        <v>3</v>
      </c>
      <c r="D11" s="76">
        <f>IFERROR(IF($B11="","",COUNTIF('2月'!D4:D34,$B11)+COUNTIF('2月'!E4:E34,$B11)+COUNTIF('2月'!I4:I34,$B11)+COUNTIF('2月'!J4:J34,$B11)+COUNTIF('2月'!N4:N34,$B11)+COUNTIF('2月'!O4:O34,$B11)+COUNTIF('2月'!S4:S34,$B11)+COUNTIF('2月'!T4:T34,$B11)+COUNTIF('2月'!X4:X34,$B11)+COUNTIF('2月'!Y4:Y34,$B11)+COUNTIF('2月'!AC4:AC34,$B11)+COUNTIF('2月'!AD4:AD34,$B11)+COUNTIF('2月'!AH4:AH34,$B11)+COUNTIF('2月'!AI4:AI34,$B11)+COUNTIF('2月'!AM4:AM34,$B11)+COUNTIF('2月'!AN4:AN34,$B11)+COUNTIF('2月'!AR4:AR34,$B11)+COUNTIF('2月'!AS4:AS34,$B11)+COUNTIF('2月'!AW4:AW34,$B11)+COUNTIF('2月'!AX4:AX34,$B11)+COUNTIF('2月'!BB4:BB34,$B11)+COUNTIF('2月'!BC4:BC34,$B11)+COUNTIF('2月'!BG4:BG34,$B11)+COUNTIF('2月'!BH4:BH34,$B11)+COUNTIF('2月'!BL4:BL34,$B11)+COUNTIF('2月'!BM4:BM34,$B11)+COUNTIF('2月'!BQ4:BQ34,$B11)+COUNTIF('2月'!BR4:BR34,$B11)+COUNTIF('2月'!BV4:BV34,$B11)+COUNTIF('2月'!BW4:BW34,$B11)+COUNTIF('2月'!CA4:CA34,$B11)+COUNTIF('2月'!CB4:CB34,$B11)+COUNTIF('2月'!CF4:CF34,$B11)+COUNTIF('2月'!CG4:CG34,$B11)+COUNTIF('2月'!CK4:CK34,$B11)+COUNTIF('2月'!CL4:CL34,$B11)+COUNTIF('2月'!CP4:CP34,$B11)+COUNTIF('2月'!CQ4:CQ34,$B11)+COUNTIF('2月'!CU4:CU34,$B11)+COUNTIF('2月'!CV4:CV34,$B11)+COUNTIF('2月'!CZ4:CZ34,$B11)+COUNTIF('2月'!DA4:DA34,$B11)+COUNTIF('2月'!DE4:DE34,$B11)+COUNTIF('2月'!DF4:DF34,$B11)+COUNTIF('2月'!DJ4:DJ34,$B11)+COUNTIF('2月'!DK4:DK34,$B11)+COUNTIF('2月'!DO4:DO34,$B11)+COUNTIF('2月'!DP4:DP34,$B11)+COUNTIF('2月'!DT4:DT34,$B11)+COUNTIF('2月'!DU4:DU34,$B11)+COUNTIF('2月'!DY4:DY34,$B11)+COUNTIF('2月'!DZ4:DZ34,$B11)+COUNTIF('2月'!ED4:ED34,$B11)+COUNTIF('2月'!EE4:EE34,$B11)+COUNTIF('2月'!EI4:EI34,$B11)+COUNTIF('2月'!EJ4:EJ34,$B11)+COUNTIF('2月'!EN4:EN34,$B11)+COUNTIF('2月'!EO4:EO34,$B11)+COUNTIF('2月'!ES4:ES34,$B11)+COUNTIF('2月'!ET4:ET34,$B11)),0)</f>
        <v>15</v>
      </c>
      <c r="E11" s="76">
        <f>IFERROR(IF($B11="","",COUNTIF('3月'!D4:D34,$B11)+COUNTIF('3月'!E4:E34,$B11)+COUNTIF('3月'!I4:I34,$B11)+COUNTIF('3月'!J4:J34,$B11)+COUNTIF('3月'!N4:N34,$B11)+COUNTIF('3月'!O4:O34,$B11)+COUNTIF('3月'!S4:S34,$B11)+COUNTIF('3月'!T4:T34,$B11)+COUNTIF('3月'!X4:X34,$B11)+COUNTIF('3月'!Y4:Y34,$B11)+COUNTIF('3月'!AC4:AC34,$B11)+COUNTIF('3月'!AD4:AD34,$B11)+COUNTIF('3月'!AH4:AH34,$B11)+COUNTIF('3月'!AI4:AI34,$B11)+COUNTIF('3月'!AM4:AM34,$B11)+COUNTIF('3月'!AN4:AN34,$B11)+COUNTIF('3月'!AR4:AR34,$B11)+COUNTIF('3月'!AS4:AS34,$B11)+COUNTIF('3月'!AW4:AW34,$B11)+COUNTIF('3月'!AX4:AX34,$B11)+COUNTIF('3月'!BB4:BB34,$B11)+COUNTIF('3月'!BC4:BC34,$B11)+COUNTIF('3月'!BG4:BG34,$B11)+COUNTIF('3月'!BH4:BH34,$B11)+COUNTIF('3月'!BL4:BL34,$B11)+COUNTIF('3月'!BM4:BM34,$B11)+COUNTIF('3月'!BQ4:BQ34,$B11)+COUNTIF('3月'!BR4:BR34,$B11)+COUNTIF('3月'!BV4:BV34,$B11)+COUNTIF('3月'!BW4:BW34,$B11)+COUNTIF('3月'!CA4:CA34,$B11)+COUNTIF('3月'!CB4:CB34,$B11)+COUNTIF('3月'!CF4:CF34,$B11)+COUNTIF('3月'!CG4:CG34,$B11)+COUNTIF('3月'!CK4:CK34,$B11)+COUNTIF('3月'!CL4:CL34,$B11)+COUNTIF('3月'!CP4:CP34,$B11)+COUNTIF('3月'!CQ4:CQ34,$B11)+COUNTIF('3月'!CU4:CU34,$B11)+COUNTIF('3月'!CV4:CV34,$B11)+COUNTIF('3月'!CZ4:CZ34,$B11)+COUNTIF('3月'!DA4:DA34,$B11)+COUNTIF('3月'!DE4:DE34,$B11)+COUNTIF('3月'!DF4:DF34,$B11)+COUNTIF('3月'!DJ4:DJ34,$B11)+COUNTIF('3月'!DK4:DK34,$B11)+COUNTIF('3月'!DO4:DO34,$B11)+COUNTIF('3月'!DP4:DP34,$B11)+COUNTIF('3月'!DT4:DT34,$B11)+COUNTIF('3月'!DU4:DU34,$B11)+COUNTIF('3月'!DY4:DY34,$B11)+COUNTIF('3月'!DZ4:DZ34,$B11)+COUNTIF('3月'!ED4:ED34,$B11)+COUNTIF('3月'!EE4:EE34,$B11)+COUNTIF('3月'!EI4:EI34,$B11)+COUNTIF('3月'!EJ4:EJ34,$B11)+COUNTIF('3月'!EN4:EN34,$B11)+COUNTIF('3月'!EO4:EO34,$B11)+COUNTIF('3月'!ES4:ES34,$B11)+COUNTIF('3月'!ET4:ET34,$B11)),0)</f>
        <v>11</v>
      </c>
      <c r="F11" s="76">
        <f>IFERROR(IF($B11="","",COUNTIF('4月'!D4:D34,$B11)+COUNTIF('4月'!E4:E34,$B11)+COUNTIF('4月'!I4:I34,$B11)+COUNTIF('4月'!J4:J34,$B11)+COUNTIF('4月'!N4:N34,$B11)+COUNTIF('4月'!O4:O34,$B11)+COUNTIF('4月'!S4:S34,$B11)+COUNTIF('4月'!T4:T34,$B11)+COUNTIF('4月'!X4:X34,$B11)+COUNTIF('4月'!Y4:Y34,$B11)+COUNTIF('4月'!AC4:AC34,$B11)+COUNTIF('4月'!AD4:AD34,$B11)+COUNTIF('4月'!AH4:AH34,$B11)+COUNTIF('4月'!AI4:AI34,$B11)+COUNTIF('4月'!AM4:AM34,$B11)+COUNTIF('4月'!AN4:AN34,$B11)+COUNTIF('4月'!AR4:AR34,$B11)+COUNTIF('4月'!AS4:AS34,$B11)+COUNTIF('4月'!AW4:AW34,$B11)+COUNTIF('4月'!AX4:AX34,$B11)+COUNTIF('4月'!BB4:BB34,$B11)+COUNTIF('4月'!BC4:BC34,$B11)+COUNTIF('4月'!BG4:BG34,$B11)+COUNTIF('4月'!BH4:BH34,$B11)+COUNTIF('4月'!BL4:BL34,$B11)+COUNTIF('4月'!BM4:BM34,$B11)+COUNTIF('4月'!BQ4:BQ34,$B11)+COUNTIF('4月'!BR4:BR34,$B11)+COUNTIF('4月'!BV4:BV34,$B11)+COUNTIF('4月'!BW4:BW34,$B11)+COUNTIF('4月'!CA4:CA34,$B11)+COUNTIF('4月'!CB4:CB34,$B11)+COUNTIF('4月'!CF4:CF34,$B11)+COUNTIF('4月'!CG4:CG34,$B11)+COUNTIF('4月'!CK4:CK34,$B11)+COUNTIF('4月'!CL4:CL34,$B11)+COUNTIF('4月'!CP4:CP34,$B11)+COUNTIF('4月'!CQ4:CQ34,$B11)+COUNTIF('4月'!CU4:CU34,$B11)+COUNTIF('4月'!CV4:CV34,$B11)+COUNTIF('4月'!CZ4:CZ34,$B11)+COUNTIF('4月'!DA4:DA34,$B11)+COUNTIF('4月'!DE4:DE34,$B11)+COUNTIF('4月'!DF4:DF34,$B11)+COUNTIF('4月'!DJ4:DJ34,$B11)+COUNTIF('4月'!DK4:DK34,$B11)+COUNTIF('4月'!DO4:DO34,$B11)+COUNTIF('4月'!DP4:DP34,$B11)+COUNTIF('4月'!DT4:DT34,$B11)+COUNTIF('4月'!DU4:DU34,$B11)+COUNTIF('4月'!DY4:DY34,$B11)+COUNTIF('4月'!DZ4:DZ34,$B11)+COUNTIF('4月'!ED4:ED34,$B11)+COUNTIF('4月'!EE4:EE34,$B11)+COUNTIF('4月'!EI4:EI34,$B11)+COUNTIF('4月'!EJ4:EJ34,$B11)+COUNTIF('4月'!EN4:EN34,$B11)+COUNTIF('4月'!EO4:EO34,$B11)+COUNTIF('4月'!ES4:ES34,$B11)+COUNTIF('4月'!ET4:ET34,$B11)),0)</f>
        <v>0</v>
      </c>
      <c r="G11" s="76">
        <f>IFERROR(IF($B11="","",COUNTIF('5月'!D4:D34,$B11)+COUNTIF('5月'!E4:E34,$B11)+COUNTIF('5月'!I4:I34,$B11)+COUNTIF('5月'!J4:J34,$B11)+COUNTIF('5月'!N4:N34,$B11)+COUNTIF('5月'!O4:O34,$B11)+COUNTIF('5月'!S4:S34,$B11)+COUNTIF('5月'!T4:T34,$B11)+COUNTIF('5月'!X4:X34,$B11)+COUNTIF('5月'!Y4:Y34,$B11)+COUNTIF('5月'!AC4:AC34,$B11)+COUNTIF('5月'!AD4:AD34,$B11)+COUNTIF('5月'!AH4:AH34,$B11)+COUNTIF('5月'!AI4:AI34,$B11)+COUNTIF('5月'!AM4:AM34,$B11)+COUNTIF('5月'!AN4:AN34,$B11)+COUNTIF('5月'!AR4:AR34,$B11)+COUNTIF('5月'!AS4:AS34,$B11)+COUNTIF('5月'!AW4:AW34,$B11)+COUNTIF('5月'!AX4:AX34,$B11)+COUNTIF('5月'!BB4:BB34,$B11)+COUNTIF('5月'!BC4:BC34,$B11)+COUNTIF('5月'!BG4:BG34,$B11)+COUNTIF('5月'!BH4:BH34,$B11)+COUNTIF('5月'!BL4:BL34,$B11)+COUNTIF('5月'!BM4:BM34,$B11)+COUNTIF('5月'!BQ4:BQ34,$B11)+COUNTIF('5月'!BR4:BR34,$B11)+COUNTIF('5月'!BV4:BV34,$B11)+COUNTIF('5月'!BW4:BW34,$B11)+COUNTIF('5月'!CA4:CA34,$B11)+COUNTIF('5月'!CB4:CB34,$B11)+COUNTIF('5月'!CF4:CF34,$B11)+COUNTIF('5月'!CG4:CG34,$B11)+COUNTIF('5月'!CK4:CK34,$B11)+COUNTIF('5月'!CL4:CL34,$B11)+COUNTIF('5月'!CP4:CP34,$B11)+COUNTIF('5月'!CQ4:CQ34,$B11)+COUNTIF('5月'!CU4:CU34,$B11)+COUNTIF('5月'!CV4:CV34,$B11)+COUNTIF('5月'!CZ4:CZ34,$B11)+COUNTIF('5月'!DA4:DA34,$B11)+COUNTIF('5月'!DE4:DE34,$B11)+COUNTIF('5月'!DF4:DF34,$B11)+COUNTIF('5月'!DJ4:DJ34,$B11)+COUNTIF('5月'!DK4:DK34,$B11)+COUNTIF('5月'!DO4:DO34,$B11)+COUNTIF('5月'!DP4:DP34,$B11)+COUNTIF('5月'!DT4:DT34,$B11)+COUNTIF('5月'!DU4:DU34,$B11)+COUNTIF('5月'!DY4:DY34,$B11)+COUNTIF('5月'!DZ4:DZ34,$B11)+COUNTIF('5月'!ED4:ED34,$B11)+COUNTIF('5月'!EE4:EE34,$B11)+COUNTIF('5月'!EI4:EI34,$B11)+COUNTIF('5月'!EJ4:EJ34,$B11)+COUNTIF('5月'!EN4:EN34,$B11)+COUNTIF('5月'!EO4:EO34,$B11)+COUNTIF('5月'!ES4:ES34,$B11)+COUNTIF('5月'!ET4:ET34,$B11)),0)</f>
        <v>0</v>
      </c>
      <c r="H11" s="76">
        <f>IFERROR(IF($B11="","",COUNTIF('6月'!D4:D34,$B11)+COUNTIF('6月'!E4:E34,$B11)+COUNTIF('6月'!I4:I34,$B11)+COUNTIF('6月'!J4:J34,$B11)+COUNTIF('6月'!N4:N34,$B11)+COUNTIF('6月'!O4:O34,$B11)+COUNTIF('6月'!S4:S34,$B11)+COUNTIF('6月'!T4:T34,$B11)+COUNTIF('6月'!X4:X34,$B11)+COUNTIF('6月'!Y4:Y34,$B11)+COUNTIF('6月'!AC4:AC34,$B11)+COUNTIF('6月'!AD4:AD34,$B11)+COUNTIF('6月'!AH4:AH34,$B11)+COUNTIF('6月'!AI4:AI34,$B11)+COUNTIF('6月'!AM4:AM34,$B11)+COUNTIF('6月'!AN4:AN34,$B11)+COUNTIF('6月'!AR4:AR34,$B11)+COUNTIF('6月'!AS4:AS34,$B11)+COUNTIF('6月'!AW4:AW34,$B11)+COUNTIF('6月'!AX4:AX34,$B11)+COUNTIF('6月'!BB4:BB34,$B11)+COUNTIF('6月'!BC4:BC34,$B11)+COUNTIF('6月'!BG4:BG34,$B11)+COUNTIF('6月'!BH4:BH34,$B11)+COUNTIF('6月'!BL4:BL34,$B11)+COUNTIF('6月'!BM4:BM34,$B11)+COUNTIF('6月'!BQ4:BQ34,$B11)+COUNTIF('6月'!BR4:BR34,$B11)+COUNTIF('6月'!BV4:BV34,$B11)+COUNTIF('6月'!BW4:BW34,$B11)+COUNTIF('6月'!CA4:CA34,$B11)+COUNTIF('6月'!CB4:CB34,$B11)+COUNTIF('6月'!CF4:CF34,$B11)+COUNTIF('6月'!CG4:CG34,$B11)+COUNTIF('6月'!CK4:CK34,$B11)+COUNTIF('6月'!CL4:CL34,$B11)+COUNTIF('6月'!CP4:CP34,$B11)+COUNTIF('6月'!CQ4:CQ34,$B11)+COUNTIF('6月'!CU4:CU34,$B11)+COUNTIF('6月'!CV4:CV34,$B11)+COUNTIF('6月'!CZ4:CZ34,$B11)+COUNTIF('6月'!DA4:DA34,$B11)+COUNTIF('6月'!DE4:DE34,$B11)+COUNTIF('6月'!DF4:DF34,$B11)+COUNTIF('6月'!DJ4:DJ34,$B11)+COUNTIF('6月'!DK4:DK34,$B11)+COUNTIF('6月'!DO4:DO34,$B11)+COUNTIF('6月'!DP4:DP34,$B11)+COUNTIF('6月'!DT4:DT34,$B11)+COUNTIF('6月'!DU4:DU34,$B11)+COUNTIF('6月'!DY4:DY34,$B11)+COUNTIF('6月'!DZ4:DZ34,$B11)+COUNTIF('6月'!ED4:ED34,$B11)+COUNTIF('6月'!EE4:EE34,$B11)+COUNTIF('6月'!EI4:EI34,$B11)+COUNTIF('6月'!EJ4:EJ34,$B11)+COUNTIF('6月'!EN4:EN34,$B11)+COUNTIF('6月'!EO4:EO34,$B11)+COUNTIF('6月'!ES4:ES34,$B11)+COUNTIF('6月'!ET4:ET34,$B11)),0)</f>
        <v>0</v>
      </c>
      <c r="I11" s="76">
        <f>IFERROR(IF($B11="","",COUNTIF('7月'!D4:D34,$B11)+COUNTIF('7月'!E4:E34,$B11)+COUNTIF('7月'!I4:I34,$B11)+COUNTIF('7月'!J4:J34,$B11)+COUNTIF('7月'!N4:N34,$B11)+COUNTIF('7月'!O4:O34,$B11)+COUNTIF('7月'!S4:S34,$B11)+COUNTIF('7月'!T4:T34,$B11)+COUNTIF('7月'!X4:X34,$B11)+COUNTIF('7月'!Y4:Y34,$B11)+COUNTIF('7月'!AC4:AC34,$B11)+COUNTIF('7月'!AD4:AD34,$B11)+COUNTIF('7月'!AH4:AH34,$B11)+COUNTIF('7月'!AI4:AI34,$B11)+COUNTIF('7月'!AM4:AM34,$B11)+COUNTIF('7月'!AN4:AN34,$B11)+COUNTIF('7月'!AR4:AR34,$B11)+COUNTIF('7月'!AS4:AS34,$B11)+COUNTIF('7月'!AW4:AW34,$B11)+COUNTIF('7月'!AX4:AX34,$B11)+COUNTIF('7月'!BB4:BB34,$B11)+COUNTIF('7月'!BC4:BC34,$B11)+COUNTIF('7月'!BG4:BG34,$B11)+COUNTIF('7月'!BH4:BH34,$B11)+COUNTIF('7月'!BL4:BL34,$B11)+COUNTIF('7月'!BM4:BM34,$B11)+COUNTIF('7月'!BQ4:BQ34,$B11)+COUNTIF('7月'!BR4:BR34,$B11)+COUNTIF('7月'!BV4:BV34,$B11)+COUNTIF('7月'!BW4:BW34,$B11)+COUNTIF('7月'!CA4:CA34,$B11)+COUNTIF('7月'!CB4:CB34,$B11)+COUNTIF('7月'!CF4:CF34,$B11)+COUNTIF('7月'!CG4:CG34,$B11)+COUNTIF('7月'!CK4:CK34,$B11)+COUNTIF('7月'!CL4:CL34,$B11)+COUNTIF('7月'!CP4:CP34,$B11)+COUNTIF('7月'!CQ4:CQ34,$B11)+COUNTIF('7月'!CU4:CU34,$B11)+COUNTIF('7月'!CV4:CV34,$B11)+COUNTIF('7月'!CZ4:CZ34,$B11)+COUNTIF('7月'!DA4:DA34,$B11)+COUNTIF('7月'!DE4:DE34,$B11)+COUNTIF('7月'!DF4:DF34,$B11)+COUNTIF('7月'!DJ4:DJ34,$B11)+COUNTIF('7月'!DK4:DK34,$B11)+COUNTIF('7月'!DO4:DO34,$B11)+COUNTIF('7月'!DP4:DP34,$B11)+COUNTIF('7月'!DT4:DT34,$B11)+COUNTIF('7月'!DU4:DU34,$B11)+COUNTIF('7月'!DY4:DY34,$B11)+COUNTIF('7月'!DZ4:DZ34,$B11)+COUNTIF('7月'!ED4:ED34,$B11)+COUNTIF('7月'!EE4:EE34,$B11)+COUNTIF('7月'!EI4:EI34,$B11)+COUNTIF('7月'!EJ4:EJ34,$B11)+COUNTIF('7月'!EN4:EN34,$B11)+COUNTIF('7月'!EO4:EO34,$B11)+COUNTIF('7月'!ES4:ES34,$B11)+COUNTIF('7月'!ET4:ET34,$B11)),0)</f>
        <v>0</v>
      </c>
      <c r="J11" s="76">
        <f>IFERROR(IF($B11="","",COUNTIF('8月'!D4:D34,$B11)+COUNTIF('8月'!E4:E34,$B11)+COUNTIF('8月'!I4:I34,$B11)+COUNTIF('8月'!J4:J34,$B11)+COUNTIF('8月'!N4:N34,$B11)+COUNTIF('8月'!O4:O34,$B11)+COUNTIF('8月'!S4:S34,$B11)+COUNTIF('8月'!T4:T34,$B11)+COUNTIF('8月'!X4:X34,$B11)+COUNTIF('8月'!Y4:Y34,$B11)+COUNTIF('8月'!AC4:AC34,$B11)+COUNTIF('8月'!AD4:AD34,$B11)+COUNTIF('8月'!AH4:AH34,$B11)+COUNTIF('8月'!AI4:AI34,$B11)+COUNTIF('8月'!AM4:AM34,$B11)+COUNTIF('8月'!AN4:AN34,$B11)+COUNTIF('8月'!AR4:AR34,$B11)+COUNTIF('8月'!AS4:AS34,$B11)+COUNTIF('8月'!AW4:AW34,$B11)+COUNTIF('8月'!AX4:AX34,$B11)+COUNTIF('8月'!BB4:BB34,$B11)+COUNTIF('8月'!BC4:BC34,$B11)+COUNTIF('8月'!BG4:BG34,$B11)+COUNTIF('8月'!BH4:BH34,$B11)+COUNTIF('8月'!BL4:BL34,$B11)+COUNTIF('8月'!BM4:BM34,$B11)+COUNTIF('8月'!BQ4:BQ34,$B11)+COUNTIF('8月'!BR4:BR34,$B11)+COUNTIF('8月'!BV4:BV34,$B11)+COUNTIF('8月'!BW4:BW34,$B11)+COUNTIF('8月'!CA4:CA34,$B11)+COUNTIF('8月'!CB4:CB34,$B11)+COUNTIF('8月'!CF4:CF34,$B11)+COUNTIF('8月'!CG4:CG34,$B11)+COUNTIF('8月'!CK4:CK34,$B11)+COUNTIF('8月'!CL4:CL34,$B11)+COUNTIF('8月'!CP4:CP34,$B11)+COUNTIF('8月'!CQ4:CQ34,$B11)+COUNTIF('8月'!CU4:CU34,$B11)+COUNTIF('8月'!CV4:CV34,$B11)+COUNTIF('8月'!CZ4:CZ34,$B11)+COUNTIF('8月'!DA4:DA34,$B11)+COUNTIF('8月'!DE4:DE34,$B11)+COUNTIF('8月'!DF4:DF34,$B11)+COUNTIF('8月'!DJ4:DJ34,$B11)+COUNTIF('8月'!DK4:DK34,$B11)+COUNTIF('8月'!DO4:DO34,$B11)+COUNTIF('8月'!DP4:DP34,$B11)+COUNTIF('8月'!DT4:DT34,$B11)+COUNTIF('8月'!DU4:DU34,$B11)+COUNTIF('8月'!DY4:DY34,$B11)+COUNTIF('8月'!DZ4:DZ34,$B11)+COUNTIF('8月'!ED4:ED34,$B11)+COUNTIF('8月'!EE4:EE34,$B11)+COUNTIF('8月'!EI4:EI34,$B11)+COUNTIF('8月'!EJ4:EJ34,$B11)+COUNTIF('8月'!EN4:EN34,$B11)+COUNTIF('8月'!EO4:EO34,$B11)+COUNTIF('8月'!ES4:ES34,$B11)+COUNTIF('8月'!ET4:ET34,$B11)),0)</f>
        <v>0</v>
      </c>
      <c r="K11" s="76">
        <f>IFERROR(IF($B11="","",COUNTIF('9月'!D4:D34,$B11)+COUNTIF('9月'!E4:E34,$B11)+COUNTIF('9月'!I4:I34,$B11)+COUNTIF('9月'!J4:J34,$B11)+COUNTIF('9月'!N4:N34,$B11)+COUNTIF('9月'!O4:O34,$B11)+COUNTIF('9月'!S4:S34,$B11)+COUNTIF('9月'!T4:T34,$B11)+COUNTIF('9月'!X4:X34,$B11)+COUNTIF('9月'!Y4:Y34,$B11)+COUNTIF('9月'!AC4:AC34,$B11)+COUNTIF('9月'!AD4:AD34,$B11)+COUNTIF('9月'!AH4:AH34,$B11)+COUNTIF('9月'!AI4:AI34,$B11)+COUNTIF('9月'!AM4:AM34,$B11)+COUNTIF('9月'!AN4:AN34,$B11)+COUNTIF('9月'!AR4:AR34,$B11)+COUNTIF('9月'!AS4:AS34,$B11)+COUNTIF('9月'!AW4:AW34,$B11)+COUNTIF('9月'!AX4:AX34,$B11)+COUNTIF('9月'!BB4:BB34,$B11)+COUNTIF('9月'!BC4:BC34,$B11)+COUNTIF('9月'!BG4:BG34,$B11)+COUNTIF('9月'!BH4:BH34,$B11)+COUNTIF('9月'!BL4:BL34,$B11)+COUNTIF('9月'!BM4:BM34,$B11)+COUNTIF('9月'!BQ4:BQ34,$B11)+COUNTIF('9月'!BR4:BR34,$B11)+COUNTIF('9月'!BV4:BV34,$B11)+COUNTIF('9月'!BW4:BW34,$B11)+COUNTIF('9月'!CA4:CA34,$B11)+COUNTIF('9月'!CB4:CB34,$B11)+COUNTIF('9月'!CF4:CF34,$B11)+COUNTIF('9月'!CG4:CG34,$B11)+COUNTIF('9月'!CK4:CK34,$B11)+COUNTIF('9月'!CL4:CL34,$B11)+COUNTIF('9月'!CP4:CP34,$B11)+COUNTIF('9月'!CQ4:CQ34,$B11)+COUNTIF('9月'!CU4:CU34,$B11)+COUNTIF('9月'!CV4:CV34,$B11)+COUNTIF('9月'!CZ4:CZ34,$B11)+COUNTIF('9月'!DA4:DA34,$B11)+COUNTIF('9月'!DE4:DE34,$B11)+COUNTIF('9月'!DF4:DF34,$B11)+COUNTIF('9月'!DJ4:DJ34,$B11)+COUNTIF('9月'!DK4:DK34,$B11)+COUNTIF('9月'!DO4:DO34,$B11)+COUNTIF('9月'!DP4:DP34,$B11)+COUNTIF('9月'!DT4:DT34,$B11)+COUNTIF('9月'!DU4:DU34,$B11)+COUNTIF('9月'!DY4:DY34,$B11)+COUNTIF('9月'!DZ4:DZ34,$B11)+COUNTIF('9月'!ED4:ED34,$B11)+COUNTIF('9月'!EE4:EE34,$B11)+COUNTIF('9月'!EI4:EI34,$B11)+COUNTIF('9月'!EJ4:EJ34,$B11)+COUNTIF('9月'!EN4:EN34,$B11)+COUNTIF('9月'!EO4:EO34,$B11)+COUNTIF('9月'!ES4:ES34,$B11)+COUNTIF('9月'!ET4:ET34,$B11)),0)</f>
        <v>0</v>
      </c>
      <c r="L11" s="76">
        <f>IFERROR(IF($B11="","",COUNTIF('10月'!D4:D34,$B11)+COUNTIF('10月'!E4:E34,$B11)+COUNTIF('10月'!I4:I34,$B11)+COUNTIF('10月'!J4:J34,$B11)+COUNTIF('10月'!N4:N34,$B11)+COUNTIF('10月'!O4:O34,$B11)+COUNTIF('10月'!S4:S34,$B11)+COUNTIF('10月'!T4:T34,$B11)+COUNTIF('10月'!X4:X34,$B11)+COUNTIF('10月'!Y4:Y34,$B11)+COUNTIF('10月'!AC4:AC34,$B11)+COUNTIF('10月'!AD4:AD34,$B11)+COUNTIF('10月'!AH4:AH34,$B11)+COUNTIF('10月'!AI4:AI34,$B11)+COUNTIF('10月'!AM4:AM34,$B11)+COUNTIF('10月'!AN4:AN34,$B11)+COUNTIF('10月'!AR4:AR34,$B11)+COUNTIF('10月'!AS4:AS34,$B11)+COUNTIF('10月'!AW4:AW34,$B11)+COUNTIF('10月'!AX4:AX34,$B11)+COUNTIF('10月'!BB4:BB34,$B11)+COUNTIF('10月'!BC4:BC34,$B11)+COUNTIF('10月'!BG4:BG34,$B11)+COUNTIF('10月'!BH4:BH34,$B11)+COUNTIF('10月'!BL4:BL34,$B11)+COUNTIF('10月'!BM4:BM34,$B11)+COUNTIF('10月'!BQ4:BQ34,$B11)+COUNTIF('10月'!BR4:BR34,$B11)+COUNTIF('10月'!BV4:BV34,$B11)+COUNTIF('10月'!BW4:BW34,$B11)+COUNTIF('10月'!CA4:CA34,$B11)+COUNTIF('10月'!CB4:CB34,$B11)+COUNTIF('10月'!CF4:CF34,$B11)+COUNTIF('10月'!CG4:CG34,$B11)+COUNTIF('10月'!CK4:CK34,$B11)+COUNTIF('10月'!CL4:CL34,$B11)+COUNTIF('10月'!CP4:CP34,$B11)+COUNTIF('10月'!CQ4:CQ34,$B11)+COUNTIF('10月'!CU4:CU34,$B11)+COUNTIF('10月'!CV4:CV34,$B11)+COUNTIF('10月'!CZ4:CZ34,$B11)+COUNTIF('10月'!DA4:DA34,$B11)+COUNTIF('10月'!DE4:DE34,$B11)+COUNTIF('10月'!DF4:DF34,$B11)+COUNTIF('10月'!DJ4:DJ34,$B11)+COUNTIF('10月'!DK4:DK34,$B11)+COUNTIF('10月'!DO4:DO34,$B11)+COUNTIF('10月'!DP4:DP34,$B11)+COUNTIF('10月'!DT4:DT34,$B11)+COUNTIF('10月'!DU4:DU34,$B11)+COUNTIF('10月'!DY4:DY34,$B11)+COUNTIF('10月'!DZ4:DZ34,$B11)+COUNTIF('10月'!ED4:ED34,$B11)+COUNTIF('10月'!EE4:EE34,$B11)+COUNTIF('10月'!EI4:EI34,$B11)+COUNTIF('10月'!EJ4:EJ34,$B11)+COUNTIF('10月'!EN4:EN34,$B11)+COUNTIF('10月'!EO4:EO34,$B11)+COUNTIF('10月'!ES4:ES34,$B11)+COUNTIF('10月'!ET4:ET34,$B11)),0)</f>
        <v>0</v>
      </c>
      <c r="M11" s="76">
        <f>IFERROR(IF($B11="","",COUNTIF('11月'!D4:D34,$B11)+COUNTIF('11月'!E4:E34,$B11)+COUNTIF('11月'!I4:I34,$B11)+COUNTIF('11月'!J4:J34,$B11)+COUNTIF('11月'!N4:N34,$B11)+COUNTIF('11月'!O4:O34,$B11)+COUNTIF('11月'!S4:S34,$B11)+COUNTIF('11月'!T4:T34,$B11)+COUNTIF('11月'!X4:X34,$B11)+COUNTIF('11月'!Y4:Y34,$B11)+COUNTIF('11月'!AC4:AC34,$B11)+COUNTIF('11月'!AD4:AD34,$B11)+COUNTIF('11月'!AH4:AH34,$B11)+COUNTIF('11月'!AI4:AI34,$B11)+COUNTIF('11月'!AM4:AM34,$B11)+COUNTIF('11月'!AN4:AN34,$B11)+COUNTIF('11月'!AR4:AR34,$B11)+COUNTIF('11月'!AS4:AS34,$B11)+COUNTIF('11月'!AW4:AW34,$B11)+COUNTIF('11月'!AX4:AX34,$B11)+COUNTIF('11月'!BB4:BB34,$B11)+COUNTIF('11月'!BC4:BC34,$B11)+COUNTIF('11月'!BG4:BG34,$B11)+COUNTIF('11月'!BH4:BH34,$B11)+COUNTIF('11月'!BL4:BL34,$B11)+COUNTIF('11月'!BM4:BM34,$B11)+COUNTIF('11月'!BQ4:BQ34,$B11)+COUNTIF('11月'!BR4:BR34,$B11)+COUNTIF('11月'!BV4:BV34,$B11)+COUNTIF('11月'!BW4:BW34,$B11)+COUNTIF('11月'!CA4:CA34,$B11)+COUNTIF('11月'!CB4:CB34,$B11)+COUNTIF('11月'!CF4:CF34,$B11)+COUNTIF('11月'!CG4:CG34,$B11)+COUNTIF('11月'!CK4:CK34,$B11)+COUNTIF('11月'!CL4:CL34,$B11)+COUNTIF('11月'!CP4:CP34,$B11)+COUNTIF('11月'!CQ4:CQ34,$B11)+COUNTIF('11月'!CU4:CU34,$B11)+COUNTIF('11月'!CV4:CV34,$B11)+COUNTIF('11月'!CZ4:CZ34,$B11)+COUNTIF('11月'!DA4:DA34,$B11)+COUNTIF('11月'!DE4:DE34,$B11)+COUNTIF('11月'!DF4:DF34,$B11)+COUNTIF('11月'!DJ4:DJ34,$B11)+COUNTIF('11月'!DK4:DK34,$B11)+COUNTIF('11月'!DO4:DO34,$B11)+COUNTIF('11月'!DP4:DP34,$B11)+COUNTIF('11月'!DT4:DT34,$B11)+COUNTIF('11月'!DU4:DU34,$B11)+COUNTIF('11月'!DY4:DY34,$B11)+COUNTIF('11月'!DZ4:DZ34,$B11)+COUNTIF('11月'!ED4:ED34,$B11)+COUNTIF('11月'!EE4:EE34,$B11)+COUNTIF('11月'!EI4:EI34,$B11)+COUNTIF('11月'!EJ4:EJ34,$B11)+COUNTIF('11月'!EN4:EN34,$B11)+COUNTIF('11月'!EO4:EO34,$B11)+COUNTIF('11月'!ES4:ES34,$B11)+COUNTIF('11月'!ET4:ET34,$B11)),0)</f>
        <v>0</v>
      </c>
      <c r="N11" s="76">
        <f>IFERROR(IF($B11="","",COUNTIF('12月'!D4:D34,$B11)+COUNTIF('12月'!E4:E34,$B11)+COUNTIF('12月'!I4:I34,$B11)+COUNTIF('12月'!J4:J34,$B11)+COUNTIF('12月'!N4:N34,$B11)+COUNTIF('12月'!O4:O34,$B11)+COUNTIF('12月'!S4:S34,$B11)+COUNTIF('12月'!T4:T34,$B11)+COUNTIF('12月'!X4:X34,$B11)+COUNTIF('12月'!Y4:Y34,$B11)+COUNTIF('12月'!AC4:AC34,$B11)+COUNTIF('12月'!AD4:AD34,$B11)+COUNTIF('12月'!AH4:AH34,$B11)+COUNTIF('12月'!AI4:AI34,$B11)+COUNTIF('12月'!AM4:AM34,$B11)+COUNTIF('12月'!AN4:AN34,$B11)+COUNTIF('12月'!AR4:AR34,$B11)+COUNTIF('12月'!AS4:AS34,$B11)+COUNTIF('12月'!AW4:AW34,$B11)+COUNTIF('12月'!AX4:AX34,$B11)+COUNTIF('12月'!BB4:BB34,$B11)+COUNTIF('12月'!BC4:BC34,$B11)+COUNTIF('12月'!BG4:BG34,$B11)+COUNTIF('12月'!BH4:BH34,$B11)+COUNTIF('12月'!BL4:BL34,$B11)+COUNTIF('12月'!BM4:BM34,$B11)+COUNTIF('12月'!BQ4:BQ34,$B11)+COUNTIF('12月'!BR4:BR34,$B11)+COUNTIF('12月'!BV4:BV34,$B11)+COUNTIF('12月'!BW4:BW34,$B11)+COUNTIF('12月'!CA4:CA34,$B11)+COUNTIF('12月'!CB4:CB34,$B11)+COUNTIF('12月'!CF4:CF34,$B11)+COUNTIF('12月'!CG4:CG34,$B11)+COUNTIF('12月'!CK4:CK34,$B11)+COUNTIF('12月'!CL4:CL34,$B11)+COUNTIF('12月'!CP4:CP34,$B11)+COUNTIF('12月'!CQ4:CQ34,$B11)+COUNTIF('12月'!CU4:CU34,$B11)+COUNTIF('12月'!CV4:CV34,$B11)+COUNTIF('12月'!CZ4:CZ34,$B11)+COUNTIF('12月'!DA4:DA34,$B11)+COUNTIF('12月'!DE4:DE34,$B11)+COUNTIF('12月'!DF4:DF34,$B11)+COUNTIF('12月'!DJ4:DJ34,$B11)+COUNTIF('12月'!DK4:DK34,$B11)+COUNTIF('12月'!DO4:DO34,$B11)+COUNTIF('12月'!DP4:DP34,$B11)+COUNTIF('12月'!DT4:DT34,$B11)+COUNTIF('12月'!DU4:DU34,$B11)+COUNTIF('12月'!DY4:DY34,$B11)+COUNTIF('12月'!DZ4:DZ34,$B11)+COUNTIF('12月'!ED4:ED34,$B11)+COUNTIF('12月'!EE4:EE34,$B11)+COUNTIF('12月'!EI4:EI34,$B11)+COUNTIF('12月'!EJ4:EJ34,$B11)+COUNTIF('12月'!EN4:EN34,$B11)+COUNTIF('12月'!EO4:EO34,$B11)+COUNTIF('12月'!ES4:ES34,$B11)+COUNTIF('12月'!ET4:ET34,$B11)),0)</f>
        <v>0</v>
      </c>
      <c r="O11" s="78">
        <f t="shared" si="0"/>
        <v>29</v>
      </c>
    </row>
    <row r="12" spans="1:15" ht="19.5" customHeight="1">
      <c r="A12" s="76">
        <v>10</v>
      </c>
      <c r="B12" s="77" t="str">
        <f>IFERROR(現場マスタ!$C$13,"")</f>
        <v>休業</v>
      </c>
      <c r="C12" s="76">
        <f>IFERROR(IF($B12="","",COUNTIF('1月'!D4:D34,$B12)+COUNTIF('1月'!E4:E34,$B12)+COUNTIF('1月'!I4:I34,$B12)+COUNTIF('1月'!J4:J34,$B12)+COUNTIF('1月'!N4:N34,$B12)+COUNTIF('1月'!O4:O34,$B12)+COUNTIF('1月'!S4:S34,$B12)+COUNTIF('1月'!T4:T34,$B12)+COUNTIF('1月'!X4:X34,$B12)+COUNTIF('1月'!Y4:Y34,$B12)+COUNTIF('1月'!AC4:AC34,$B12)+COUNTIF('1月'!AD4:AD34,$B12)+COUNTIF('1月'!AH4:AH34,$B12)+COUNTIF('1月'!AI4:AI34,$B12)+COUNTIF('1月'!AM4:AM34,$B12)+COUNTIF('1月'!AN4:AN34,$B12)+COUNTIF('1月'!AR4:AR34,$B12)+COUNTIF('1月'!AS4:AS34,$B12)+COUNTIF('1月'!AW4:AW34,$B12)+COUNTIF('1月'!AX4:AX34,$B12)+COUNTIF('1月'!BB4:BB34,$B12)+COUNTIF('1月'!BC4:BC34,$B12)+COUNTIF('1月'!BG4:BG34,$B12)+COUNTIF('1月'!BH4:BH34,$B12)+COUNTIF('1月'!BL4:BL34,$B12)+COUNTIF('1月'!BM4:BM34,$B12)+COUNTIF('1月'!BQ4:BQ34,$B12)+COUNTIF('1月'!BR4:BR34,$B12)+COUNTIF('1月'!BV4:BV34,$B12)+COUNTIF('1月'!BW4:BW34,$B12)+COUNTIF('1月'!CA4:CA34,$B12)+COUNTIF('1月'!CB4:CB34,$B12)+COUNTIF('1月'!CF4:CF34,$B12)+COUNTIF('1月'!CG4:CG34,$B12)+COUNTIF('1月'!CK4:CK34,$B12)+COUNTIF('1月'!CL4:CL34,$B12)+COUNTIF('1月'!CP4:CP34,$B12)+COUNTIF('1月'!CQ4:CQ34,$B12)+COUNTIF('1月'!CU4:CU34,$B12)+COUNTIF('1月'!CV4:CV34,$B12)+COUNTIF('1月'!CZ4:CZ34,$B12)+COUNTIF('1月'!DA4:DA34,$B12)+COUNTIF('1月'!DE4:DE34,$B12)+COUNTIF('1月'!DF4:DF34,$B12)+COUNTIF('1月'!DJ4:DJ34,$B12)+COUNTIF('1月'!DK4:DK34,$B12)+COUNTIF('1月'!DO4:DO34,$B12)+COUNTIF('1月'!DP4:DP34,$B12)+COUNTIF('1月'!DT4:DT34,$B12)+COUNTIF('1月'!DU4:DU34,$B12)+COUNTIF('1月'!DY4:DY34,$B12)+COUNTIF('1月'!DZ4:DZ34,$B12)+COUNTIF('1月'!ED4:ED34,$B12)+COUNTIF('1月'!EE4:EE34,$B12)+COUNTIF('1月'!EI4:EI34,$B12)+COUNTIF('1月'!EJ4:EJ34,$B12)+COUNTIF('1月'!EN4:EN34,$B12)+COUNTIF('1月'!EO4:EO34,$B12)+COUNTIF('1月'!ES4:ES34,$B12)+COUNTIF('1月'!ET4:ET34,$B12)),0)</f>
        <v>0</v>
      </c>
      <c r="D12" s="76">
        <f>IFERROR(IF($B12="","",COUNTIF('2月'!D4:D34,$B12)+COUNTIF('2月'!E4:E34,$B12)+COUNTIF('2月'!I4:I34,$B12)+COUNTIF('2月'!J4:J34,$B12)+COUNTIF('2月'!N4:N34,$B12)+COUNTIF('2月'!O4:O34,$B12)+COUNTIF('2月'!S4:S34,$B12)+COUNTIF('2月'!T4:T34,$B12)+COUNTIF('2月'!X4:X34,$B12)+COUNTIF('2月'!Y4:Y34,$B12)+COUNTIF('2月'!AC4:AC34,$B12)+COUNTIF('2月'!AD4:AD34,$B12)+COUNTIF('2月'!AH4:AH34,$B12)+COUNTIF('2月'!AI4:AI34,$B12)+COUNTIF('2月'!AM4:AM34,$B12)+COUNTIF('2月'!AN4:AN34,$B12)+COUNTIF('2月'!AR4:AR34,$B12)+COUNTIF('2月'!AS4:AS34,$B12)+COUNTIF('2月'!AW4:AW34,$B12)+COUNTIF('2月'!AX4:AX34,$B12)+COUNTIF('2月'!BB4:BB34,$B12)+COUNTIF('2月'!BC4:BC34,$B12)+COUNTIF('2月'!BG4:BG34,$B12)+COUNTIF('2月'!BH4:BH34,$B12)+COUNTIF('2月'!BL4:BL34,$B12)+COUNTIF('2月'!BM4:BM34,$B12)+COUNTIF('2月'!BQ4:BQ34,$B12)+COUNTIF('2月'!BR4:BR34,$B12)+COUNTIF('2月'!BV4:BV34,$B12)+COUNTIF('2月'!BW4:BW34,$B12)+COUNTIF('2月'!CA4:CA34,$B12)+COUNTIF('2月'!CB4:CB34,$B12)+COUNTIF('2月'!CF4:CF34,$B12)+COUNTIF('2月'!CG4:CG34,$B12)+COUNTIF('2月'!CK4:CK34,$B12)+COUNTIF('2月'!CL4:CL34,$B12)+COUNTIF('2月'!CP4:CP34,$B12)+COUNTIF('2月'!CQ4:CQ34,$B12)+COUNTIF('2月'!CU4:CU34,$B12)+COUNTIF('2月'!CV4:CV34,$B12)+COUNTIF('2月'!CZ4:CZ34,$B12)+COUNTIF('2月'!DA4:DA34,$B12)+COUNTIF('2月'!DE4:DE34,$B12)+COUNTIF('2月'!DF4:DF34,$B12)+COUNTIF('2月'!DJ4:DJ34,$B12)+COUNTIF('2月'!DK4:DK34,$B12)+COUNTIF('2月'!DO4:DO34,$B12)+COUNTIF('2月'!DP4:DP34,$B12)+COUNTIF('2月'!DT4:DT34,$B12)+COUNTIF('2月'!DU4:DU34,$B12)+COUNTIF('2月'!DY4:DY34,$B12)+COUNTIF('2月'!DZ4:DZ34,$B12)+COUNTIF('2月'!ED4:ED34,$B12)+COUNTIF('2月'!EE4:EE34,$B12)+COUNTIF('2月'!EI4:EI34,$B12)+COUNTIF('2月'!EJ4:EJ34,$B12)+COUNTIF('2月'!EN4:EN34,$B12)+COUNTIF('2月'!EO4:EO34,$B12)+COUNTIF('2月'!ES4:ES34,$B12)+COUNTIF('2月'!ET4:ET34,$B12)),0)</f>
        <v>0</v>
      </c>
      <c r="E12" s="76">
        <f>IFERROR(IF($B12="","",COUNTIF('3月'!D4:D34,$B12)+COUNTIF('3月'!E4:E34,$B12)+COUNTIF('3月'!I4:I34,$B12)+COUNTIF('3月'!J4:J34,$B12)+COUNTIF('3月'!N4:N34,$B12)+COUNTIF('3月'!O4:O34,$B12)+COUNTIF('3月'!S4:S34,$B12)+COUNTIF('3月'!T4:T34,$B12)+COUNTIF('3月'!X4:X34,$B12)+COUNTIF('3月'!Y4:Y34,$B12)+COUNTIF('3月'!AC4:AC34,$B12)+COUNTIF('3月'!AD4:AD34,$B12)+COUNTIF('3月'!AH4:AH34,$B12)+COUNTIF('3月'!AI4:AI34,$B12)+COUNTIF('3月'!AM4:AM34,$B12)+COUNTIF('3月'!AN4:AN34,$B12)+COUNTIF('3月'!AR4:AR34,$B12)+COUNTIF('3月'!AS4:AS34,$B12)+COUNTIF('3月'!AW4:AW34,$B12)+COUNTIF('3月'!AX4:AX34,$B12)+COUNTIF('3月'!BB4:BB34,$B12)+COUNTIF('3月'!BC4:BC34,$B12)+COUNTIF('3月'!BG4:BG34,$B12)+COUNTIF('3月'!BH4:BH34,$B12)+COUNTIF('3月'!BL4:BL34,$B12)+COUNTIF('3月'!BM4:BM34,$B12)+COUNTIF('3月'!BQ4:BQ34,$B12)+COUNTIF('3月'!BR4:BR34,$B12)+COUNTIF('3月'!BV4:BV34,$B12)+COUNTIF('3月'!BW4:BW34,$B12)+COUNTIF('3月'!CA4:CA34,$B12)+COUNTIF('3月'!CB4:CB34,$B12)+COUNTIF('3月'!CF4:CF34,$B12)+COUNTIF('3月'!CG4:CG34,$B12)+COUNTIF('3月'!CK4:CK34,$B12)+COUNTIF('3月'!CL4:CL34,$B12)+COUNTIF('3月'!CP4:CP34,$B12)+COUNTIF('3月'!CQ4:CQ34,$B12)+COUNTIF('3月'!CU4:CU34,$B12)+COUNTIF('3月'!CV4:CV34,$B12)+COUNTIF('3月'!CZ4:CZ34,$B12)+COUNTIF('3月'!DA4:DA34,$B12)+COUNTIF('3月'!DE4:DE34,$B12)+COUNTIF('3月'!DF4:DF34,$B12)+COUNTIF('3月'!DJ4:DJ34,$B12)+COUNTIF('3月'!DK4:DK34,$B12)+COUNTIF('3月'!DO4:DO34,$B12)+COUNTIF('3月'!DP4:DP34,$B12)+COUNTIF('3月'!DT4:DT34,$B12)+COUNTIF('3月'!DU4:DU34,$B12)+COUNTIF('3月'!DY4:DY34,$B12)+COUNTIF('3月'!DZ4:DZ34,$B12)+COUNTIF('3月'!ED4:ED34,$B12)+COUNTIF('3月'!EE4:EE34,$B12)+COUNTIF('3月'!EI4:EI34,$B12)+COUNTIF('3月'!EJ4:EJ34,$B12)+COUNTIF('3月'!EN4:EN34,$B12)+COUNTIF('3月'!EO4:EO34,$B12)+COUNTIF('3月'!ES4:ES34,$B12)+COUNTIF('3月'!ET4:ET34,$B12)),0)</f>
        <v>0</v>
      </c>
      <c r="F12" s="76">
        <f>IFERROR(IF($B12="","",COUNTIF('4月'!D4:D34,$B12)+COUNTIF('4月'!E4:E34,$B12)+COUNTIF('4月'!I4:I34,$B12)+COUNTIF('4月'!J4:J34,$B12)+COUNTIF('4月'!N4:N34,$B12)+COUNTIF('4月'!O4:O34,$B12)+COUNTIF('4月'!S4:S34,$B12)+COUNTIF('4月'!T4:T34,$B12)+COUNTIF('4月'!X4:X34,$B12)+COUNTIF('4月'!Y4:Y34,$B12)+COUNTIF('4月'!AC4:AC34,$B12)+COUNTIF('4月'!AD4:AD34,$B12)+COUNTIF('4月'!AH4:AH34,$B12)+COUNTIF('4月'!AI4:AI34,$B12)+COUNTIF('4月'!AM4:AM34,$B12)+COUNTIF('4月'!AN4:AN34,$B12)+COUNTIF('4月'!AR4:AR34,$B12)+COUNTIF('4月'!AS4:AS34,$B12)+COUNTIF('4月'!AW4:AW34,$B12)+COUNTIF('4月'!AX4:AX34,$B12)+COUNTIF('4月'!BB4:BB34,$B12)+COUNTIF('4月'!BC4:BC34,$B12)+COUNTIF('4月'!BG4:BG34,$B12)+COUNTIF('4月'!BH4:BH34,$B12)+COUNTIF('4月'!BL4:BL34,$B12)+COUNTIF('4月'!BM4:BM34,$B12)+COUNTIF('4月'!BQ4:BQ34,$B12)+COUNTIF('4月'!BR4:BR34,$B12)+COUNTIF('4月'!BV4:BV34,$B12)+COUNTIF('4月'!BW4:BW34,$B12)+COUNTIF('4月'!CA4:CA34,$B12)+COUNTIF('4月'!CB4:CB34,$B12)+COUNTIF('4月'!CF4:CF34,$B12)+COUNTIF('4月'!CG4:CG34,$B12)+COUNTIF('4月'!CK4:CK34,$B12)+COUNTIF('4月'!CL4:CL34,$B12)+COUNTIF('4月'!CP4:CP34,$B12)+COUNTIF('4月'!CQ4:CQ34,$B12)+COUNTIF('4月'!CU4:CU34,$B12)+COUNTIF('4月'!CV4:CV34,$B12)+COUNTIF('4月'!CZ4:CZ34,$B12)+COUNTIF('4月'!DA4:DA34,$B12)+COUNTIF('4月'!DE4:DE34,$B12)+COUNTIF('4月'!DF4:DF34,$B12)+COUNTIF('4月'!DJ4:DJ34,$B12)+COUNTIF('4月'!DK4:DK34,$B12)+COUNTIF('4月'!DO4:DO34,$B12)+COUNTIF('4月'!DP4:DP34,$B12)+COUNTIF('4月'!DT4:DT34,$B12)+COUNTIF('4月'!DU4:DU34,$B12)+COUNTIF('4月'!DY4:DY34,$B12)+COUNTIF('4月'!DZ4:DZ34,$B12)+COUNTIF('4月'!ED4:ED34,$B12)+COUNTIF('4月'!EE4:EE34,$B12)+COUNTIF('4月'!EI4:EI34,$B12)+COUNTIF('4月'!EJ4:EJ34,$B12)+COUNTIF('4月'!EN4:EN34,$B12)+COUNTIF('4月'!EO4:EO34,$B12)+COUNTIF('4月'!ES4:ES34,$B12)+COUNTIF('4月'!ET4:ET34,$B12)),0)</f>
        <v>0</v>
      </c>
      <c r="G12" s="76">
        <f>IFERROR(IF($B12="","",COUNTIF('5月'!D4:D34,$B12)+COUNTIF('5月'!E4:E34,$B12)+COUNTIF('5月'!I4:I34,$B12)+COUNTIF('5月'!J4:J34,$B12)+COUNTIF('5月'!N4:N34,$B12)+COUNTIF('5月'!O4:O34,$B12)+COUNTIF('5月'!S4:S34,$B12)+COUNTIF('5月'!T4:T34,$B12)+COUNTIF('5月'!X4:X34,$B12)+COUNTIF('5月'!Y4:Y34,$B12)+COUNTIF('5月'!AC4:AC34,$B12)+COUNTIF('5月'!AD4:AD34,$B12)+COUNTIF('5月'!AH4:AH34,$B12)+COUNTIF('5月'!AI4:AI34,$B12)+COUNTIF('5月'!AM4:AM34,$B12)+COUNTIF('5月'!AN4:AN34,$B12)+COUNTIF('5月'!AR4:AR34,$B12)+COUNTIF('5月'!AS4:AS34,$B12)+COUNTIF('5月'!AW4:AW34,$B12)+COUNTIF('5月'!AX4:AX34,$B12)+COUNTIF('5月'!BB4:BB34,$B12)+COUNTIF('5月'!BC4:BC34,$B12)+COUNTIF('5月'!BG4:BG34,$B12)+COUNTIF('5月'!BH4:BH34,$B12)+COUNTIF('5月'!BL4:BL34,$B12)+COUNTIF('5月'!BM4:BM34,$B12)+COUNTIF('5月'!BQ4:BQ34,$B12)+COUNTIF('5月'!BR4:BR34,$B12)+COUNTIF('5月'!BV4:BV34,$B12)+COUNTIF('5月'!BW4:BW34,$B12)+COUNTIF('5月'!CA4:CA34,$B12)+COUNTIF('5月'!CB4:CB34,$B12)+COUNTIF('5月'!CF4:CF34,$B12)+COUNTIF('5月'!CG4:CG34,$B12)+COUNTIF('5月'!CK4:CK34,$B12)+COUNTIF('5月'!CL4:CL34,$B12)+COUNTIF('5月'!CP4:CP34,$B12)+COUNTIF('5月'!CQ4:CQ34,$B12)+COUNTIF('5月'!CU4:CU34,$B12)+COUNTIF('5月'!CV4:CV34,$B12)+COUNTIF('5月'!CZ4:CZ34,$B12)+COUNTIF('5月'!DA4:DA34,$B12)+COUNTIF('5月'!DE4:DE34,$B12)+COUNTIF('5月'!DF4:DF34,$B12)+COUNTIF('5月'!DJ4:DJ34,$B12)+COUNTIF('5月'!DK4:DK34,$B12)+COUNTIF('5月'!DO4:DO34,$B12)+COUNTIF('5月'!DP4:DP34,$B12)+COUNTIF('5月'!DT4:DT34,$B12)+COUNTIF('5月'!DU4:DU34,$B12)+COUNTIF('5月'!DY4:DY34,$B12)+COUNTIF('5月'!DZ4:DZ34,$B12)+COUNTIF('5月'!ED4:ED34,$B12)+COUNTIF('5月'!EE4:EE34,$B12)+COUNTIF('5月'!EI4:EI34,$B12)+COUNTIF('5月'!EJ4:EJ34,$B12)+COUNTIF('5月'!EN4:EN34,$B12)+COUNTIF('5月'!EO4:EO34,$B12)+COUNTIF('5月'!ES4:ES34,$B12)+COUNTIF('5月'!ET4:ET34,$B12)),0)</f>
        <v>0</v>
      </c>
      <c r="H12" s="76">
        <f>IFERROR(IF($B12="","",COUNTIF('6月'!D4:D34,$B12)+COUNTIF('6月'!E4:E34,$B12)+COUNTIF('6月'!I4:I34,$B12)+COUNTIF('6月'!J4:J34,$B12)+COUNTIF('6月'!N4:N34,$B12)+COUNTIF('6月'!O4:O34,$B12)+COUNTIF('6月'!S4:S34,$B12)+COUNTIF('6月'!T4:T34,$B12)+COUNTIF('6月'!X4:X34,$B12)+COUNTIF('6月'!Y4:Y34,$B12)+COUNTIF('6月'!AC4:AC34,$B12)+COUNTIF('6月'!AD4:AD34,$B12)+COUNTIF('6月'!AH4:AH34,$B12)+COUNTIF('6月'!AI4:AI34,$B12)+COUNTIF('6月'!AM4:AM34,$B12)+COUNTIF('6月'!AN4:AN34,$B12)+COUNTIF('6月'!AR4:AR34,$B12)+COUNTIF('6月'!AS4:AS34,$B12)+COUNTIF('6月'!AW4:AW34,$B12)+COUNTIF('6月'!AX4:AX34,$B12)+COUNTIF('6月'!BB4:BB34,$B12)+COUNTIF('6月'!BC4:BC34,$B12)+COUNTIF('6月'!BG4:BG34,$B12)+COUNTIF('6月'!BH4:BH34,$B12)+COUNTIF('6月'!BL4:BL34,$B12)+COUNTIF('6月'!BM4:BM34,$B12)+COUNTIF('6月'!BQ4:BQ34,$B12)+COUNTIF('6月'!BR4:BR34,$B12)+COUNTIF('6月'!BV4:BV34,$B12)+COUNTIF('6月'!BW4:BW34,$B12)+COUNTIF('6月'!CA4:CA34,$B12)+COUNTIF('6月'!CB4:CB34,$B12)+COUNTIF('6月'!CF4:CF34,$B12)+COUNTIF('6月'!CG4:CG34,$B12)+COUNTIF('6月'!CK4:CK34,$B12)+COUNTIF('6月'!CL4:CL34,$B12)+COUNTIF('6月'!CP4:CP34,$B12)+COUNTIF('6月'!CQ4:CQ34,$B12)+COUNTIF('6月'!CU4:CU34,$B12)+COUNTIF('6月'!CV4:CV34,$B12)+COUNTIF('6月'!CZ4:CZ34,$B12)+COUNTIF('6月'!DA4:DA34,$B12)+COUNTIF('6月'!DE4:DE34,$B12)+COUNTIF('6月'!DF4:DF34,$B12)+COUNTIF('6月'!DJ4:DJ34,$B12)+COUNTIF('6月'!DK4:DK34,$B12)+COUNTIF('6月'!DO4:DO34,$B12)+COUNTIF('6月'!DP4:DP34,$B12)+COUNTIF('6月'!DT4:DT34,$B12)+COUNTIF('6月'!DU4:DU34,$B12)+COUNTIF('6月'!DY4:DY34,$B12)+COUNTIF('6月'!DZ4:DZ34,$B12)+COUNTIF('6月'!ED4:ED34,$B12)+COUNTIF('6月'!EE4:EE34,$B12)+COUNTIF('6月'!EI4:EI34,$B12)+COUNTIF('6月'!EJ4:EJ34,$B12)+COUNTIF('6月'!EN4:EN34,$B12)+COUNTIF('6月'!EO4:EO34,$B12)+COUNTIF('6月'!ES4:ES34,$B12)+COUNTIF('6月'!ET4:ET34,$B12)),0)</f>
        <v>0</v>
      </c>
      <c r="I12" s="76">
        <f>IFERROR(IF($B12="","",COUNTIF('7月'!D4:D34,$B12)+COUNTIF('7月'!E4:E34,$B12)+COUNTIF('7月'!I4:I34,$B12)+COUNTIF('7月'!J4:J34,$B12)+COUNTIF('7月'!N4:N34,$B12)+COUNTIF('7月'!O4:O34,$B12)+COUNTIF('7月'!S4:S34,$B12)+COUNTIF('7月'!T4:T34,$B12)+COUNTIF('7月'!X4:X34,$B12)+COUNTIF('7月'!Y4:Y34,$B12)+COUNTIF('7月'!AC4:AC34,$B12)+COUNTIF('7月'!AD4:AD34,$B12)+COUNTIF('7月'!AH4:AH34,$B12)+COUNTIF('7月'!AI4:AI34,$B12)+COUNTIF('7月'!AM4:AM34,$B12)+COUNTIF('7月'!AN4:AN34,$B12)+COUNTIF('7月'!AR4:AR34,$B12)+COUNTIF('7月'!AS4:AS34,$B12)+COUNTIF('7月'!AW4:AW34,$B12)+COUNTIF('7月'!AX4:AX34,$B12)+COUNTIF('7月'!BB4:BB34,$B12)+COUNTIF('7月'!BC4:BC34,$B12)+COUNTIF('7月'!BG4:BG34,$B12)+COUNTIF('7月'!BH4:BH34,$B12)+COUNTIF('7月'!BL4:BL34,$B12)+COUNTIF('7月'!BM4:BM34,$B12)+COUNTIF('7月'!BQ4:BQ34,$B12)+COUNTIF('7月'!BR4:BR34,$B12)+COUNTIF('7月'!BV4:BV34,$B12)+COUNTIF('7月'!BW4:BW34,$B12)+COUNTIF('7月'!CA4:CA34,$B12)+COUNTIF('7月'!CB4:CB34,$B12)+COUNTIF('7月'!CF4:CF34,$B12)+COUNTIF('7月'!CG4:CG34,$B12)+COUNTIF('7月'!CK4:CK34,$B12)+COUNTIF('7月'!CL4:CL34,$B12)+COUNTIF('7月'!CP4:CP34,$B12)+COUNTIF('7月'!CQ4:CQ34,$B12)+COUNTIF('7月'!CU4:CU34,$B12)+COUNTIF('7月'!CV4:CV34,$B12)+COUNTIF('7月'!CZ4:CZ34,$B12)+COUNTIF('7月'!DA4:DA34,$B12)+COUNTIF('7月'!DE4:DE34,$B12)+COUNTIF('7月'!DF4:DF34,$B12)+COUNTIF('7月'!DJ4:DJ34,$B12)+COUNTIF('7月'!DK4:DK34,$B12)+COUNTIF('7月'!DO4:DO34,$B12)+COUNTIF('7月'!DP4:DP34,$B12)+COUNTIF('7月'!DT4:DT34,$B12)+COUNTIF('7月'!DU4:DU34,$B12)+COUNTIF('7月'!DY4:DY34,$B12)+COUNTIF('7月'!DZ4:DZ34,$B12)+COUNTIF('7月'!ED4:ED34,$B12)+COUNTIF('7月'!EE4:EE34,$B12)+COUNTIF('7月'!EI4:EI34,$B12)+COUNTIF('7月'!EJ4:EJ34,$B12)+COUNTIF('7月'!EN4:EN34,$B12)+COUNTIF('7月'!EO4:EO34,$B12)+COUNTIF('7月'!ES4:ES34,$B12)+COUNTIF('7月'!ET4:ET34,$B12)),0)</f>
        <v>0</v>
      </c>
      <c r="J12" s="76">
        <f>IFERROR(IF($B12="","",COUNTIF('8月'!D4:D34,$B12)+COUNTIF('8月'!E4:E34,$B12)+COUNTIF('8月'!I4:I34,$B12)+COUNTIF('8月'!J4:J34,$B12)+COUNTIF('8月'!N4:N34,$B12)+COUNTIF('8月'!O4:O34,$B12)+COUNTIF('8月'!S4:S34,$B12)+COUNTIF('8月'!T4:T34,$B12)+COUNTIF('8月'!X4:X34,$B12)+COUNTIF('8月'!Y4:Y34,$B12)+COUNTIF('8月'!AC4:AC34,$B12)+COUNTIF('8月'!AD4:AD34,$B12)+COUNTIF('8月'!AH4:AH34,$B12)+COUNTIF('8月'!AI4:AI34,$B12)+COUNTIF('8月'!AM4:AM34,$B12)+COUNTIF('8月'!AN4:AN34,$B12)+COUNTIF('8月'!AR4:AR34,$B12)+COUNTIF('8月'!AS4:AS34,$B12)+COUNTIF('8月'!AW4:AW34,$B12)+COUNTIF('8月'!AX4:AX34,$B12)+COUNTIF('8月'!BB4:BB34,$B12)+COUNTIF('8月'!BC4:BC34,$B12)+COUNTIF('8月'!BG4:BG34,$B12)+COUNTIF('8月'!BH4:BH34,$B12)+COUNTIF('8月'!BL4:BL34,$B12)+COUNTIF('8月'!BM4:BM34,$B12)+COUNTIF('8月'!BQ4:BQ34,$B12)+COUNTIF('8月'!BR4:BR34,$B12)+COUNTIF('8月'!BV4:BV34,$B12)+COUNTIF('8月'!BW4:BW34,$B12)+COUNTIF('8月'!CA4:CA34,$B12)+COUNTIF('8月'!CB4:CB34,$B12)+COUNTIF('8月'!CF4:CF34,$B12)+COUNTIF('8月'!CG4:CG34,$B12)+COUNTIF('8月'!CK4:CK34,$B12)+COUNTIF('8月'!CL4:CL34,$B12)+COUNTIF('8月'!CP4:CP34,$B12)+COUNTIF('8月'!CQ4:CQ34,$B12)+COUNTIF('8月'!CU4:CU34,$B12)+COUNTIF('8月'!CV4:CV34,$B12)+COUNTIF('8月'!CZ4:CZ34,$B12)+COUNTIF('8月'!DA4:DA34,$B12)+COUNTIF('8月'!DE4:DE34,$B12)+COUNTIF('8月'!DF4:DF34,$B12)+COUNTIF('8月'!DJ4:DJ34,$B12)+COUNTIF('8月'!DK4:DK34,$B12)+COUNTIF('8月'!DO4:DO34,$B12)+COUNTIF('8月'!DP4:DP34,$B12)+COUNTIF('8月'!DT4:DT34,$B12)+COUNTIF('8月'!DU4:DU34,$B12)+COUNTIF('8月'!DY4:DY34,$B12)+COUNTIF('8月'!DZ4:DZ34,$B12)+COUNTIF('8月'!ED4:ED34,$B12)+COUNTIF('8月'!EE4:EE34,$B12)+COUNTIF('8月'!EI4:EI34,$B12)+COUNTIF('8月'!EJ4:EJ34,$B12)+COUNTIF('8月'!EN4:EN34,$B12)+COUNTIF('8月'!EO4:EO34,$B12)+COUNTIF('8月'!ES4:ES34,$B12)+COUNTIF('8月'!ET4:ET34,$B12)),0)</f>
        <v>0</v>
      </c>
      <c r="K12" s="76">
        <f>IFERROR(IF($B12="","",COUNTIF('9月'!D4:D34,$B12)+COUNTIF('9月'!E4:E34,$B12)+COUNTIF('9月'!I4:I34,$B12)+COUNTIF('9月'!J4:J34,$B12)+COUNTIF('9月'!N4:N34,$B12)+COUNTIF('9月'!O4:O34,$B12)+COUNTIF('9月'!S4:S34,$B12)+COUNTIF('9月'!T4:T34,$B12)+COUNTIF('9月'!X4:X34,$B12)+COUNTIF('9月'!Y4:Y34,$B12)+COUNTIF('9月'!AC4:AC34,$B12)+COUNTIF('9月'!AD4:AD34,$B12)+COUNTIF('9月'!AH4:AH34,$B12)+COUNTIF('9月'!AI4:AI34,$B12)+COUNTIF('9月'!AM4:AM34,$B12)+COUNTIF('9月'!AN4:AN34,$B12)+COUNTIF('9月'!AR4:AR34,$B12)+COUNTIF('9月'!AS4:AS34,$B12)+COUNTIF('9月'!AW4:AW34,$B12)+COUNTIF('9月'!AX4:AX34,$B12)+COUNTIF('9月'!BB4:BB34,$B12)+COUNTIF('9月'!BC4:BC34,$B12)+COUNTIF('9月'!BG4:BG34,$B12)+COUNTIF('9月'!BH4:BH34,$B12)+COUNTIF('9月'!BL4:BL34,$B12)+COUNTIF('9月'!BM4:BM34,$B12)+COUNTIF('9月'!BQ4:BQ34,$B12)+COUNTIF('9月'!BR4:BR34,$B12)+COUNTIF('9月'!BV4:BV34,$B12)+COUNTIF('9月'!BW4:BW34,$B12)+COUNTIF('9月'!CA4:CA34,$B12)+COUNTIF('9月'!CB4:CB34,$B12)+COUNTIF('9月'!CF4:CF34,$B12)+COUNTIF('9月'!CG4:CG34,$B12)+COUNTIF('9月'!CK4:CK34,$B12)+COUNTIF('9月'!CL4:CL34,$B12)+COUNTIF('9月'!CP4:CP34,$B12)+COUNTIF('9月'!CQ4:CQ34,$B12)+COUNTIF('9月'!CU4:CU34,$B12)+COUNTIF('9月'!CV4:CV34,$B12)+COUNTIF('9月'!CZ4:CZ34,$B12)+COUNTIF('9月'!DA4:DA34,$B12)+COUNTIF('9月'!DE4:DE34,$B12)+COUNTIF('9月'!DF4:DF34,$B12)+COUNTIF('9月'!DJ4:DJ34,$B12)+COUNTIF('9月'!DK4:DK34,$B12)+COUNTIF('9月'!DO4:DO34,$B12)+COUNTIF('9月'!DP4:DP34,$B12)+COUNTIF('9月'!DT4:DT34,$B12)+COUNTIF('9月'!DU4:DU34,$B12)+COUNTIF('9月'!DY4:DY34,$B12)+COUNTIF('9月'!DZ4:DZ34,$B12)+COUNTIF('9月'!ED4:ED34,$B12)+COUNTIF('9月'!EE4:EE34,$B12)+COUNTIF('9月'!EI4:EI34,$B12)+COUNTIF('9月'!EJ4:EJ34,$B12)+COUNTIF('9月'!EN4:EN34,$B12)+COUNTIF('9月'!EO4:EO34,$B12)+COUNTIF('9月'!ES4:ES34,$B12)+COUNTIF('9月'!ET4:ET34,$B12)),0)</f>
        <v>0</v>
      </c>
      <c r="L12" s="76">
        <f>IFERROR(IF($B12="","",COUNTIF('10月'!D4:D34,$B12)+COUNTIF('10月'!E4:E34,$B12)+COUNTIF('10月'!I4:I34,$B12)+COUNTIF('10月'!J4:J34,$B12)+COUNTIF('10月'!N4:N34,$B12)+COUNTIF('10月'!O4:O34,$B12)+COUNTIF('10月'!S4:S34,$B12)+COUNTIF('10月'!T4:T34,$B12)+COUNTIF('10月'!X4:X34,$B12)+COUNTIF('10月'!Y4:Y34,$B12)+COUNTIF('10月'!AC4:AC34,$B12)+COUNTIF('10月'!AD4:AD34,$B12)+COUNTIF('10月'!AH4:AH34,$B12)+COUNTIF('10月'!AI4:AI34,$B12)+COUNTIF('10月'!AM4:AM34,$B12)+COUNTIF('10月'!AN4:AN34,$B12)+COUNTIF('10月'!AR4:AR34,$B12)+COUNTIF('10月'!AS4:AS34,$B12)+COUNTIF('10月'!AW4:AW34,$B12)+COUNTIF('10月'!AX4:AX34,$B12)+COUNTIF('10月'!BB4:BB34,$B12)+COUNTIF('10月'!BC4:BC34,$B12)+COUNTIF('10月'!BG4:BG34,$B12)+COUNTIF('10月'!BH4:BH34,$B12)+COUNTIF('10月'!BL4:BL34,$B12)+COUNTIF('10月'!BM4:BM34,$B12)+COUNTIF('10月'!BQ4:BQ34,$B12)+COUNTIF('10月'!BR4:BR34,$B12)+COUNTIF('10月'!BV4:BV34,$B12)+COUNTIF('10月'!BW4:BW34,$B12)+COUNTIF('10月'!CA4:CA34,$B12)+COUNTIF('10月'!CB4:CB34,$B12)+COUNTIF('10月'!CF4:CF34,$B12)+COUNTIF('10月'!CG4:CG34,$B12)+COUNTIF('10月'!CK4:CK34,$B12)+COUNTIF('10月'!CL4:CL34,$B12)+COUNTIF('10月'!CP4:CP34,$B12)+COUNTIF('10月'!CQ4:CQ34,$B12)+COUNTIF('10月'!CU4:CU34,$B12)+COUNTIF('10月'!CV4:CV34,$B12)+COUNTIF('10月'!CZ4:CZ34,$B12)+COUNTIF('10月'!DA4:DA34,$B12)+COUNTIF('10月'!DE4:DE34,$B12)+COUNTIF('10月'!DF4:DF34,$B12)+COUNTIF('10月'!DJ4:DJ34,$B12)+COUNTIF('10月'!DK4:DK34,$B12)+COUNTIF('10月'!DO4:DO34,$B12)+COUNTIF('10月'!DP4:DP34,$B12)+COUNTIF('10月'!DT4:DT34,$B12)+COUNTIF('10月'!DU4:DU34,$B12)+COUNTIF('10月'!DY4:DY34,$B12)+COUNTIF('10月'!DZ4:DZ34,$B12)+COUNTIF('10月'!ED4:ED34,$B12)+COUNTIF('10月'!EE4:EE34,$B12)+COUNTIF('10月'!EI4:EI34,$B12)+COUNTIF('10月'!EJ4:EJ34,$B12)+COUNTIF('10月'!EN4:EN34,$B12)+COUNTIF('10月'!EO4:EO34,$B12)+COUNTIF('10月'!ES4:ES34,$B12)+COUNTIF('10月'!ET4:ET34,$B12)),0)</f>
        <v>0</v>
      </c>
      <c r="M12" s="76">
        <f>IFERROR(IF($B12="","",COUNTIF('11月'!D4:D34,$B12)+COUNTIF('11月'!E4:E34,$B12)+COUNTIF('11月'!I4:I34,$B12)+COUNTIF('11月'!J4:J34,$B12)+COUNTIF('11月'!N4:N34,$B12)+COUNTIF('11月'!O4:O34,$B12)+COUNTIF('11月'!S4:S34,$B12)+COUNTIF('11月'!T4:T34,$B12)+COUNTIF('11月'!X4:X34,$B12)+COUNTIF('11月'!Y4:Y34,$B12)+COUNTIF('11月'!AC4:AC34,$B12)+COUNTIF('11月'!AD4:AD34,$B12)+COUNTIF('11月'!AH4:AH34,$B12)+COUNTIF('11月'!AI4:AI34,$B12)+COUNTIF('11月'!AM4:AM34,$B12)+COUNTIF('11月'!AN4:AN34,$B12)+COUNTIF('11月'!AR4:AR34,$B12)+COUNTIF('11月'!AS4:AS34,$B12)+COUNTIF('11月'!AW4:AW34,$B12)+COUNTIF('11月'!AX4:AX34,$B12)+COUNTIF('11月'!BB4:BB34,$B12)+COUNTIF('11月'!BC4:BC34,$B12)+COUNTIF('11月'!BG4:BG34,$B12)+COUNTIF('11月'!BH4:BH34,$B12)+COUNTIF('11月'!BL4:BL34,$B12)+COUNTIF('11月'!BM4:BM34,$B12)+COUNTIF('11月'!BQ4:BQ34,$B12)+COUNTIF('11月'!BR4:BR34,$B12)+COUNTIF('11月'!BV4:BV34,$B12)+COUNTIF('11月'!BW4:BW34,$B12)+COUNTIF('11月'!CA4:CA34,$B12)+COUNTIF('11月'!CB4:CB34,$B12)+COUNTIF('11月'!CF4:CF34,$B12)+COUNTIF('11月'!CG4:CG34,$B12)+COUNTIF('11月'!CK4:CK34,$B12)+COUNTIF('11月'!CL4:CL34,$B12)+COUNTIF('11月'!CP4:CP34,$B12)+COUNTIF('11月'!CQ4:CQ34,$B12)+COUNTIF('11月'!CU4:CU34,$B12)+COUNTIF('11月'!CV4:CV34,$B12)+COUNTIF('11月'!CZ4:CZ34,$B12)+COUNTIF('11月'!DA4:DA34,$B12)+COUNTIF('11月'!DE4:DE34,$B12)+COUNTIF('11月'!DF4:DF34,$B12)+COUNTIF('11月'!DJ4:DJ34,$B12)+COUNTIF('11月'!DK4:DK34,$B12)+COUNTIF('11月'!DO4:DO34,$B12)+COUNTIF('11月'!DP4:DP34,$B12)+COUNTIF('11月'!DT4:DT34,$B12)+COUNTIF('11月'!DU4:DU34,$B12)+COUNTIF('11月'!DY4:DY34,$B12)+COUNTIF('11月'!DZ4:DZ34,$B12)+COUNTIF('11月'!ED4:ED34,$B12)+COUNTIF('11月'!EE4:EE34,$B12)+COUNTIF('11月'!EI4:EI34,$B12)+COUNTIF('11月'!EJ4:EJ34,$B12)+COUNTIF('11月'!EN4:EN34,$B12)+COUNTIF('11月'!EO4:EO34,$B12)+COUNTIF('11月'!ES4:ES34,$B12)+COUNTIF('11月'!ET4:ET34,$B12)),0)</f>
        <v>0</v>
      </c>
      <c r="N12" s="76">
        <f>IFERROR(IF($B12="","",COUNTIF('12月'!D4:D34,$B12)+COUNTIF('12月'!E4:E34,$B12)+COUNTIF('12月'!I4:I34,$B12)+COUNTIF('12月'!J4:J34,$B12)+COUNTIF('12月'!N4:N34,$B12)+COUNTIF('12月'!O4:O34,$B12)+COUNTIF('12月'!S4:S34,$B12)+COUNTIF('12月'!T4:T34,$B12)+COUNTIF('12月'!X4:X34,$B12)+COUNTIF('12月'!Y4:Y34,$B12)+COUNTIF('12月'!AC4:AC34,$B12)+COUNTIF('12月'!AD4:AD34,$B12)+COUNTIF('12月'!AH4:AH34,$B12)+COUNTIF('12月'!AI4:AI34,$B12)+COUNTIF('12月'!AM4:AM34,$B12)+COUNTIF('12月'!AN4:AN34,$B12)+COUNTIF('12月'!AR4:AR34,$B12)+COUNTIF('12月'!AS4:AS34,$B12)+COUNTIF('12月'!AW4:AW34,$B12)+COUNTIF('12月'!AX4:AX34,$B12)+COUNTIF('12月'!BB4:BB34,$B12)+COUNTIF('12月'!BC4:BC34,$B12)+COUNTIF('12月'!BG4:BG34,$B12)+COUNTIF('12月'!BH4:BH34,$B12)+COUNTIF('12月'!BL4:BL34,$B12)+COUNTIF('12月'!BM4:BM34,$B12)+COUNTIF('12月'!BQ4:BQ34,$B12)+COUNTIF('12月'!BR4:BR34,$B12)+COUNTIF('12月'!BV4:BV34,$B12)+COUNTIF('12月'!BW4:BW34,$B12)+COUNTIF('12月'!CA4:CA34,$B12)+COUNTIF('12月'!CB4:CB34,$B12)+COUNTIF('12月'!CF4:CF34,$B12)+COUNTIF('12月'!CG4:CG34,$B12)+COUNTIF('12月'!CK4:CK34,$B12)+COUNTIF('12月'!CL4:CL34,$B12)+COUNTIF('12月'!CP4:CP34,$B12)+COUNTIF('12月'!CQ4:CQ34,$B12)+COUNTIF('12月'!CU4:CU34,$B12)+COUNTIF('12月'!CV4:CV34,$B12)+COUNTIF('12月'!CZ4:CZ34,$B12)+COUNTIF('12月'!DA4:DA34,$B12)+COUNTIF('12月'!DE4:DE34,$B12)+COUNTIF('12月'!DF4:DF34,$B12)+COUNTIF('12月'!DJ4:DJ34,$B12)+COUNTIF('12月'!DK4:DK34,$B12)+COUNTIF('12月'!DO4:DO34,$B12)+COUNTIF('12月'!DP4:DP34,$B12)+COUNTIF('12月'!DT4:DT34,$B12)+COUNTIF('12月'!DU4:DU34,$B12)+COUNTIF('12月'!DY4:DY34,$B12)+COUNTIF('12月'!DZ4:DZ34,$B12)+COUNTIF('12月'!ED4:ED34,$B12)+COUNTIF('12月'!EE4:EE34,$B12)+COUNTIF('12月'!EI4:EI34,$B12)+COUNTIF('12月'!EJ4:EJ34,$B12)+COUNTIF('12月'!EN4:EN34,$B12)+COUNTIF('12月'!EO4:EO34,$B12)+COUNTIF('12月'!ES4:ES34,$B12)+COUNTIF('12月'!ET4:ET34,$B12)),0)</f>
        <v>0</v>
      </c>
      <c r="O12" s="78">
        <f t="shared" si="0"/>
        <v>0</v>
      </c>
    </row>
    <row r="13" spans="1:15" ht="19.5" customHeight="1">
      <c r="A13" s="76">
        <v>11</v>
      </c>
      <c r="B13" s="77" t="str">
        <f>IFERROR(現場マスタ!$C$14,"")</f>
        <v>振替休日</v>
      </c>
      <c r="C13" s="76">
        <f>IFERROR(IF($B13="","",COUNTIF('1月'!D4:D34,$B13)+COUNTIF('1月'!E4:E34,$B13)+COUNTIF('1月'!I4:I34,$B13)+COUNTIF('1月'!J4:J34,$B13)+COUNTIF('1月'!N4:N34,$B13)+COUNTIF('1月'!O4:O34,$B13)+COUNTIF('1月'!S4:S34,$B13)+COUNTIF('1月'!T4:T34,$B13)+COUNTIF('1月'!X4:X34,$B13)+COUNTIF('1月'!Y4:Y34,$B13)+COUNTIF('1月'!AC4:AC34,$B13)+COUNTIF('1月'!AD4:AD34,$B13)+COUNTIF('1月'!AH4:AH34,$B13)+COUNTIF('1月'!AI4:AI34,$B13)+COUNTIF('1月'!AM4:AM34,$B13)+COUNTIF('1月'!AN4:AN34,$B13)+COUNTIF('1月'!AR4:AR34,$B13)+COUNTIF('1月'!AS4:AS34,$B13)+COUNTIF('1月'!AW4:AW34,$B13)+COUNTIF('1月'!AX4:AX34,$B13)+COUNTIF('1月'!BB4:BB34,$B13)+COUNTIF('1月'!BC4:BC34,$B13)+COUNTIF('1月'!BG4:BG34,$B13)+COUNTIF('1月'!BH4:BH34,$B13)+COUNTIF('1月'!BL4:BL34,$B13)+COUNTIF('1月'!BM4:BM34,$B13)+COUNTIF('1月'!BQ4:BQ34,$B13)+COUNTIF('1月'!BR4:BR34,$B13)+COUNTIF('1月'!BV4:BV34,$B13)+COUNTIF('1月'!BW4:BW34,$B13)+COUNTIF('1月'!CA4:CA34,$B13)+COUNTIF('1月'!CB4:CB34,$B13)+COUNTIF('1月'!CF4:CF34,$B13)+COUNTIF('1月'!CG4:CG34,$B13)+COUNTIF('1月'!CK4:CK34,$B13)+COUNTIF('1月'!CL4:CL34,$B13)+COUNTIF('1月'!CP4:CP34,$B13)+COUNTIF('1月'!CQ4:CQ34,$B13)+COUNTIF('1月'!CU4:CU34,$B13)+COUNTIF('1月'!CV4:CV34,$B13)+COUNTIF('1月'!CZ4:CZ34,$B13)+COUNTIF('1月'!DA4:DA34,$B13)+COUNTIF('1月'!DE4:DE34,$B13)+COUNTIF('1月'!DF4:DF34,$B13)+COUNTIF('1月'!DJ4:DJ34,$B13)+COUNTIF('1月'!DK4:DK34,$B13)+COUNTIF('1月'!DO4:DO34,$B13)+COUNTIF('1月'!DP4:DP34,$B13)+COUNTIF('1月'!DT4:DT34,$B13)+COUNTIF('1月'!DU4:DU34,$B13)+COUNTIF('1月'!DY4:DY34,$B13)+COUNTIF('1月'!DZ4:DZ34,$B13)+COUNTIF('1月'!ED4:ED34,$B13)+COUNTIF('1月'!EE4:EE34,$B13)+COUNTIF('1月'!EI4:EI34,$B13)+COUNTIF('1月'!EJ4:EJ34,$B13)+COUNTIF('1月'!EN4:EN34,$B13)+COUNTIF('1月'!EO4:EO34,$B13)+COUNTIF('1月'!ES4:ES34,$B13)+COUNTIF('1月'!ET4:ET34,$B13)),0)</f>
        <v>0</v>
      </c>
      <c r="D13" s="76">
        <f>IFERROR(IF($B13="","",COUNTIF('2月'!D4:D34,$B13)+COUNTIF('2月'!E4:E34,$B13)+COUNTIF('2月'!I4:I34,$B13)+COUNTIF('2月'!J4:J34,$B13)+COUNTIF('2月'!N4:N34,$B13)+COUNTIF('2月'!O4:O34,$B13)+COUNTIF('2月'!S4:S34,$B13)+COUNTIF('2月'!T4:T34,$B13)+COUNTIF('2月'!X4:X34,$B13)+COUNTIF('2月'!Y4:Y34,$B13)+COUNTIF('2月'!AC4:AC34,$B13)+COUNTIF('2月'!AD4:AD34,$B13)+COUNTIF('2月'!AH4:AH34,$B13)+COUNTIF('2月'!AI4:AI34,$B13)+COUNTIF('2月'!AM4:AM34,$B13)+COUNTIF('2月'!AN4:AN34,$B13)+COUNTIF('2月'!AR4:AR34,$B13)+COUNTIF('2月'!AS4:AS34,$B13)+COUNTIF('2月'!AW4:AW34,$B13)+COUNTIF('2月'!AX4:AX34,$B13)+COUNTIF('2月'!BB4:BB34,$B13)+COUNTIF('2月'!BC4:BC34,$B13)+COUNTIF('2月'!BG4:BG34,$B13)+COUNTIF('2月'!BH4:BH34,$B13)+COUNTIF('2月'!BL4:BL34,$B13)+COUNTIF('2月'!BM4:BM34,$B13)+COUNTIF('2月'!BQ4:BQ34,$B13)+COUNTIF('2月'!BR4:BR34,$B13)+COUNTIF('2月'!BV4:BV34,$B13)+COUNTIF('2月'!BW4:BW34,$B13)+COUNTIF('2月'!CA4:CA34,$B13)+COUNTIF('2月'!CB4:CB34,$B13)+COUNTIF('2月'!CF4:CF34,$B13)+COUNTIF('2月'!CG4:CG34,$B13)+COUNTIF('2月'!CK4:CK34,$B13)+COUNTIF('2月'!CL4:CL34,$B13)+COUNTIF('2月'!CP4:CP34,$B13)+COUNTIF('2月'!CQ4:CQ34,$B13)+COUNTIF('2月'!CU4:CU34,$B13)+COUNTIF('2月'!CV4:CV34,$B13)+COUNTIF('2月'!CZ4:CZ34,$B13)+COUNTIF('2月'!DA4:DA34,$B13)+COUNTIF('2月'!DE4:DE34,$B13)+COUNTIF('2月'!DF4:DF34,$B13)+COUNTIF('2月'!DJ4:DJ34,$B13)+COUNTIF('2月'!DK4:DK34,$B13)+COUNTIF('2月'!DO4:DO34,$B13)+COUNTIF('2月'!DP4:DP34,$B13)+COUNTIF('2月'!DT4:DT34,$B13)+COUNTIF('2月'!DU4:DU34,$B13)+COUNTIF('2月'!DY4:DY34,$B13)+COUNTIF('2月'!DZ4:DZ34,$B13)+COUNTIF('2月'!ED4:ED34,$B13)+COUNTIF('2月'!EE4:EE34,$B13)+COUNTIF('2月'!EI4:EI34,$B13)+COUNTIF('2月'!EJ4:EJ34,$B13)+COUNTIF('2月'!EN4:EN34,$B13)+COUNTIF('2月'!EO4:EO34,$B13)+COUNTIF('2月'!ES4:ES34,$B13)+COUNTIF('2月'!ET4:ET34,$B13)),0)</f>
        <v>0</v>
      </c>
      <c r="E13" s="76">
        <f>IFERROR(IF($B13="","",COUNTIF('3月'!D4:D34,$B13)+COUNTIF('3月'!E4:E34,$B13)+COUNTIF('3月'!I4:I34,$B13)+COUNTIF('3月'!J4:J34,$B13)+COUNTIF('3月'!N4:N34,$B13)+COUNTIF('3月'!O4:O34,$B13)+COUNTIF('3月'!S4:S34,$B13)+COUNTIF('3月'!T4:T34,$B13)+COUNTIF('3月'!X4:X34,$B13)+COUNTIF('3月'!Y4:Y34,$B13)+COUNTIF('3月'!AC4:AC34,$B13)+COUNTIF('3月'!AD4:AD34,$B13)+COUNTIF('3月'!AH4:AH34,$B13)+COUNTIF('3月'!AI4:AI34,$B13)+COUNTIF('3月'!AM4:AM34,$B13)+COUNTIF('3月'!AN4:AN34,$B13)+COUNTIF('3月'!AR4:AR34,$B13)+COUNTIF('3月'!AS4:AS34,$B13)+COUNTIF('3月'!AW4:AW34,$B13)+COUNTIF('3月'!AX4:AX34,$B13)+COUNTIF('3月'!BB4:BB34,$B13)+COUNTIF('3月'!BC4:BC34,$B13)+COUNTIF('3月'!BG4:BG34,$B13)+COUNTIF('3月'!BH4:BH34,$B13)+COUNTIF('3月'!BL4:BL34,$B13)+COUNTIF('3月'!BM4:BM34,$B13)+COUNTIF('3月'!BQ4:BQ34,$B13)+COUNTIF('3月'!BR4:BR34,$B13)+COUNTIF('3月'!BV4:BV34,$B13)+COUNTIF('3月'!BW4:BW34,$B13)+COUNTIF('3月'!CA4:CA34,$B13)+COUNTIF('3月'!CB4:CB34,$B13)+COUNTIF('3月'!CF4:CF34,$B13)+COUNTIF('3月'!CG4:CG34,$B13)+COUNTIF('3月'!CK4:CK34,$B13)+COUNTIF('3月'!CL4:CL34,$B13)+COUNTIF('3月'!CP4:CP34,$B13)+COUNTIF('3月'!CQ4:CQ34,$B13)+COUNTIF('3月'!CU4:CU34,$B13)+COUNTIF('3月'!CV4:CV34,$B13)+COUNTIF('3月'!CZ4:CZ34,$B13)+COUNTIF('3月'!DA4:DA34,$B13)+COUNTIF('3月'!DE4:DE34,$B13)+COUNTIF('3月'!DF4:DF34,$B13)+COUNTIF('3月'!DJ4:DJ34,$B13)+COUNTIF('3月'!DK4:DK34,$B13)+COUNTIF('3月'!DO4:DO34,$B13)+COUNTIF('3月'!DP4:DP34,$B13)+COUNTIF('3月'!DT4:DT34,$B13)+COUNTIF('3月'!DU4:DU34,$B13)+COUNTIF('3月'!DY4:DY34,$B13)+COUNTIF('3月'!DZ4:DZ34,$B13)+COUNTIF('3月'!ED4:ED34,$B13)+COUNTIF('3月'!EE4:EE34,$B13)+COUNTIF('3月'!EI4:EI34,$B13)+COUNTIF('3月'!EJ4:EJ34,$B13)+COUNTIF('3月'!EN4:EN34,$B13)+COUNTIF('3月'!EO4:EO34,$B13)+COUNTIF('3月'!ES4:ES34,$B13)+COUNTIF('3月'!ET4:ET34,$B13)),0)</f>
        <v>0</v>
      </c>
      <c r="F13" s="76">
        <f>IFERROR(IF($B13="","",COUNTIF('4月'!D4:D34,$B13)+COUNTIF('4月'!E4:E34,$B13)+COUNTIF('4月'!I4:I34,$B13)+COUNTIF('4月'!J4:J34,$B13)+COUNTIF('4月'!N4:N34,$B13)+COUNTIF('4月'!O4:O34,$B13)+COUNTIF('4月'!S4:S34,$B13)+COUNTIF('4月'!T4:T34,$B13)+COUNTIF('4月'!X4:X34,$B13)+COUNTIF('4月'!Y4:Y34,$B13)+COUNTIF('4月'!AC4:AC34,$B13)+COUNTIF('4月'!AD4:AD34,$B13)+COUNTIF('4月'!AH4:AH34,$B13)+COUNTIF('4月'!AI4:AI34,$B13)+COUNTIF('4月'!AM4:AM34,$B13)+COUNTIF('4月'!AN4:AN34,$B13)+COUNTIF('4月'!AR4:AR34,$B13)+COUNTIF('4月'!AS4:AS34,$B13)+COUNTIF('4月'!AW4:AW34,$B13)+COUNTIF('4月'!AX4:AX34,$B13)+COUNTIF('4月'!BB4:BB34,$B13)+COUNTIF('4月'!BC4:BC34,$B13)+COUNTIF('4月'!BG4:BG34,$B13)+COUNTIF('4月'!BH4:BH34,$B13)+COUNTIF('4月'!BL4:BL34,$B13)+COUNTIF('4月'!BM4:BM34,$B13)+COUNTIF('4月'!BQ4:BQ34,$B13)+COUNTIF('4月'!BR4:BR34,$B13)+COUNTIF('4月'!BV4:BV34,$B13)+COUNTIF('4月'!BW4:BW34,$B13)+COUNTIF('4月'!CA4:CA34,$B13)+COUNTIF('4月'!CB4:CB34,$B13)+COUNTIF('4月'!CF4:CF34,$B13)+COUNTIF('4月'!CG4:CG34,$B13)+COUNTIF('4月'!CK4:CK34,$B13)+COUNTIF('4月'!CL4:CL34,$B13)+COUNTIF('4月'!CP4:CP34,$B13)+COUNTIF('4月'!CQ4:CQ34,$B13)+COUNTIF('4月'!CU4:CU34,$B13)+COUNTIF('4月'!CV4:CV34,$B13)+COUNTIF('4月'!CZ4:CZ34,$B13)+COUNTIF('4月'!DA4:DA34,$B13)+COUNTIF('4月'!DE4:DE34,$B13)+COUNTIF('4月'!DF4:DF34,$B13)+COUNTIF('4月'!DJ4:DJ34,$B13)+COUNTIF('4月'!DK4:DK34,$B13)+COUNTIF('4月'!DO4:DO34,$B13)+COUNTIF('4月'!DP4:DP34,$B13)+COUNTIF('4月'!DT4:DT34,$B13)+COUNTIF('4月'!DU4:DU34,$B13)+COUNTIF('4月'!DY4:DY34,$B13)+COUNTIF('4月'!DZ4:DZ34,$B13)+COUNTIF('4月'!ED4:ED34,$B13)+COUNTIF('4月'!EE4:EE34,$B13)+COUNTIF('4月'!EI4:EI34,$B13)+COUNTIF('4月'!EJ4:EJ34,$B13)+COUNTIF('4月'!EN4:EN34,$B13)+COUNTIF('4月'!EO4:EO34,$B13)+COUNTIF('4月'!ES4:ES34,$B13)+COUNTIF('4月'!ET4:ET34,$B13)),0)</f>
        <v>0</v>
      </c>
      <c r="G13" s="76">
        <f>IFERROR(IF($B13="","",COUNTIF('5月'!D4:D34,$B13)+COUNTIF('5月'!E4:E34,$B13)+COUNTIF('5月'!I4:I34,$B13)+COUNTIF('5月'!J4:J34,$B13)+COUNTIF('5月'!N4:N34,$B13)+COUNTIF('5月'!O4:O34,$B13)+COUNTIF('5月'!S4:S34,$B13)+COUNTIF('5月'!T4:T34,$B13)+COUNTIF('5月'!X4:X34,$B13)+COUNTIF('5月'!Y4:Y34,$B13)+COUNTIF('5月'!AC4:AC34,$B13)+COUNTIF('5月'!AD4:AD34,$B13)+COUNTIF('5月'!AH4:AH34,$B13)+COUNTIF('5月'!AI4:AI34,$B13)+COUNTIF('5月'!AM4:AM34,$B13)+COUNTIF('5月'!AN4:AN34,$B13)+COUNTIF('5月'!AR4:AR34,$B13)+COUNTIF('5月'!AS4:AS34,$B13)+COUNTIF('5月'!AW4:AW34,$B13)+COUNTIF('5月'!AX4:AX34,$B13)+COUNTIF('5月'!BB4:BB34,$B13)+COUNTIF('5月'!BC4:BC34,$B13)+COUNTIF('5月'!BG4:BG34,$B13)+COUNTIF('5月'!BH4:BH34,$B13)+COUNTIF('5月'!BL4:BL34,$B13)+COUNTIF('5月'!BM4:BM34,$B13)+COUNTIF('5月'!BQ4:BQ34,$B13)+COUNTIF('5月'!BR4:BR34,$B13)+COUNTIF('5月'!BV4:BV34,$B13)+COUNTIF('5月'!BW4:BW34,$B13)+COUNTIF('5月'!CA4:CA34,$B13)+COUNTIF('5月'!CB4:CB34,$B13)+COUNTIF('5月'!CF4:CF34,$B13)+COUNTIF('5月'!CG4:CG34,$B13)+COUNTIF('5月'!CK4:CK34,$B13)+COUNTIF('5月'!CL4:CL34,$B13)+COUNTIF('5月'!CP4:CP34,$B13)+COUNTIF('5月'!CQ4:CQ34,$B13)+COUNTIF('5月'!CU4:CU34,$B13)+COUNTIF('5月'!CV4:CV34,$B13)+COUNTIF('5月'!CZ4:CZ34,$B13)+COUNTIF('5月'!DA4:DA34,$B13)+COUNTIF('5月'!DE4:DE34,$B13)+COUNTIF('5月'!DF4:DF34,$B13)+COUNTIF('5月'!DJ4:DJ34,$B13)+COUNTIF('5月'!DK4:DK34,$B13)+COUNTIF('5月'!DO4:DO34,$B13)+COUNTIF('5月'!DP4:DP34,$B13)+COUNTIF('5月'!DT4:DT34,$B13)+COUNTIF('5月'!DU4:DU34,$B13)+COUNTIF('5月'!DY4:DY34,$B13)+COUNTIF('5月'!DZ4:DZ34,$B13)+COUNTIF('5月'!ED4:ED34,$B13)+COUNTIF('5月'!EE4:EE34,$B13)+COUNTIF('5月'!EI4:EI34,$B13)+COUNTIF('5月'!EJ4:EJ34,$B13)+COUNTIF('5月'!EN4:EN34,$B13)+COUNTIF('5月'!EO4:EO34,$B13)+COUNTIF('5月'!ES4:ES34,$B13)+COUNTIF('5月'!ET4:ET34,$B13)),0)</f>
        <v>0</v>
      </c>
      <c r="H13" s="76">
        <f>IFERROR(IF($B13="","",COUNTIF('6月'!D4:D34,$B13)+COUNTIF('6月'!E4:E34,$B13)+COUNTIF('6月'!I4:I34,$B13)+COUNTIF('6月'!J4:J34,$B13)+COUNTIF('6月'!N4:N34,$B13)+COUNTIF('6月'!O4:O34,$B13)+COUNTIF('6月'!S4:S34,$B13)+COUNTIF('6月'!T4:T34,$B13)+COUNTIF('6月'!X4:X34,$B13)+COUNTIF('6月'!Y4:Y34,$B13)+COUNTIF('6月'!AC4:AC34,$B13)+COUNTIF('6月'!AD4:AD34,$B13)+COUNTIF('6月'!AH4:AH34,$B13)+COUNTIF('6月'!AI4:AI34,$B13)+COUNTIF('6月'!AM4:AM34,$B13)+COUNTIF('6月'!AN4:AN34,$B13)+COUNTIF('6月'!AR4:AR34,$B13)+COUNTIF('6月'!AS4:AS34,$B13)+COUNTIF('6月'!AW4:AW34,$B13)+COUNTIF('6月'!AX4:AX34,$B13)+COUNTIF('6月'!BB4:BB34,$B13)+COUNTIF('6月'!BC4:BC34,$B13)+COUNTIF('6月'!BG4:BG34,$B13)+COUNTIF('6月'!BH4:BH34,$B13)+COUNTIF('6月'!BL4:BL34,$B13)+COUNTIF('6月'!BM4:BM34,$B13)+COUNTIF('6月'!BQ4:BQ34,$B13)+COUNTIF('6月'!BR4:BR34,$B13)+COUNTIF('6月'!BV4:BV34,$B13)+COUNTIF('6月'!BW4:BW34,$B13)+COUNTIF('6月'!CA4:CA34,$B13)+COUNTIF('6月'!CB4:CB34,$B13)+COUNTIF('6月'!CF4:CF34,$B13)+COUNTIF('6月'!CG4:CG34,$B13)+COUNTIF('6月'!CK4:CK34,$B13)+COUNTIF('6月'!CL4:CL34,$B13)+COUNTIF('6月'!CP4:CP34,$B13)+COUNTIF('6月'!CQ4:CQ34,$B13)+COUNTIF('6月'!CU4:CU34,$B13)+COUNTIF('6月'!CV4:CV34,$B13)+COUNTIF('6月'!CZ4:CZ34,$B13)+COUNTIF('6月'!DA4:DA34,$B13)+COUNTIF('6月'!DE4:DE34,$B13)+COUNTIF('6月'!DF4:DF34,$B13)+COUNTIF('6月'!DJ4:DJ34,$B13)+COUNTIF('6月'!DK4:DK34,$B13)+COUNTIF('6月'!DO4:DO34,$B13)+COUNTIF('6月'!DP4:DP34,$B13)+COUNTIF('6月'!DT4:DT34,$B13)+COUNTIF('6月'!DU4:DU34,$B13)+COUNTIF('6月'!DY4:DY34,$B13)+COUNTIF('6月'!DZ4:DZ34,$B13)+COUNTIF('6月'!ED4:ED34,$B13)+COUNTIF('6月'!EE4:EE34,$B13)+COUNTIF('6月'!EI4:EI34,$B13)+COUNTIF('6月'!EJ4:EJ34,$B13)+COUNTIF('6月'!EN4:EN34,$B13)+COUNTIF('6月'!EO4:EO34,$B13)+COUNTIF('6月'!ES4:ES34,$B13)+COUNTIF('6月'!ET4:ET34,$B13)),0)</f>
        <v>0</v>
      </c>
      <c r="I13" s="76">
        <f>IFERROR(IF($B13="","",COUNTIF('7月'!D4:D34,$B13)+COUNTIF('7月'!E4:E34,$B13)+COUNTIF('7月'!I4:I34,$B13)+COUNTIF('7月'!J4:J34,$B13)+COUNTIF('7月'!N4:N34,$B13)+COUNTIF('7月'!O4:O34,$B13)+COUNTIF('7月'!S4:S34,$B13)+COUNTIF('7月'!T4:T34,$B13)+COUNTIF('7月'!X4:X34,$B13)+COUNTIF('7月'!Y4:Y34,$B13)+COUNTIF('7月'!AC4:AC34,$B13)+COUNTIF('7月'!AD4:AD34,$B13)+COUNTIF('7月'!AH4:AH34,$B13)+COUNTIF('7月'!AI4:AI34,$B13)+COUNTIF('7月'!AM4:AM34,$B13)+COUNTIF('7月'!AN4:AN34,$B13)+COUNTIF('7月'!AR4:AR34,$B13)+COUNTIF('7月'!AS4:AS34,$B13)+COUNTIF('7月'!AW4:AW34,$B13)+COUNTIF('7月'!AX4:AX34,$B13)+COUNTIF('7月'!BB4:BB34,$B13)+COUNTIF('7月'!BC4:BC34,$B13)+COUNTIF('7月'!BG4:BG34,$B13)+COUNTIF('7月'!BH4:BH34,$B13)+COUNTIF('7月'!BL4:BL34,$B13)+COUNTIF('7月'!BM4:BM34,$B13)+COUNTIF('7月'!BQ4:BQ34,$B13)+COUNTIF('7月'!BR4:BR34,$B13)+COUNTIF('7月'!BV4:BV34,$B13)+COUNTIF('7月'!BW4:BW34,$B13)+COUNTIF('7月'!CA4:CA34,$B13)+COUNTIF('7月'!CB4:CB34,$B13)+COUNTIF('7月'!CF4:CF34,$B13)+COUNTIF('7月'!CG4:CG34,$B13)+COUNTIF('7月'!CK4:CK34,$B13)+COUNTIF('7月'!CL4:CL34,$B13)+COUNTIF('7月'!CP4:CP34,$B13)+COUNTIF('7月'!CQ4:CQ34,$B13)+COUNTIF('7月'!CU4:CU34,$B13)+COUNTIF('7月'!CV4:CV34,$B13)+COUNTIF('7月'!CZ4:CZ34,$B13)+COUNTIF('7月'!DA4:DA34,$B13)+COUNTIF('7月'!DE4:DE34,$B13)+COUNTIF('7月'!DF4:DF34,$B13)+COUNTIF('7月'!DJ4:DJ34,$B13)+COUNTIF('7月'!DK4:DK34,$B13)+COUNTIF('7月'!DO4:DO34,$B13)+COUNTIF('7月'!DP4:DP34,$B13)+COUNTIF('7月'!DT4:DT34,$B13)+COUNTIF('7月'!DU4:DU34,$B13)+COUNTIF('7月'!DY4:DY34,$B13)+COUNTIF('7月'!DZ4:DZ34,$B13)+COUNTIF('7月'!ED4:ED34,$B13)+COUNTIF('7月'!EE4:EE34,$B13)+COUNTIF('7月'!EI4:EI34,$B13)+COUNTIF('7月'!EJ4:EJ34,$B13)+COUNTIF('7月'!EN4:EN34,$B13)+COUNTIF('7月'!EO4:EO34,$B13)+COUNTIF('7月'!ES4:ES34,$B13)+COUNTIF('7月'!ET4:ET34,$B13)),0)</f>
        <v>0</v>
      </c>
      <c r="J13" s="76">
        <f>IFERROR(IF($B13="","",COUNTIF('8月'!D4:D34,$B13)+COUNTIF('8月'!E4:E34,$B13)+COUNTIF('8月'!I4:I34,$B13)+COUNTIF('8月'!J4:J34,$B13)+COUNTIF('8月'!N4:N34,$B13)+COUNTIF('8月'!O4:O34,$B13)+COUNTIF('8月'!S4:S34,$B13)+COUNTIF('8月'!T4:T34,$B13)+COUNTIF('8月'!X4:X34,$B13)+COUNTIF('8月'!Y4:Y34,$B13)+COUNTIF('8月'!AC4:AC34,$B13)+COUNTIF('8月'!AD4:AD34,$B13)+COUNTIF('8月'!AH4:AH34,$B13)+COUNTIF('8月'!AI4:AI34,$B13)+COUNTIF('8月'!AM4:AM34,$B13)+COUNTIF('8月'!AN4:AN34,$B13)+COUNTIF('8月'!AR4:AR34,$B13)+COUNTIF('8月'!AS4:AS34,$B13)+COUNTIF('8月'!AW4:AW34,$B13)+COUNTIF('8月'!AX4:AX34,$B13)+COUNTIF('8月'!BB4:BB34,$B13)+COUNTIF('8月'!BC4:BC34,$B13)+COUNTIF('8月'!BG4:BG34,$B13)+COUNTIF('8月'!BH4:BH34,$B13)+COUNTIF('8月'!BL4:BL34,$B13)+COUNTIF('8月'!BM4:BM34,$B13)+COUNTIF('8月'!BQ4:BQ34,$B13)+COUNTIF('8月'!BR4:BR34,$B13)+COUNTIF('8月'!BV4:BV34,$B13)+COUNTIF('8月'!BW4:BW34,$B13)+COUNTIF('8月'!CA4:CA34,$B13)+COUNTIF('8月'!CB4:CB34,$B13)+COUNTIF('8月'!CF4:CF34,$B13)+COUNTIF('8月'!CG4:CG34,$B13)+COUNTIF('8月'!CK4:CK34,$B13)+COUNTIF('8月'!CL4:CL34,$B13)+COUNTIF('8月'!CP4:CP34,$B13)+COUNTIF('8月'!CQ4:CQ34,$B13)+COUNTIF('8月'!CU4:CU34,$B13)+COUNTIF('8月'!CV4:CV34,$B13)+COUNTIF('8月'!CZ4:CZ34,$B13)+COUNTIF('8月'!DA4:DA34,$B13)+COUNTIF('8月'!DE4:DE34,$B13)+COUNTIF('8月'!DF4:DF34,$B13)+COUNTIF('8月'!DJ4:DJ34,$B13)+COUNTIF('8月'!DK4:DK34,$B13)+COUNTIF('8月'!DO4:DO34,$B13)+COUNTIF('8月'!DP4:DP34,$B13)+COUNTIF('8月'!DT4:DT34,$B13)+COUNTIF('8月'!DU4:DU34,$B13)+COUNTIF('8月'!DY4:DY34,$B13)+COUNTIF('8月'!DZ4:DZ34,$B13)+COUNTIF('8月'!ED4:ED34,$B13)+COUNTIF('8月'!EE4:EE34,$B13)+COUNTIF('8月'!EI4:EI34,$B13)+COUNTIF('8月'!EJ4:EJ34,$B13)+COUNTIF('8月'!EN4:EN34,$B13)+COUNTIF('8月'!EO4:EO34,$B13)+COUNTIF('8月'!ES4:ES34,$B13)+COUNTIF('8月'!ET4:ET34,$B13)),0)</f>
        <v>0</v>
      </c>
      <c r="K13" s="76">
        <f>IFERROR(IF($B13="","",COUNTIF('9月'!D4:D34,$B13)+COUNTIF('9月'!E4:E34,$B13)+COUNTIF('9月'!I4:I34,$B13)+COUNTIF('9月'!J4:J34,$B13)+COUNTIF('9月'!N4:N34,$B13)+COUNTIF('9月'!O4:O34,$B13)+COUNTIF('9月'!S4:S34,$B13)+COUNTIF('9月'!T4:T34,$B13)+COUNTIF('9月'!X4:X34,$B13)+COUNTIF('9月'!Y4:Y34,$B13)+COUNTIF('9月'!AC4:AC34,$B13)+COUNTIF('9月'!AD4:AD34,$B13)+COUNTIF('9月'!AH4:AH34,$B13)+COUNTIF('9月'!AI4:AI34,$B13)+COUNTIF('9月'!AM4:AM34,$B13)+COUNTIF('9月'!AN4:AN34,$B13)+COUNTIF('9月'!AR4:AR34,$B13)+COUNTIF('9月'!AS4:AS34,$B13)+COUNTIF('9月'!AW4:AW34,$B13)+COUNTIF('9月'!AX4:AX34,$B13)+COUNTIF('9月'!BB4:BB34,$B13)+COUNTIF('9月'!BC4:BC34,$B13)+COUNTIF('9月'!BG4:BG34,$B13)+COUNTIF('9月'!BH4:BH34,$B13)+COUNTIF('9月'!BL4:BL34,$B13)+COUNTIF('9月'!BM4:BM34,$B13)+COUNTIF('9月'!BQ4:BQ34,$B13)+COUNTIF('9月'!BR4:BR34,$B13)+COUNTIF('9月'!BV4:BV34,$B13)+COUNTIF('9月'!BW4:BW34,$B13)+COUNTIF('9月'!CA4:CA34,$B13)+COUNTIF('9月'!CB4:CB34,$B13)+COUNTIF('9月'!CF4:CF34,$B13)+COUNTIF('9月'!CG4:CG34,$B13)+COUNTIF('9月'!CK4:CK34,$B13)+COUNTIF('9月'!CL4:CL34,$B13)+COUNTIF('9月'!CP4:CP34,$B13)+COUNTIF('9月'!CQ4:CQ34,$B13)+COUNTIF('9月'!CU4:CU34,$B13)+COUNTIF('9月'!CV4:CV34,$B13)+COUNTIF('9月'!CZ4:CZ34,$B13)+COUNTIF('9月'!DA4:DA34,$B13)+COUNTIF('9月'!DE4:DE34,$B13)+COUNTIF('9月'!DF4:DF34,$B13)+COUNTIF('9月'!DJ4:DJ34,$B13)+COUNTIF('9月'!DK4:DK34,$B13)+COUNTIF('9月'!DO4:DO34,$B13)+COUNTIF('9月'!DP4:DP34,$B13)+COUNTIF('9月'!DT4:DT34,$B13)+COUNTIF('9月'!DU4:DU34,$B13)+COUNTIF('9月'!DY4:DY34,$B13)+COUNTIF('9月'!DZ4:DZ34,$B13)+COUNTIF('9月'!ED4:ED34,$B13)+COUNTIF('9月'!EE4:EE34,$B13)+COUNTIF('9月'!EI4:EI34,$B13)+COUNTIF('9月'!EJ4:EJ34,$B13)+COUNTIF('9月'!EN4:EN34,$B13)+COUNTIF('9月'!EO4:EO34,$B13)+COUNTIF('9月'!ES4:ES34,$B13)+COUNTIF('9月'!ET4:ET34,$B13)),0)</f>
        <v>0</v>
      </c>
      <c r="L13" s="76">
        <f>IFERROR(IF($B13="","",COUNTIF('10月'!D4:D34,$B13)+COUNTIF('10月'!E4:E34,$B13)+COUNTIF('10月'!I4:I34,$B13)+COUNTIF('10月'!J4:J34,$B13)+COUNTIF('10月'!N4:N34,$B13)+COUNTIF('10月'!O4:O34,$B13)+COUNTIF('10月'!S4:S34,$B13)+COUNTIF('10月'!T4:T34,$B13)+COUNTIF('10月'!X4:X34,$B13)+COUNTIF('10月'!Y4:Y34,$B13)+COUNTIF('10月'!AC4:AC34,$B13)+COUNTIF('10月'!AD4:AD34,$B13)+COUNTIF('10月'!AH4:AH34,$B13)+COUNTIF('10月'!AI4:AI34,$B13)+COUNTIF('10月'!AM4:AM34,$B13)+COUNTIF('10月'!AN4:AN34,$B13)+COUNTIF('10月'!AR4:AR34,$B13)+COUNTIF('10月'!AS4:AS34,$B13)+COUNTIF('10月'!AW4:AW34,$B13)+COUNTIF('10月'!AX4:AX34,$B13)+COUNTIF('10月'!BB4:BB34,$B13)+COUNTIF('10月'!BC4:BC34,$B13)+COUNTIF('10月'!BG4:BG34,$B13)+COUNTIF('10月'!BH4:BH34,$B13)+COUNTIF('10月'!BL4:BL34,$B13)+COUNTIF('10月'!BM4:BM34,$B13)+COUNTIF('10月'!BQ4:BQ34,$B13)+COUNTIF('10月'!BR4:BR34,$B13)+COUNTIF('10月'!BV4:BV34,$B13)+COUNTIF('10月'!BW4:BW34,$B13)+COUNTIF('10月'!CA4:CA34,$B13)+COUNTIF('10月'!CB4:CB34,$B13)+COUNTIF('10月'!CF4:CF34,$B13)+COUNTIF('10月'!CG4:CG34,$B13)+COUNTIF('10月'!CK4:CK34,$B13)+COUNTIF('10月'!CL4:CL34,$B13)+COUNTIF('10月'!CP4:CP34,$B13)+COUNTIF('10月'!CQ4:CQ34,$B13)+COUNTIF('10月'!CU4:CU34,$B13)+COUNTIF('10月'!CV4:CV34,$B13)+COUNTIF('10月'!CZ4:CZ34,$B13)+COUNTIF('10月'!DA4:DA34,$B13)+COUNTIF('10月'!DE4:DE34,$B13)+COUNTIF('10月'!DF4:DF34,$B13)+COUNTIF('10月'!DJ4:DJ34,$B13)+COUNTIF('10月'!DK4:DK34,$B13)+COUNTIF('10月'!DO4:DO34,$B13)+COUNTIF('10月'!DP4:DP34,$B13)+COUNTIF('10月'!DT4:DT34,$B13)+COUNTIF('10月'!DU4:DU34,$B13)+COUNTIF('10月'!DY4:DY34,$B13)+COUNTIF('10月'!DZ4:DZ34,$B13)+COUNTIF('10月'!ED4:ED34,$B13)+COUNTIF('10月'!EE4:EE34,$B13)+COUNTIF('10月'!EI4:EI34,$B13)+COUNTIF('10月'!EJ4:EJ34,$B13)+COUNTIF('10月'!EN4:EN34,$B13)+COUNTIF('10月'!EO4:EO34,$B13)+COUNTIF('10月'!ES4:ES34,$B13)+COUNTIF('10月'!ET4:ET34,$B13)),0)</f>
        <v>0</v>
      </c>
      <c r="M13" s="76">
        <f>IFERROR(IF($B13="","",COUNTIF('11月'!D4:D34,$B13)+COUNTIF('11月'!E4:E34,$B13)+COUNTIF('11月'!I4:I34,$B13)+COUNTIF('11月'!J4:J34,$B13)+COUNTIF('11月'!N4:N34,$B13)+COUNTIF('11月'!O4:O34,$B13)+COUNTIF('11月'!S4:S34,$B13)+COUNTIF('11月'!T4:T34,$B13)+COUNTIF('11月'!X4:X34,$B13)+COUNTIF('11月'!Y4:Y34,$B13)+COUNTIF('11月'!AC4:AC34,$B13)+COUNTIF('11月'!AD4:AD34,$B13)+COUNTIF('11月'!AH4:AH34,$B13)+COUNTIF('11月'!AI4:AI34,$B13)+COUNTIF('11月'!AM4:AM34,$B13)+COUNTIF('11月'!AN4:AN34,$B13)+COUNTIF('11月'!AR4:AR34,$B13)+COUNTIF('11月'!AS4:AS34,$B13)+COUNTIF('11月'!AW4:AW34,$B13)+COUNTIF('11月'!AX4:AX34,$B13)+COUNTIF('11月'!BB4:BB34,$B13)+COUNTIF('11月'!BC4:BC34,$B13)+COUNTIF('11月'!BG4:BG34,$B13)+COUNTIF('11月'!BH4:BH34,$B13)+COUNTIF('11月'!BL4:BL34,$B13)+COUNTIF('11月'!BM4:BM34,$B13)+COUNTIF('11月'!BQ4:BQ34,$B13)+COUNTIF('11月'!BR4:BR34,$B13)+COUNTIF('11月'!BV4:BV34,$B13)+COUNTIF('11月'!BW4:BW34,$B13)+COUNTIF('11月'!CA4:CA34,$B13)+COUNTIF('11月'!CB4:CB34,$B13)+COUNTIF('11月'!CF4:CF34,$B13)+COUNTIF('11月'!CG4:CG34,$B13)+COUNTIF('11月'!CK4:CK34,$B13)+COUNTIF('11月'!CL4:CL34,$B13)+COUNTIF('11月'!CP4:CP34,$B13)+COUNTIF('11月'!CQ4:CQ34,$B13)+COUNTIF('11月'!CU4:CU34,$B13)+COUNTIF('11月'!CV4:CV34,$B13)+COUNTIF('11月'!CZ4:CZ34,$B13)+COUNTIF('11月'!DA4:DA34,$B13)+COUNTIF('11月'!DE4:DE34,$B13)+COUNTIF('11月'!DF4:DF34,$B13)+COUNTIF('11月'!DJ4:DJ34,$B13)+COUNTIF('11月'!DK4:DK34,$B13)+COUNTIF('11月'!DO4:DO34,$B13)+COUNTIF('11月'!DP4:DP34,$B13)+COUNTIF('11月'!DT4:DT34,$B13)+COUNTIF('11月'!DU4:DU34,$B13)+COUNTIF('11月'!DY4:DY34,$B13)+COUNTIF('11月'!DZ4:DZ34,$B13)+COUNTIF('11月'!ED4:ED34,$B13)+COUNTIF('11月'!EE4:EE34,$B13)+COUNTIF('11月'!EI4:EI34,$B13)+COUNTIF('11月'!EJ4:EJ34,$B13)+COUNTIF('11月'!EN4:EN34,$B13)+COUNTIF('11月'!EO4:EO34,$B13)+COUNTIF('11月'!ES4:ES34,$B13)+COUNTIF('11月'!ET4:ET34,$B13)),0)</f>
        <v>0</v>
      </c>
      <c r="N13" s="76">
        <f>IFERROR(IF($B13="","",COUNTIF('12月'!D4:D34,$B13)+COUNTIF('12月'!E4:E34,$B13)+COUNTIF('12月'!I4:I34,$B13)+COUNTIF('12月'!J4:J34,$B13)+COUNTIF('12月'!N4:N34,$B13)+COUNTIF('12月'!O4:O34,$B13)+COUNTIF('12月'!S4:S34,$B13)+COUNTIF('12月'!T4:T34,$B13)+COUNTIF('12月'!X4:X34,$B13)+COUNTIF('12月'!Y4:Y34,$B13)+COUNTIF('12月'!AC4:AC34,$B13)+COUNTIF('12月'!AD4:AD34,$B13)+COUNTIF('12月'!AH4:AH34,$B13)+COUNTIF('12月'!AI4:AI34,$B13)+COUNTIF('12月'!AM4:AM34,$B13)+COUNTIF('12月'!AN4:AN34,$B13)+COUNTIF('12月'!AR4:AR34,$B13)+COUNTIF('12月'!AS4:AS34,$B13)+COUNTIF('12月'!AW4:AW34,$B13)+COUNTIF('12月'!AX4:AX34,$B13)+COUNTIF('12月'!BB4:BB34,$B13)+COUNTIF('12月'!BC4:BC34,$B13)+COUNTIF('12月'!BG4:BG34,$B13)+COUNTIF('12月'!BH4:BH34,$B13)+COUNTIF('12月'!BL4:BL34,$B13)+COUNTIF('12月'!BM4:BM34,$B13)+COUNTIF('12月'!BQ4:BQ34,$B13)+COUNTIF('12月'!BR4:BR34,$B13)+COUNTIF('12月'!BV4:BV34,$B13)+COUNTIF('12月'!BW4:BW34,$B13)+COUNTIF('12月'!CA4:CA34,$B13)+COUNTIF('12月'!CB4:CB34,$B13)+COUNTIF('12月'!CF4:CF34,$B13)+COUNTIF('12月'!CG4:CG34,$B13)+COUNTIF('12月'!CK4:CK34,$B13)+COUNTIF('12月'!CL4:CL34,$B13)+COUNTIF('12月'!CP4:CP34,$B13)+COUNTIF('12月'!CQ4:CQ34,$B13)+COUNTIF('12月'!CU4:CU34,$B13)+COUNTIF('12月'!CV4:CV34,$B13)+COUNTIF('12月'!CZ4:CZ34,$B13)+COUNTIF('12月'!DA4:DA34,$B13)+COUNTIF('12月'!DE4:DE34,$B13)+COUNTIF('12月'!DF4:DF34,$B13)+COUNTIF('12月'!DJ4:DJ34,$B13)+COUNTIF('12月'!DK4:DK34,$B13)+COUNTIF('12月'!DO4:DO34,$B13)+COUNTIF('12月'!DP4:DP34,$B13)+COUNTIF('12月'!DT4:DT34,$B13)+COUNTIF('12月'!DU4:DU34,$B13)+COUNTIF('12月'!DY4:DY34,$B13)+COUNTIF('12月'!DZ4:DZ34,$B13)+COUNTIF('12月'!ED4:ED34,$B13)+COUNTIF('12月'!EE4:EE34,$B13)+COUNTIF('12月'!EI4:EI34,$B13)+COUNTIF('12月'!EJ4:EJ34,$B13)+COUNTIF('12月'!EN4:EN34,$B13)+COUNTIF('12月'!EO4:EO34,$B13)+COUNTIF('12月'!ES4:ES34,$B13)+COUNTIF('12月'!ET4:ET34,$B13)),0)</f>
        <v>0</v>
      </c>
      <c r="O13" s="78">
        <f t="shared" si="0"/>
        <v>0</v>
      </c>
    </row>
    <row r="14" spans="1:15" ht="19.5" customHeight="1">
      <c r="A14" s="76">
        <v>12</v>
      </c>
      <c r="B14" s="77" t="str">
        <f>IFERROR(現場マスタ!$C$15,"")</f>
        <v>研修</v>
      </c>
      <c r="C14" s="76">
        <f>IFERROR(IF($B14="","",COUNTIF('1月'!D4:D34,$B14)+COUNTIF('1月'!E4:E34,$B14)+COUNTIF('1月'!I4:I34,$B14)+COUNTIF('1月'!J4:J34,$B14)+COUNTIF('1月'!N4:N34,$B14)+COUNTIF('1月'!O4:O34,$B14)+COUNTIF('1月'!S4:S34,$B14)+COUNTIF('1月'!T4:T34,$B14)+COUNTIF('1月'!X4:X34,$B14)+COUNTIF('1月'!Y4:Y34,$B14)+COUNTIF('1月'!AC4:AC34,$B14)+COUNTIF('1月'!AD4:AD34,$B14)+COUNTIF('1月'!AH4:AH34,$B14)+COUNTIF('1月'!AI4:AI34,$B14)+COUNTIF('1月'!AM4:AM34,$B14)+COUNTIF('1月'!AN4:AN34,$B14)+COUNTIF('1月'!AR4:AR34,$B14)+COUNTIF('1月'!AS4:AS34,$B14)+COUNTIF('1月'!AW4:AW34,$B14)+COUNTIF('1月'!AX4:AX34,$B14)+COUNTIF('1月'!BB4:BB34,$B14)+COUNTIF('1月'!BC4:BC34,$B14)+COUNTIF('1月'!BG4:BG34,$B14)+COUNTIF('1月'!BH4:BH34,$B14)+COUNTIF('1月'!BL4:BL34,$B14)+COUNTIF('1月'!BM4:BM34,$B14)+COUNTIF('1月'!BQ4:BQ34,$B14)+COUNTIF('1月'!BR4:BR34,$B14)+COUNTIF('1月'!BV4:BV34,$B14)+COUNTIF('1月'!BW4:BW34,$B14)+COUNTIF('1月'!CA4:CA34,$B14)+COUNTIF('1月'!CB4:CB34,$B14)+COUNTIF('1月'!CF4:CF34,$B14)+COUNTIF('1月'!CG4:CG34,$B14)+COUNTIF('1月'!CK4:CK34,$B14)+COUNTIF('1月'!CL4:CL34,$B14)+COUNTIF('1月'!CP4:CP34,$B14)+COUNTIF('1月'!CQ4:CQ34,$B14)+COUNTIF('1月'!CU4:CU34,$B14)+COUNTIF('1月'!CV4:CV34,$B14)+COUNTIF('1月'!CZ4:CZ34,$B14)+COUNTIF('1月'!DA4:DA34,$B14)+COUNTIF('1月'!DE4:DE34,$B14)+COUNTIF('1月'!DF4:DF34,$B14)+COUNTIF('1月'!DJ4:DJ34,$B14)+COUNTIF('1月'!DK4:DK34,$B14)+COUNTIF('1月'!DO4:DO34,$B14)+COUNTIF('1月'!DP4:DP34,$B14)+COUNTIF('1月'!DT4:DT34,$B14)+COUNTIF('1月'!DU4:DU34,$B14)+COUNTIF('1月'!DY4:DY34,$B14)+COUNTIF('1月'!DZ4:DZ34,$B14)+COUNTIF('1月'!ED4:ED34,$B14)+COUNTIF('1月'!EE4:EE34,$B14)+COUNTIF('1月'!EI4:EI34,$B14)+COUNTIF('1月'!EJ4:EJ34,$B14)+COUNTIF('1月'!EN4:EN34,$B14)+COUNTIF('1月'!EO4:EO34,$B14)+COUNTIF('1月'!ES4:ES34,$B14)+COUNTIF('1月'!ET4:ET34,$B14)),0)</f>
        <v>0</v>
      </c>
      <c r="D14" s="76">
        <f>IFERROR(IF($B14="","",COUNTIF('2月'!D4:D34,$B14)+COUNTIF('2月'!E4:E34,$B14)+COUNTIF('2月'!I4:I34,$B14)+COUNTIF('2月'!J4:J34,$B14)+COUNTIF('2月'!N4:N34,$B14)+COUNTIF('2月'!O4:O34,$B14)+COUNTIF('2月'!S4:S34,$B14)+COUNTIF('2月'!T4:T34,$B14)+COUNTIF('2月'!X4:X34,$B14)+COUNTIF('2月'!Y4:Y34,$B14)+COUNTIF('2月'!AC4:AC34,$B14)+COUNTIF('2月'!AD4:AD34,$B14)+COUNTIF('2月'!AH4:AH34,$B14)+COUNTIF('2月'!AI4:AI34,$B14)+COUNTIF('2月'!AM4:AM34,$B14)+COUNTIF('2月'!AN4:AN34,$B14)+COUNTIF('2月'!AR4:AR34,$B14)+COUNTIF('2月'!AS4:AS34,$B14)+COUNTIF('2月'!AW4:AW34,$B14)+COUNTIF('2月'!AX4:AX34,$B14)+COUNTIF('2月'!BB4:BB34,$B14)+COUNTIF('2月'!BC4:BC34,$B14)+COUNTIF('2月'!BG4:BG34,$B14)+COUNTIF('2月'!BH4:BH34,$B14)+COUNTIF('2月'!BL4:BL34,$B14)+COUNTIF('2月'!BM4:BM34,$B14)+COUNTIF('2月'!BQ4:BQ34,$B14)+COUNTIF('2月'!BR4:BR34,$B14)+COUNTIF('2月'!BV4:BV34,$B14)+COUNTIF('2月'!BW4:BW34,$B14)+COUNTIF('2月'!CA4:CA34,$B14)+COUNTIF('2月'!CB4:CB34,$B14)+COUNTIF('2月'!CF4:CF34,$B14)+COUNTIF('2月'!CG4:CG34,$B14)+COUNTIF('2月'!CK4:CK34,$B14)+COUNTIF('2月'!CL4:CL34,$B14)+COUNTIF('2月'!CP4:CP34,$B14)+COUNTIF('2月'!CQ4:CQ34,$B14)+COUNTIF('2月'!CU4:CU34,$B14)+COUNTIF('2月'!CV4:CV34,$B14)+COUNTIF('2月'!CZ4:CZ34,$B14)+COUNTIF('2月'!DA4:DA34,$B14)+COUNTIF('2月'!DE4:DE34,$B14)+COUNTIF('2月'!DF4:DF34,$B14)+COUNTIF('2月'!DJ4:DJ34,$B14)+COUNTIF('2月'!DK4:DK34,$B14)+COUNTIF('2月'!DO4:DO34,$B14)+COUNTIF('2月'!DP4:DP34,$B14)+COUNTIF('2月'!DT4:DT34,$B14)+COUNTIF('2月'!DU4:DU34,$B14)+COUNTIF('2月'!DY4:DY34,$B14)+COUNTIF('2月'!DZ4:DZ34,$B14)+COUNTIF('2月'!ED4:ED34,$B14)+COUNTIF('2月'!EE4:EE34,$B14)+COUNTIF('2月'!EI4:EI34,$B14)+COUNTIF('2月'!EJ4:EJ34,$B14)+COUNTIF('2月'!EN4:EN34,$B14)+COUNTIF('2月'!EO4:EO34,$B14)+COUNTIF('2月'!ES4:ES34,$B14)+COUNTIF('2月'!ET4:ET34,$B14)),0)</f>
        <v>0</v>
      </c>
      <c r="E14" s="76">
        <f>IFERROR(IF($B14="","",COUNTIF('3月'!D4:D34,$B14)+COUNTIF('3月'!E4:E34,$B14)+COUNTIF('3月'!I4:I34,$B14)+COUNTIF('3月'!J4:J34,$B14)+COUNTIF('3月'!N4:N34,$B14)+COUNTIF('3月'!O4:O34,$B14)+COUNTIF('3月'!S4:S34,$B14)+COUNTIF('3月'!T4:T34,$B14)+COUNTIF('3月'!X4:X34,$B14)+COUNTIF('3月'!Y4:Y34,$B14)+COUNTIF('3月'!AC4:AC34,$B14)+COUNTIF('3月'!AD4:AD34,$B14)+COUNTIF('3月'!AH4:AH34,$B14)+COUNTIF('3月'!AI4:AI34,$B14)+COUNTIF('3月'!AM4:AM34,$B14)+COUNTIF('3月'!AN4:AN34,$B14)+COUNTIF('3月'!AR4:AR34,$B14)+COUNTIF('3月'!AS4:AS34,$B14)+COUNTIF('3月'!AW4:AW34,$B14)+COUNTIF('3月'!AX4:AX34,$B14)+COUNTIF('3月'!BB4:BB34,$B14)+COUNTIF('3月'!BC4:BC34,$B14)+COUNTIF('3月'!BG4:BG34,$B14)+COUNTIF('3月'!BH4:BH34,$B14)+COUNTIF('3月'!BL4:BL34,$B14)+COUNTIF('3月'!BM4:BM34,$B14)+COUNTIF('3月'!BQ4:BQ34,$B14)+COUNTIF('3月'!BR4:BR34,$B14)+COUNTIF('3月'!BV4:BV34,$B14)+COUNTIF('3月'!BW4:BW34,$B14)+COUNTIF('3月'!CA4:CA34,$B14)+COUNTIF('3月'!CB4:CB34,$B14)+COUNTIF('3月'!CF4:CF34,$B14)+COUNTIF('3月'!CG4:CG34,$B14)+COUNTIF('3月'!CK4:CK34,$B14)+COUNTIF('3月'!CL4:CL34,$B14)+COUNTIF('3月'!CP4:CP34,$B14)+COUNTIF('3月'!CQ4:CQ34,$B14)+COUNTIF('3月'!CU4:CU34,$B14)+COUNTIF('3月'!CV4:CV34,$B14)+COUNTIF('3月'!CZ4:CZ34,$B14)+COUNTIF('3月'!DA4:DA34,$B14)+COUNTIF('3月'!DE4:DE34,$B14)+COUNTIF('3月'!DF4:DF34,$B14)+COUNTIF('3月'!DJ4:DJ34,$B14)+COUNTIF('3月'!DK4:DK34,$B14)+COUNTIF('3月'!DO4:DO34,$B14)+COUNTIF('3月'!DP4:DP34,$B14)+COUNTIF('3月'!DT4:DT34,$B14)+COUNTIF('3月'!DU4:DU34,$B14)+COUNTIF('3月'!DY4:DY34,$B14)+COUNTIF('3月'!DZ4:DZ34,$B14)+COUNTIF('3月'!ED4:ED34,$B14)+COUNTIF('3月'!EE4:EE34,$B14)+COUNTIF('3月'!EI4:EI34,$B14)+COUNTIF('3月'!EJ4:EJ34,$B14)+COUNTIF('3月'!EN4:EN34,$B14)+COUNTIF('3月'!EO4:EO34,$B14)+COUNTIF('3月'!ES4:ES34,$B14)+COUNTIF('3月'!ET4:ET34,$B14)),0)</f>
        <v>0</v>
      </c>
      <c r="F14" s="76">
        <f>IFERROR(IF($B14="","",COUNTIF('4月'!D4:D34,$B14)+COUNTIF('4月'!E4:E34,$B14)+COUNTIF('4月'!I4:I34,$B14)+COUNTIF('4月'!J4:J34,$B14)+COUNTIF('4月'!N4:N34,$B14)+COUNTIF('4月'!O4:O34,$B14)+COUNTIF('4月'!S4:S34,$B14)+COUNTIF('4月'!T4:T34,$B14)+COUNTIF('4月'!X4:X34,$B14)+COUNTIF('4月'!Y4:Y34,$B14)+COUNTIF('4月'!AC4:AC34,$B14)+COUNTIF('4月'!AD4:AD34,$B14)+COUNTIF('4月'!AH4:AH34,$B14)+COUNTIF('4月'!AI4:AI34,$B14)+COUNTIF('4月'!AM4:AM34,$B14)+COUNTIF('4月'!AN4:AN34,$B14)+COUNTIF('4月'!AR4:AR34,$B14)+COUNTIF('4月'!AS4:AS34,$B14)+COUNTIF('4月'!AW4:AW34,$B14)+COUNTIF('4月'!AX4:AX34,$B14)+COUNTIF('4月'!BB4:BB34,$B14)+COUNTIF('4月'!BC4:BC34,$B14)+COUNTIF('4月'!BG4:BG34,$B14)+COUNTIF('4月'!BH4:BH34,$B14)+COUNTIF('4月'!BL4:BL34,$B14)+COUNTIF('4月'!BM4:BM34,$B14)+COUNTIF('4月'!BQ4:BQ34,$B14)+COUNTIF('4月'!BR4:BR34,$B14)+COUNTIF('4月'!BV4:BV34,$B14)+COUNTIF('4月'!BW4:BW34,$B14)+COUNTIF('4月'!CA4:CA34,$B14)+COUNTIF('4月'!CB4:CB34,$B14)+COUNTIF('4月'!CF4:CF34,$B14)+COUNTIF('4月'!CG4:CG34,$B14)+COUNTIF('4月'!CK4:CK34,$B14)+COUNTIF('4月'!CL4:CL34,$B14)+COUNTIF('4月'!CP4:CP34,$B14)+COUNTIF('4月'!CQ4:CQ34,$B14)+COUNTIF('4月'!CU4:CU34,$B14)+COUNTIF('4月'!CV4:CV34,$B14)+COUNTIF('4月'!CZ4:CZ34,$B14)+COUNTIF('4月'!DA4:DA34,$B14)+COUNTIF('4月'!DE4:DE34,$B14)+COUNTIF('4月'!DF4:DF34,$B14)+COUNTIF('4月'!DJ4:DJ34,$B14)+COUNTIF('4月'!DK4:DK34,$B14)+COUNTIF('4月'!DO4:DO34,$B14)+COUNTIF('4月'!DP4:DP34,$B14)+COUNTIF('4月'!DT4:DT34,$B14)+COUNTIF('4月'!DU4:DU34,$B14)+COUNTIF('4月'!DY4:DY34,$B14)+COUNTIF('4月'!DZ4:DZ34,$B14)+COUNTIF('4月'!ED4:ED34,$B14)+COUNTIF('4月'!EE4:EE34,$B14)+COUNTIF('4月'!EI4:EI34,$B14)+COUNTIF('4月'!EJ4:EJ34,$B14)+COUNTIF('4月'!EN4:EN34,$B14)+COUNTIF('4月'!EO4:EO34,$B14)+COUNTIF('4月'!ES4:ES34,$B14)+COUNTIF('4月'!ET4:ET34,$B14)),0)</f>
        <v>0</v>
      </c>
      <c r="G14" s="76">
        <f>IFERROR(IF($B14="","",COUNTIF('5月'!D4:D34,$B14)+COUNTIF('5月'!E4:E34,$B14)+COUNTIF('5月'!I4:I34,$B14)+COUNTIF('5月'!J4:J34,$B14)+COUNTIF('5月'!N4:N34,$B14)+COUNTIF('5月'!O4:O34,$B14)+COUNTIF('5月'!S4:S34,$B14)+COUNTIF('5月'!T4:T34,$B14)+COUNTIF('5月'!X4:X34,$B14)+COUNTIF('5月'!Y4:Y34,$B14)+COUNTIF('5月'!AC4:AC34,$B14)+COUNTIF('5月'!AD4:AD34,$B14)+COUNTIF('5月'!AH4:AH34,$B14)+COUNTIF('5月'!AI4:AI34,$B14)+COUNTIF('5月'!AM4:AM34,$B14)+COUNTIF('5月'!AN4:AN34,$B14)+COUNTIF('5月'!AR4:AR34,$B14)+COUNTIF('5月'!AS4:AS34,$B14)+COUNTIF('5月'!AW4:AW34,$B14)+COUNTIF('5月'!AX4:AX34,$B14)+COUNTIF('5月'!BB4:BB34,$B14)+COUNTIF('5月'!BC4:BC34,$B14)+COUNTIF('5月'!BG4:BG34,$B14)+COUNTIF('5月'!BH4:BH34,$B14)+COUNTIF('5月'!BL4:BL34,$B14)+COUNTIF('5月'!BM4:BM34,$B14)+COUNTIF('5月'!BQ4:BQ34,$B14)+COUNTIF('5月'!BR4:BR34,$B14)+COUNTIF('5月'!BV4:BV34,$B14)+COUNTIF('5月'!BW4:BW34,$B14)+COUNTIF('5月'!CA4:CA34,$B14)+COUNTIF('5月'!CB4:CB34,$B14)+COUNTIF('5月'!CF4:CF34,$B14)+COUNTIF('5月'!CG4:CG34,$B14)+COUNTIF('5月'!CK4:CK34,$B14)+COUNTIF('5月'!CL4:CL34,$B14)+COUNTIF('5月'!CP4:CP34,$B14)+COUNTIF('5月'!CQ4:CQ34,$B14)+COUNTIF('5月'!CU4:CU34,$B14)+COUNTIF('5月'!CV4:CV34,$B14)+COUNTIF('5月'!CZ4:CZ34,$B14)+COUNTIF('5月'!DA4:DA34,$B14)+COUNTIF('5月'!DE4:DE34,$B14)+COUNTIF('5月'!DF4:DF34,$B14)+COUNTIF('5月'!DJ4:DJ34,$B14)+COUNTIF('5月'!DK4:DK34,$B14)+COUNTIF('5月'!DO4:DO34,$B14)+COUNTIF('5月'!DP4:DP34,$B14)+COUNTIF('5月'!DT4:DT34,$B14)+COUNTIF('5月'!DU4:DU34,$B14)+COUNTIF('5月'!DY4:DY34,$B14)+COUNTIF('5月'!DZ4:DZ34,$B14)+COUNTIF('5月'!ED4:ED34,$B14)+COUNTIF('5月'!EE4:EE34,$B14)+COUNTIF('5月'!EI4:EI34,$B14)+COUNTIF('5月'!EJ4:EJ34,$B14)+COUNTIF('5月'!EN4:EN34,$B14)+COUNTIF('5月'!EO4:EO34,$B14)+COUNTIF('5月'!ES4:ES34,$B14)+COUNTIF('5月'!ET4:ET34,$B14)),0)</f>
        <v>0</v>
      </c>
      <c r="H14" s="76">
        <f>IFERROR(IF($B14="","",COUNTIF('6月'!D4:D34,$B14)+COUNTIF('6月'!E4:E34,$B14)+COUNTIF('6月'!I4:I34,$B14)+COUNTIF('6月'!J4:J34,$B14)+COUNTIF('6月'!N4:N34,$B14)+COUNTIF('6月'!O4:O34,$B14)+COUNTIF('6月'!S4:S34,$B14)+COUNTIF('6月'!T4:T34,$B14)+COUNTIF('6月'!X4:X34,$B14)+COUNTIF('6月'!Y4:Y34,$B14)+COUNTIF('6月'!AC4:AC34,$B14)+COUNTIF('6月'!AD4:AD34,$B14)+COUNTIF('6月'!AH4:AH34,$B14)+COUNTIF('6月'!AI4:AI34,$B14)+COUNTIF('6月'!AM4:AM34,$B14)+COUNTIF('6月'!AN4:AN34,$B14)+COUNTIF('6月'!AR4:AR34,$B14)+COUNTIF('6月'!AS4:AS34,$B14)+COUNTIF('6月'!AW4:AW34,$B14)+COUNTIF('6月'!AX4:AX34,$B14)+COUNTIF('6月'!BB4:BB34,$B14)+COUNTIF('6月'!BC4:BC34,$B14)+COUNTIF('6月'!BG4:BG34,$B14)+COUNTIF('6月'!BH4:BH34,$B14)+COUNTIF('6月'!BL4:BL34,$B14)+COUNTIF('6月'!BM4:BM34,$B14)+COUNTIF('6月'!BQ4:BQ34,$B14)+COUNTIF('6月'!BR4:BR34,$B14)+COUNTIF('6月'!BV4:BV34,$B14)+COUNTIF('6月'!BW4:BW34,$B14)+COUNTIF('6月'!CA4:CA34,$B14)+COUNTIF('6月'!CB4:CB34,$B14)+COUNTIF('6月'!CF4:CF34,$B14)+COUNTIF('6月'!CG4:CG34,$B14)+COUNTIF('6月'!CK4:CK34,$B14)+COUNTIF('6月'!CL4:CL34,$B14)+COUNTIF('6月'!CP4:CP34,$B14)+COUNTIF('6月'!CQ4:CQ34,$B14)+COUNTIF('6月'!CU4:CU34,$B14)+COUNTIF('6月'!CV4:CV34,$B14)+COUNTIF('6月'!CZ4:CZ34,$B14)+COUNTIF('6月'!DA4:DA34,$B14)+COUNTIF('6月'!DE4:DE34,$B14)+COUNTIF('6月'!DF4:DF34,$B14)+COUNTIF('6月'!DJ4:DJ34,$B14)+COUNTIF('6月'!DK4:DK34,$B14)+COUNTIF('6月'!DO4:DO34,$B14)+COUNTIF('6月'!DP4:DP34,$B14)+COUNTIF('6月'!DT4:DT34,$B14)+COUNTIF('6月'!DU4:DU34,$B14)+COUNTIF('6月'!DY4:DY34,$B14)+COUNTIF('6月'!DZ4:DZ34,$B14)+COUNTIF('6月'!ED4:ED34,$B14)+COUNTIF('6月'!EE4:EE34,$B14)+COUNTIF('6月'!EI4:EI34,$B14)+COUNTIF('6月'!EJ4:EJ34,$B14)+COUNTIF('6月'!EN4:EN34,$B14)+COUNTIF('6月'!EO4:EO34,$B14)+COUNTIF('6月'!ES4:ES34,$B14)+COUNTIF('6月'!ET4:ET34,$B14)),0)</f>
        <v>0</v>
      </c>
      <c r="I14" s="76">
        <f>IFERROR(IF($B14="","",COUNTIF('7月'!D4:D34,$B14)+COUNTIF('7月'!E4:E34,$B14)+COUNTIF('7月'!I4:I34,$B14)+COUNTIF('7月'!J4:J34,$B14)+COUNTIF('7月'!N4:N34,$B14)+COUNTIF('7月'!O4:O34,$B14)+COUNTIF('7月'!S4:S34,$B14)+COUNTIF('7月'!T4:T34,$B14)+COUNTIF('7月'!X4:X34,$B14)+COUNTIF('7月'!Y4:Y34,$B14)+COUNTIF('7月'!AC4:AC34,$B14)+COUNTIF('7月'!AD4:AD34,$B14)+COUNTIF('7月'!AH4:AH34,$B14)+COUNTIF('7月'!AI4:AI34,$B14)+COUNTIF('7月'!AM4:AM34,$B14)+COUNTIF('7月'!AN4:AN34,$B14)+COUNTIF('7月'!AR4:AR34,$B14)+COUNTIF('7月'!AS4:AS34,$B14)+COUNTIF('7月'!AW4:AW34,$B14)+COUNTIF('7月'!AX4:AX34,$B14)+COUNTIF('7月'!BB4:BB34,$B14)+COUNTIF('7月'!BC4:BC34,$B14)+COUNTIF('7月'!BG4:BG34,$B14)+COUNTIF('7月'!BH4:BH34,$B14)+COUNTIF('7月'!BL4:BL34,$B14)+COUNTIF('7月'!BM4:BM34,$B14)+COUNTIF('7月'!BQ4:BQ34,$B14)+COUNTIF('7月'!BR4:BR34,$B14)+COUNTIF('7月'!BV4:BV34,$B14)+COUNTIF('7月'!BW4:BW34,$B14)+COUNTIF('7月'!CA4:CA34,$B14)+COUNTIF('7月'!CB4:CB34,$B14)+COUNTIF('7月'!CF4:CF34,$B14)+COUNTIF('7月'!CG4:CG34,$B14)+COUNTIF('7月'!CK4:CK34,$B14)+COUNTIF('7月'!CL4:CL34,$B14)+COUNTIF('7月'!CP4:CP34,$B14)+COUNTIF('7月'!CQ4:CQ34,$B14)+COUNTIF('7月'!CU4:CU34,$B14)+COUNTIF('7月'!CV4:CV34,$B14)+COUNTIF('7月'!CZ4:CZ34,$B14)+COUNTIF('7月'!DA4:DA34,$B14)+COUNTIF('7月'!DE4:DE34,$B14)+COUNTIF('7月'!DF4:DF34,$B14)+COUNTIF('7月'!DJ4:DJ34,$B14)+COUNTIF('7月'!DK4:DK34,$B14)+COUNTIF('7月'!DO4:DO34,$B14)+COUNTIF('7月'!DP4:DP34,$B14)+COUNTIF('7月'!DT4:DT34,$B14)+COUNTIF('7月'!DU4:DU34,$B14)+COUNTIF('7月'!DY4:DY34,$B14)+COUNTIF('7月'!DZ4:DZ34,$B14)+COUNTIF('7月'!ED4:ED34,$B14)+COUNTIF('7月'!EE4:EE34,$B14)+COUNTIF('7月'!EI4:EI34,$B14)+COUNTIF('7月'!EJ4:EJ34,$B14)+COUNTIF('7月'!EN4:EN34,$B14)+COUNTIF('7月'!EO4:EO34,$B14)+COUNTIF('7月'!ES4:ES34,$B14)+COUNTIF('7月'!ET4:ET34,$B14)),0)</f>
        <v>0</v>
      </c>
      <c r="J14" s="76">
        <f>IFERROR(IF($B14="","",COUNTIF('8月'!D4:D34,$B14)+COUNTIF('8月'!E4:E34,$B14)+COUNTIF('8月'!I4:I34,$B14)+COUNTIF('8月'!J4:J34,$B14)+COUNTIF('8月'!N4:N34,$B14)+COUNTIF('8月'!O4:O34,$B14)+COUNTIF('8月'!S4:S34,$B14)+COUNTIF('8月'!T4:T34,$B14)+COUNTIF('8月'!X4:X34,$B14)+COUNTIF('8月'!Y4:Y34,$B14)+COUNTIF('8月'!AC4:AC34,$B14)+COUNTIF('8月'!AD4:AD34,$B14)+COUNTIF('8月'!AH4:AH34,$B14)+COUNTIF('8月'!AI4:AI34,$B14)+COUNTIF('8月'!AM4:AM34,$B14)+COUNTIF('8月'!AN4:AN34,$B14)+COUNTIF('8月'!AR4:AR34,$B14)+COUNTIF('8月'!AS4:AS34,$B14)+COUNTIF('8月'!AW4:AW34,$B14)+COUNTIF('8月'!AX4:AX34,$B14)+COUNTIF('8月'!BB4:BB34,$B14)+COUNTIF('8月'!BC4:BC34,$B14)+COUNTIF('8月'!BG4:BG34,$B14)+COUNTIF('8月'!BH4:BH34,$B14)+COUNTIF('8月'!BL4:BL34,$B14)+COUNTIF('8月'!BM4:BM34,$B14)+COUNTIF('8月'!BQ4:BQ34,$B14)+COUNTIF('8月'!BR4:BR34,$B14)+COUNTIF('8月'!BV4:BV34,$B14)+COUNTIF('8月'!BW4:BW34,$B14)+COUNTIF('8月'!CA4:CA34,$B14)+COUNTIF('8月'!CB4:CB34,$B14)+COUNTIF('8月'!CF4:CF34,$B14)+COUNTIF('8月'!CG4:CG34,$B14)+COUNTIF('8月'!CK4:CK34,$B14)+COUNTIF('8月'!CL4:CL34,$B14)+COUNTIF('8月'!CP4:CP34,$B14)+COUNTIF('8月'!CQ4:CQ34,$B14)+COUNTIF('8月'!CU4:CU34,$B14)+COUNTIF('8月'!CV4:CV34,$B14)+COUNTIF('8月'!CZ4:CZ34,$B14)+COUNTIF('8月'!DA4:DA34,$B14)+COUNTIF('8月'!DE4:DE34,$B14)+COUNTIF('8月'!DF4:DF34,$B14)+COUNTIF('8月'!DJ4:DJ34,$B14)+COUNTIF('8月'!DK4:DK34,$B14)+COUNTIF('8月'!DO4:DO34,$B14)+COUNTIF('8月'!DP4:DP34,$B14)+COUNTIF('8月'!DT4:DT34,$B14)+COUNTIF('8月'!DU4:DU34,$B14)+COUNTIF('8月'!DY4:DY34,$B14)+COUNTIF('8月'!DZ4:DZ34,$B14)+COUNTIF('8月'!ED4:ED34,$B14)+COUNTIF('8月'!EE4:EE34,$B14)+COUNTIF('8月'!EI4:EI34,$B14)+COUNTIF('8月'!EJ4:EJ34,$B14)+COUNTIF('8月'!EN4:EN34,$B14)+COUNTIF('8月'!EO4:EO34,$B14)+COUNTIF('8月'!ES4:ES34,$B14)+COUNTIF('8月'!ET4:ET34,$B14)),0)</f>
        <v>0</v>
      </c>
      <c r="K14" s="76">
        <f>IFERROR(IF($B14="","",COUNTIF('9月'!D4:D34,$B14)+COUNTIF('9月'!E4:E34,$B14)+COUNTIF('9月'!I4:I34,$B14)+COUNTIF('9月'!J4:J34,$B14)+COUNTIF('9月'!N4:N34,$B14)+COUNTIF('9月'!O4:O34,$B14)+COUNTIF('9月'!S4:S34,$B14)+COUNTIF('9月'!T4:T34,$B14)+COUNTIF('9月'!X4:X34,$B14)+COUNTIF('9月'!Y4:Y34,$B14)+COUNTIF('9月'!AC4:AC34,$B14)+COUNTIF('9月'!AD4:AD34,$B14)+COUNTIF('9月'!AH4:AH34,$B14)+COUNTIF('9月'!AI4:AI34,$B14)+COUNTIF('9月'!AM4:AM34,$B14)+COUNTIF('9月'!AN4:AN34,$B14)+COUNTIF('9月'!AR4:AR34,$B14)+COUNTIF('9月'!AS4:AS34,$B14)+COUNTIF('9月'!AW4:AW34,$B14)+COUNTIF('9月'!AX4:AX34,$B14)+COUNTIF('9月'!BB4:BB34,$B14)+COUNTIF('9月'!BC4:BC34,$B14)+COUNTIF('9月'!BG4:BG34,$B14)+COUNTIF('9月'!BH4:BH34,$B14)+COUNTIF('9月'!BL4:BL34,$B14)+COUNTIF('9月'!BM4:BM34,$B14)+COUNTIF('9月'!BQ4:BQ34,$B14)+COUNTIF('9月'!BR4:BR34,$B14)+COUNTIF('9月'!BV4:BV34,$B14)+COUNTIF('9月'!BW4:BW34,$B14)+COUNTIF('9月'!CA4:CA34,$B14)+COUNTIF('9月'!CB4:CB34,$B14)+COUNTIF('9月'!CF4:CF34,$B14)+COUNTIF('9月'!CG4:CG34,$B14)+COUNTIF('9月'!CK4:CK34,$B14)+COUNTIF('9月'!CL4:CL34,$B14)+COUNTIF('9月'!CP4:CP34,$B14)+COUNTIF('9月'!CQ4:CQ34,$B14)+COUNTIF('9月'!CU4:CU34,$B14)+COUNTIF('9月'!CV4:CV34,$B14)+COUNTIF('9月'!CZ4:CZ34,$B14)+COUNTIF('9月'!DA4:DA34,$B14)+COUNTIF('9月'!DE4:DE34,$B14)+COUNTIF('9月'!DF4:DF34,$B14)+COUNTIF('9月'!DJ4:DJ34,$B14)+COUNTIF('9月'!DK4:DK34,$B14)+COUNTIF('9月'!DO4:DO34,$B14)+COUNTIF('9月'!DP4:DP34,$B14)+COUNTIF('9月'!DT4:DT34,$B14)+COUNTIF('9月'!DU4:DU34,$B14)+COUNTIF('9月'!DY4:DY34,$B14)+COUNTIF('9月'!DZ4:DZ34,$B14)+COUNTIF('9月'!ED4:ED34,$B14)+COUNTIF('9月'!EE4:EE34,$B14)+COUNTIF('9月'!EI4:EI34,$B14)+COUNTIF('9月'!EJ4:EJ34,$B14)+COUNTIF('9月'!EN4:EN34,$B14)+COUNTIF('9月'!EO4:EO34,$B14)+COUNTIF('9月'!ES4:ES34,$B14)+COUNTIF('9月'!ET4:ET34,$B14)),0)</f>
        <v>0</v>
      </c>
      <c r="L14" s="76">
        <f>IFERROR(IF($B14="","",COUNTIF('10月'!D4:D34,$B14)+COUNTIF('10月'!E4:E34,$B14)+COUNTIF('10月'!I4:I34,$B14)+COUNTIF('10月'!J4:J34,$B14)+COUNTIF('10月'!N4:N34,$B14)+COUNTIF('10月'!O4:O34,$B14)+COUNTIF('10月'!S4:S34,$B14)+COUNTIF('10月'!T4:T34,$B14)+COUNTIF('10月'!X4:X34,$B14)+COUNTIF('10月'!Y4:Y34,$B14)+COUNTIF('10月'!AC4:AC34,$B14)+COUNTIF('10月'!AD4:AD34,$B14)+COUNTIF('10月'!AH4:AH34,$B14)+COUNTIF('10月'!AI4:AI34,$B14)+COUNTIF('10月'!AM4:AM34,$B14)+COUNTIF('10月'!AN4:AN34,$B14)+COUNTIF('10月'!AR4:AR34,$B14)+COUNTIF('10月'!AS4:AS34,$B14)+COUNTIF('10月'!AW4:AW34,$B14)+COUNTIF('10月'!AX4:AX34,$B14)+COUNTIF('10月'!BB4:BB34,$B14)+COUNTIF('10月'!BC4:BC34,$B14)+COUNTIF('10月'!BG4:BG34,$B14)+COUNTIF('10月'!BH4:BH34,$B14)+COUNTIF('10月'!BL4:BL34,$B14)+COUNTIF('10月'!BM4:BM34,$B14)+COUNTIF('10月'!BQ4:BQ34,$B14)+COUNTIF('10月'!BR4:BR34,$B14)+COUNTIF('10月'!BV4:BV34,$B14)+COUNTIF('10月'!BW4:BW34,$B14)+COUNTIF('10月'!CA4:CA34,$B14)+COUNTIF('10月'!CB4:CB34,$B14)+COUNTIF('10月'!CF4:CF34,$B14)+COUNTIF('10月'!CG4:CG34,$B14)+COUNTIF('10月'!CK4:CK34,$B14)+COUNTIF('10月'!CL4:CL34,$B14)+COUNTIF('10月'!CP4:CP34,$B14)+COUNTIF('10月'!CQ4:CQ34,$B14)+COUNTIF('10月'!CU4:CU34,$B14)+COUNTIF('10月'!CV4:CV34,$B14)+COUNTIF('10月'!CZ4:CZ34,$B14)+COUNTIF('10月'!DA4:DA34,$B14)+COUNTIF('10月'!DE4:DE34,$B14)+COUNTIF('10月'!DF4:DF34,$B14)+COUNTIF('10月'!DJ4:DJ34,$B14)+COUNTIF('10月'!DK4:DK34,$B14)+COUNTIF('10月'!DO4:DO34,$B14)+COUNTIF('10月'!DP4:DP34,$B14)+COUNTIF('10月'!DT4:DT34,$B14)+COUNTIF('10月'!DU4:DU34,$B14)+COUNTIF('10月'!DY4:DY34,$B14)+COUNTIF('10月'!DZ4:DZ34,$B14)+COUNTIF('10月'!ED4:ED34,$B14)+COUNTIF('10月'!EE4:EE34,$B14)+COUNTIF('10月'!EI4:EI34,$B14)+COUNTIF('10月'!EJ4:EJ34,$B14)+COUNTIF('10月'!EN4:EN34,$B14)+COUNTIF('10月'!EO4:EO34,$B14)+COUNTIF('10月'!ES4:ES34,$B14)+COUNTIF('10月'!ET4:ET34,$B14)),0)</f>
        <v>0</v>
      </c>
      <c r="M14" s="76">
        <f>IFERROR(IF($B14="","",COUNTIF('11月'!D4:D34,$B14)+COUNTIF('11月'!E4:E34,$B14)+COUNTIF('11月'!I4:I34,$B14)+COUNTIF('11月'!J4:J34,$B14)+COUNTIF('11月'!N4:N34,$B14)+COUNTIF('11月'!O4:O34,$B14)+COUNTIF('11月'!S4:S34,$B14)+COUNTIF('11月'!T4:T34,$B14)+COUNTIF('11月'!X4:X34,$B14)+COUNTIF('11月'!Y4:Y34,$B14)+COUNTIF('11月'!AC4:AC34,$B14)+COUNTIF('11月'!AD4:AD34,$B14)+COUNTIF('11月'!AH4:AH34,$B14)+COUNTIF('11月'!AI4:AI34,$B14)+COUNTIF('11月'!AM4:AM34,$B14)+COUNTIF('11月'!AN4:AN34,$B14)+COUNTIF('11月'!AR4:AR34,$B14)+COUNTIF('11月'!AS4:AS34,$B14)+COUNTIF('11月'!AW4:AW34,$B14)+COUNTIF('11月'!AX4:AX34,$B14)+COUNTIF('11月'!BB4:BB34,$B14)+COUNTIF('11月'!BC4:BC34,$B14)+COUNTIF('11月'!BG4:BG34,$B14)+COUNTIF('11月'!BH4:BH34,$B14)+COUNTIF('11月'!BL4:BL34,$B14)+COUNTIF('11月'!BM4:BM34,$B14)+COUNTIF('11月'!BQ4:BQ34,$B14)+COUNTIF('11月'!BR4:BR34,$B14)+COUNTIF('11月'!BV4:BV34,$B14)+COUNTIF('11月'!BW4:BW34,$B14)+COUNTIF('11月'!CA4:CA34,$B14)+COUNTIF('11月'!CB4:CB34,$B14)+COUNTIF('11月'!CF4:CF34,$B14)+COUNTIF('11月'!CG4:CG34,$B14)+COUNTIF('11月'!CK4:CK34,$B14)+COUNTIF('11月'!CL4:CL34,$B14)+COUNTIF('11月'!CP4:CP34,$B14)+COUNTIF('11月'!CQ4:CQ34,$B14)+COUNTIF('11月'!CU4:CU34,$B14)+COUNTIF('11月'!CV4:CV34,$B14)+COUNTIF('11月'!CZ4:CZ34,$B14)+COUNTIF('11月'!DA4:DA34,$B14)+COUNTIF('11月'!DE4:DE34,$B14)+COUNTIF('11月'!DF4:DF34,$B14)+COUNTIF('11月'!DJ4:DJ34,$B14)+COUNTIF('11月'!DK4:DK34,$B14)+COUNTIF('11月'!DO4:DO34,$B14)+COUNTIF('11月'!DP4:DP34,$B14)+COUNTIF('11月'!DT4:DT34,$B14)+COUNTIF('11月'!DU4:DU34,$B14)+COUNTIF('11月'!DY4:DY34,$B14)+COUNTIF('11月'!DZ4:DZ34,$B14)+COUNTIF('11月'!ED4:ED34,$B14)+COUNTIF('11月'!EE4:EE34,$B14)+COUNTIF('11月'!EI4:EI34,$B14)+COUNTIF('11月'!EJ4:EJ34,$B14)+COUNTIF('11月'!EN4:EN34,$B14)+COUNTIF('11月'!EO4:EO34,$B14)+COUNTIF('11月'!ES4:ES34,$B14)+COUNTIF('11月'!ET4:ET34,$B14)),0)</f>
        <v>0</v>
      </c>
      <c r="N14" s="76">
        <f>IFERROR(IF($B14="","",COUNTIF('12月'!D4:D34,$B14)+COUNTIF('12月'!E4:E34,$B14)+COUNTIF('12月'!I4:I34,$B14)+COUNTIF('12月'!J4:J34,$B14)+COUNTIF('12月'!N4:N34,$B14)+COUNTIF('12月'!O4:O34,$B14)+COUNTIF('12月'!S4:S34,$B14)+COUNTIF('12月'!T4:T34,$B14)+COUNTIF('12月'!X4:X34,$B14)+COUNTIF('12月'!Y4:Y34,$B14)+COUNTIF('12月'!AC4:AC34,$B14)+COUNTIF('12月'!AD4:AD34,$B14)+COUNTIF('12月'!AH4:AH34,$B14)+COUNTIF('12月'!AI4:AI34,$B14)+COUNTIF('12月'!AM4:AM34,$B14)+COUNTIF('12月'!AN4:AN34,$B14)+COUNTIF('12月'!AR4:AR34,$B14)+COUNTIF('12月'!AS4:AS34,$B14)+COUNTIF('12月'!AW4:AW34,$B14)+COUNTIF('12月'!AX4:AX34,$B14)+COUNTIF('12月'!BB4:BB34,$B14)+COUNTIF('12月'!BC4:BC34,$B14)+COUNTIF('12月'!BG4:BG34,$B14)+COUNTIF('12月'!BH4:BH34,$B14)+COUNTIF('12月'!BL4:BL34,$B14)+COUNTIF('12月'!BM4:BM34,$B14)+COUNTIF('12月'!BQ4:BQ34,$B14)+COUNTIF('12月'!BR4:BR34,$B14)+COUNTIF('12月'!BV4:BV34,$B14)+COUNTIF('12月'!BW4:BW34,$B14)+COUNTIF('12月'!CA4:CA34,$B14)+COUNTIF('12月'!CB4:CB34,$B14)+COUNTIF('12月'!CF4:CF34,$B14)+COUNTIF('12月'!CG4:CG34,$B14)+COUNTIF('12月'!CK4:CK34,$B14)+COUNTIF('12月'!CL4:CL34,$B14)+COUNTIF('12月'!CP4:CP34,$B14)+COUNTIF('12月'!CQ4:CQ34,$B14)+COUNTIF('12月'!CU4:CU34,$B14)+COUNTIF('12月'!CV4:CV34,$B14)+COUNTIF('12月'!CZ4:CZ34,$B14)+COUNTIF('12月'!DA4:DA34,$B14)+COUNTIF('12月'!DE4:DE34,$B14)+COUNTIF('12月'!DF4:DF34,$B14)+COUNTIF('12月'!DJ4:DJ34,$B14)+COUNTIF('12月'!DK4:DK34,$B14)+COUNTIF('12月'!DO4:DO34,$B14)+COUNTIF('12月'!DP4:DP34,$B14)+COUNTIF('12月'!DT4:DT34,$B14)+COUNTIF('12月'!DU4:DU34,$B14)+COUNTIF('12月'!DY4:DY34,$B14)+COUNTIF('12月'!DZ4:DZ34,$B14)+COUNTIF('12月'!ED4:ED34,$B14)+COUNTIF('12月'!EE4:EE34,$B14)+COUNTIF('12月'!EI4:EI34,$B14)+COUNTIF('12月'!EJ4:EJ34,$B14)+COUNTIF('12月'!EN4:EN34,$B14)+COUNTIF('12月'!EO4:EO34,$B14)+COUNTIF('12月'!ES4:ES34,$B14)+COUNTIF('12月'!ET4:ET34,$B14)),0)</f>
        <v>0</v>
      </c>
      <c r="O14" s="78">
        <f t="shared" si="0"/>
        <v>0</v>
      </c>
    </row>
    <row r="15" spans="1:15" ht="19.5" customHeight="1">
      <c r="A15" s="76">
        <v>13</v>
      </c>
      <c r="B15" s="77">
        <f>IFERROR(現場マスタ!$C$16,"")</f>
        <v>0</v>
      </c>
      <c r="C15" s="76">
        <f>IFERROR(IF($B15="","",COUNTIF('1月'!D4:D34,$B15)+COUNTIF('1月'!E4:E34,$B15)+COUNTIF('1月'!I4:I34,$B15)+COUNTIF('1月'!J4:J34,$B15)+COUNTIF('1月'!N4:N34,$B15)+COUNTIF('1月'!O4:O34,$B15)+COUNTIF('1月'!S4:S34,$B15)+COUNTIF('1月'!T4:T34,$B15)+COUNTIF('1月'!X4:X34,$B15)+COUNTIF('1月'!Y4:Y34,$B15)+COUNTIF('1月'!AC4:AC34,$B15)+COUNTIF('1月'!AD4:AD34,$B15)+COUNTIF('1月'!AH4:AH34,$B15)+COUNTIF('1月'!AI4:AI34,$B15)+COUNTIF('1月'!AM4:AM34,$B15)+COUNTIF('1月'!AN4:AN34,$B15)+COUNTIF('1月'!AR4:AR34,$B15)+COUNTIF('1月'!AS4:AS34,$B15)+COUNTIF('1月'!AW4:AW34,$B15)+COUNTIF('1月'!AX4:AX34,$B15)+COUNTIF('1月'!BB4:BB34,$B15)+COUNTIF('1月'!BC4:BC34,$B15)+COUNTIF('1月'!BG4:BG34,$B15)+COUNTIF('1月'!BH4:BH34,$B15)+COUNTIF('1月'!BL4:BL34,$B15)+COUNTIF('1月'!BM4:BM34,$B15)+COUNTIF('1月'!BQ4:BQ34,$B15)+COUNTIF('1月'!BR4:BR34,$B15)+COUNTIF('1月'!BV4:BV34,$B15)+COUNTIF('1月'!BW4:BW34,$B15)+COUNTIF('1月'!CA4:CA34,$B15)+COUNTIF('1月'!CB4:CB34,$B15)+COUNTIF('1月'!CF4:CF34,$B15)+COUNTIF('1月'!CG4:CG34,$B15)+COUNTIF('1月'!CK4:CK34,$B15)+COUNTIF('1月'!CL4:CL34,$B15)+COUNTIF('1月'!CP4:CP34,$B15)+COUNTIF('1月'!CQ4:CQ34,$B15)+COUNTIF('1月'!CU4:CU34,$B15)+COUNTIF('1月'!CV4:CV34,$B15)+COUNTIF('1月'!CZ4:CZ34,$B15)+COUNTIF('1月'!DA4:DA34,$B15)+COUNTIF('1月'!DE4:DE34,$B15)+COUNTIF('1月'!DF4:DF34,$B15)+COUNTIF('1月'!DJ4:DJ34,$B15)+COUNTIF('1月'!DK4:DK34,$B15)+COUNTIF('1月'!DO4:DO34,$B15)+COUNTIF('1月'!DP4:DP34,$B15)+COUNTIF('1月'!DT4:DT34,$B15)+COUNTIF('1月'!DU4:DU34,$B15)+COUNTIF('1月'!DY4:DY34,$B15)+COUNTIF('1月'!DZ4:DZ34,$B15)+COUNTIF('1月'!ED4:ED34,$B15)+COUNTIF('1月'!EE4:EE34,$B15)+COUNTIF('1月'!EI4:EI34,$B15)+COUNTIF('1月'!EJ4:EJ34,$B15)+COUNTIF('1月'!EN4:EN34,$B15)+COUNTIF('1月'!EO4:EO34,$B15)+COUNTIF('1月'!ES4:ES34,$B15)+COUNTIF('1月'!ET4:ET34,$B15)),0)</f>
        <v>0</v>
      </c>
      <c r="D15" s="76">
        <f>IFERROR(IF($B15="","",COUNTIF('2月'!D4:D34,$B15)+COUNTIF('2月'!E4:E34,$B15)+COUNTIF('2月'!I4:I34,$B15)+COUNTIF('2月'!J4:J34,$B15)+COUNTIF('2月'!N4:N34,$B15)+COUNTIF('2月'!O4:O34,$B15)+COUNTIF('2月'!S4:S34,$B15)+COUNTIF('2月'!T4:T34,$B15)+COUNTIF('2月'!X4:X34,$B15)+COUNTIF('2月'!Y4:Y34,$B15)+COUNTIF('2月'!AC4:AC34,$B15)+COUNTIF('2月'!AD4:AD34,$B15)+COUNTIF('2月'!AH4:AH34,$B15)+COUNTIF('2月'!AI4:AI34,$B15)+COUNTIF('2月'!AM4:AM34,$B15)+COUNTIF('2月'!AN4:AN34,$B15)+COUNTIF('2月'!AR4:AR34,$B15)+COUNTIF('2月'!AS4:AS34,$B15)+COUNTIF('2月'!AW4:AW34,$B15)+COUNTIF('2月'!AX4:AX34,$B15)+COUNTIF('2月'!BB4:BB34,$B15)+COUNTIF('2月'!BC4:BC34,$B15)+COUNTIF('2月'!BG4:BG34,$B15)+COUNTIF('2月'!BH4:BH34,$B15)+COUNTIF('2月'!BL4:BL34,$B15)+COUNTIF('2月'!BM4:BM34,$B15)+COUNTIF('2月'!BQ4:BQ34,$B15)+COUNTIF('2月'!BR4:BR34,$B15)+COUNTIF('2月'!BV4:BV34,$B15)+COUNTIF('2月'!BW4:BW34,$B15)+COUNTIF('2月'!CA4:CA34,$B15)+COUNTIF('2月'!CB4:CB34,$B15)+COUNTIF('2月'!CF4:CF34,$B15)+COUNTIF('2月'!CG4:CG34,$B15)+COUNTIF('2月'!CK4:CK34,$B15)+COUNTIF('2月'!CL4:CL34,$B15)+COUNTIF('2月'!CP4:CP34,$B15)+COUNTIF('2月'!CQ4:CQ34,$B15)+COUNTIF('2月'!CU4:CU34,$B15)+COUNTIF('2月'!CV4:CV34,$B15)+COUNTIF('2月'!CZ4:CZ34,$B15)+COUNTIF('2月'!DA4:DA34,$B15)+COUNTIF('2月'!DE4:DE34,$B15)+COUNTIF('2月'!DF4:DF34,$B15)+COUNTIF('2月'!DJ4:DJ34,$B15)+COUNTIF('2月'!DK4:DK34,$B15)+COUNTIF('2月'!DO4:DO34,$B15)+COUNTIF('2月'!DP4:DP34,$B15)+COUNTIF('2月'!DT4:DT34,$B15)+COUNTIF('2月'!DU4:DU34,$B15)+COUNTIF('2月'!DY4:DY34,$B15)+COUNTIF('2月'!DZ4:DZ34,$B15)+COUNTIF('2月'!ED4:ED34,$B15)+COUNTIF('2月'!EE4:EE34,$B15)+COUNTIF('2月'!EI4:EI34,$B15)+COUNTIF('2月'!EJ4:EJ34,$B15)+COUNTIF('2月'!EN4:EN34,$B15)+COUNTIF('2月'!EO4:EO34,$B15)+COUNTIF('2月'!ES4:ES34,$B15)+COUNTIF('2月'!ET4:ET34,$B15)),0)</f>
        <v>0</v>
      </c>
      <c r="E15" s="76">
        <f>IFERROR(IF($B15="","",COUNTIF('3月'!D4:D34,$B15)+COUNTIF('3月'!E4:E34,$B15)+COUNTIF('3月'!I4:I34,$B15)+COUNTIF('3月'!J4:J34,$B15)+COUNTIF('3月'!N4:N34,$B15)+COUNTIF('3月'!O4:O34,$B15)+COUNTIF('3月'!S4:S34,$B15)+COUNTIF('3月'!T4:T34,$B15)+COUNTIF('3月'!X4:X34,$B15)+COUNTIF('3月'!Y4:Y34,$B15)+COUNTIF('3月'!AC4:AC34,$B15)+COUNTIF('3月'!AD4:AD34,$B15)+COUNTIF('3月'!AH4:AH34,$B15)+COUNTIF('3月'!AI4:AI34,$B15)+COUNTIF('3月'!AM4:AM34,$B15)+COUNTIF('3月'!AN4:AN34,$B15)+COUNTIF('3月'!AR4:AR34,$B15)+COUNTIF('3月'!AS4:AS34,$B15)+COUNTIF('3月'!AW4:AW34,$B15)+COUNTIF('3月'!AX4:AX34,$B15)+COUNTIF('3月'!BB4:BB34,$B15)+COUNTIF('3月'!BC4:BC34,$B15)+COUNTIF('3月'!BG4:BG34,$B15)+COUNTIF('3月'!BH4:BH34,$B15)+COUNTIF('3月'!BL4:BL34,$B15)+COUNTIF('3月'!BM4:BM34,$B15)+COUNTIF('3月'!BQ4:BQ34,$B15)+COUNTIF('3月'!BR4:BR34,$B15)+COUNTIF('3月'!BV4:BV34,$B15)+COUNTIF('3月'!BW4:BW34,$B15)+COUNTIF('3月'!CA4:CA34,$B15)+COUNTIF('3月'!CB4:CB34,$B15)+COUNTIF('3月'!CF4:CF34,$B15)+COUNTIF('3月'!CG4:CG34,$B15)+COUNTIF('3月'!CK4:CK34,$B15)+COUNTIF('3月'!CL4:CL34,$B15)+COUNTIF('3月'!CP4:CP34,$B15)+COUNTIF('3月'!CQ4:CQ34,$B15)+COUNTIF('3月'!CU4:CU34,$B15)+COUNTIF('3月'!CV4:CV34,$B15)+COUNTIF('3月'!CZ4:CZ34,$B15)+COUNTIF('3月'!DA4:DA34,$B15)+COUNTIF('3月'!DE4:DE34,$B15)+COUNTIF('3月'!DF4:DF34,$B15)+COUNTIF('3月'!DJ4:DJ34,$B15)+COUNTIF('3月'!DK4:DK34,$B15)+COUNTIF('3月'!DO4:DO34,$B15)+COUNTIF('3月'!DP4:DP34,$B15)+COUNTIF('3月'!DT4:DT34,$B15)+COUNTIF('3月'!DU4:DU34,$B15)+COUNTIF('3月'!DY4:DY34,$B15)+COUNTIF('3月'!DZ4:DZ34,$B15)+COUNTIF('3月'!ED4:ED34,$B15)+COUNTIF('3月'!EE4:EE34,$B15)+COUNTIF('3月'!EI4:EI34,$B15)+COUNTIF('3月'!EJ4:EJ34,$B15)+COUNTIF('3月'!EN4:EN34,$B15)+COUNTIF('3月'!EO4:EO34,$B15)+COUNTIF('3月'!ES4:ES34,$B15)+COUNTIF('3月'!ET4:ET34,$B15)),0)</f>
        <v>0</v>
      </c>
      <c r="F15" s="76">
        <f>IFERROR(IF($B15="","",COUNTIF('4月'!D4:D34,$B15)+COUNTIF('4月'!E4:E34,$B15)+COUNTIF('4月'!I4:I34,$B15)+COUNTIF('4月'!J4:J34,$B15)+COUNTIF('4月'!N4:N34,$B15)+COUNTIF('4月'!O4:O34,$B15)+COUNTIF('4月'!S4:S34,$B15)+COUNTIF('4月'!T4:T34,$B15)+COUNTIF('4月'!X4:X34,$B15)+COUNTIF('4月'!Y4:Y34,$B15)+COUNTIF('4月'!AC4:AC34,$B15)+COUNTIF('4月'!AD4:AD34,$B15)+COUNTIF('4月'!AH4:AH34,$B15)+COUNTIF('4月'!AI4:AI34,$B15)+COUNTIF('4月'!AM4:AM34,$B15)+COUNTIF('4月'!AN4:AN34,$B15)+COUNTIF('4月'!AR4:AR34,$B15)+COUNTIF('4月'!AS4:AS34,$B15)+COUNTIF('4月'!AW4:AW34,$B15)+COUNTIF('4月'!AX4:AX34,$B15)+COUNTIF('4月'!BB4:BB34,$B15)+COUNTIF('4月'!BC4:BC34,$B15)+COUNTIF('4月'!BG4:BG34,$B15)+COUNTIF('4月'!BH4:BH34,$B15)+COUNTIF('4月'!BL4:BL34,$B15)+COUNTIF('4月'!BM4:BM34,$B15)+COUNTIF('4月'!BQ4:BQ34,$B15)+COUNTIF('4月'!BR4:BR34,$B15)+COUNTIF('4月'!BV4:BV34,$B15)+COUNTIF('4月'!BW4:BW34,$B15)+COUNTIF('4月'!CA4:CA34,$B15)+COUNTIF('4月'!CB4:CB34,$B15)+COUNTIF('4月'!CF4:CF34,$B15)+COUNTIF('4月'!CG4:CG34,$B15)+COUNTIF('4月'!CK4:CK34,$B15)+COUNTIF('4月'!CL4:CL34,$B15)+COUNTIF('4月'!CP4:CP34,$B15)+COUNTIF('4月'!CQ4:CQ34,$B15)+COUNTIF('4月'!CU4:CU34,$B15)+COUNTIF('4月'!CV4:CV34,$B15)+COUNTIF('4月'!CZ4:CZ34,$B15)+COUNTIF('4月'!DA4:DA34,$B15)+COUNTIF('4月'!DE4:DE34,$B15)+COUNTIF('4月'!DF4:DF34,$B15)+COUNTIF('4月'!DJ4:DJ34,$B15)+COUNTIF('4月'!DK4:DK34,$B15)+COUNTIF('4月'!DO4:DO34,$B15)+COUNTIF('4月'!DP4:DP34,$B15)+COUNTIF('4月'!DT4:DT34,$B15)+COUNTIF('4月'!DU4:DU34,$B15)+COUNTIF('4月'!DY4:DY34,$B15)+COUNTIF('4月'!DZ4:DZ34,$B15)+COUNTIF('4月'!ED4:ED34,$B15)+COUNTIF('4月'!EE4:EE34,$B15)+COUNTIF('4月'!EI4:EI34,$B15)+COUNTIF('4月'!EJ4:EJ34,$B15)+COUNTIF('4月'!EN4:EN34,$B15)+COUNTIF('4月'!EO4:EO34,$B15)+COUNTIF('4月'!ES4:ES34,$B15)+COUNTIF('4月'!ET4:ET34,$B15)),0)</f>
        <v>0</v>
      </c>
      <c r="G15" s="76">
        <f>IFERROR(IF($B15="","",COUNTIF('5月'!D4:D34,$B15)+COUNTIF('5月'!E4:E34,$B15)+COUNTIF('5月'!I4:I34,$B15)+COUNTIF('5月'!J4:J34,$B15)+COUNTIF('5月'!N4:N34,$B15)+COUNTIF('5月'!O4:O34,$B15)+COUNTIF('5月'!S4:S34,$B15)+COUNTIF('5月'!T4:T34,$B15)+COUNTIF('5月'!X4:X34,$B15)+COUNTIF('5月'!Y4:Y34,$B15)+COUNTIF('5月'!AC4:AC34,$B15)+COUNTIF('5月'!AD4:AD34,$B15)+COUNTIF('5月'!AH4:AH34,$B15)+COUNTIF('5月'!AI4:AI34,$B15)+COUNTIF('5月'!AM4:AM34,$B15)+COUNTIF('5月'!AN4:AN34,$B15)+COUNTIF('5月'!AR4:AR34,$B15)+COUNTIF('5月'!AS4:AS34,$B15)+COUNTIF('5月'!AW4:AW34,$B15)+COUNTIF('5月'!AX4:AX34,$B15)+COUNTIF('5月'!BB4:BB34,$B15)+COUNTIF('5月'!BC4:BC34,$B15)+COUNTIF('5月'!BG4:BG34,$B15)+COUNTIF('5月'!BH4:BH34,$B15)+COUNTIF('5月'!BL4:BL34,$B15)+COUNTIF('5月'!BM4:BM34,$B15)+COUNTIF('5月'!BQ4:BQ34,$B15)+COUNTIF('5月'!BR4:BR34,$B15)+COUNTIF('5月'!BV4:BV34,$B15)+COUNTIF('5月'!BW4:BW34,$B15)+COUNTIF('5月'!CA4:CA34,$B15)+COUNTIF('5月'!CB4:CB34,$B15)+COUNTIF('5月'!CF4:CF34,$B15)+COUNTIF('5月'!CG4:CG34,$B15)+COUNTIF('5月'!CK4:CK34,$B15)+COUNTIF('5月'!CL4:CL34,$B15)+COUNTIF('5月'!CP4:CP34,$B15)+COUNTIF('5月'!CQ4:CQ34,$B15)+COUNTIF('5月'!CU4:CU34,$B15)+COUNTIF('5月'!CV4:CV34,$B15)+COUNTIF('5月'!CZ4:CZ34,$B15)+COUNTIF('5月'!DA4:DA34,$B15)+COUNTIF('5月'!DE4:DE34,$B15)+COUNTIF('5月'!DF4:DF34,$B15)+COUNTIF('5月'!DJ4:DJ34,$B15)+COUNTIF('5月'!DK4:DK34,$B15)+COUNTIF('5月'!DO4:DO34,$B15)+COUNTIF('5月'!DP4:DP34,$B15)+COUNTIF('5月'!DT4:DT34,$B15)+COUNTIF('5月'!DU4:DU34,$B15)+COUNTIF('5月'!DY4:DY34,$B15)+COUNTIF('5月'!DZ4:DZ34,$B15)+COUNTIF('5月'!ED4:ED34,$B15)+COUNTIF('5月'!EE4:EE34,$B15)+COUNTIF('5月'!EI4:EI34,$B15)+COUNTIF('5月'!EJ4:EJ34,$B15)+COUNTIF('5月'!EN4:EN34,$B15)+COUNTIF('5月'!EO4:EO34,$B15)+COUNTIF('5月'!ES4:ES34,$B15)+COUNTIF('5月'!ET4:ET34,$B15)),0)</f>
        <v>0</v>
      </c>
      <c r="H15" s="76">
        <f>IFERROR(IF($B15="","",COUNTIF('6月'!D4:D34,$B15)+COUNTIF('6月'!E4:E34,$B15)+COUNTIF('6月'!I4:I34,$B15)+COUNTIF('6月'!J4:J34,$B15)+COUNTIF('6月'!N4:N34,$B15)+COUNTIF('6月'!O4:O34,$B15)+COUNTIF('6月'!S4:S34,$B15)+COUNTIF('6月'!T4:T34,$B15)+COUNTIF('6月'!X4:X34,$B15)+COUNTIF('6月'!Y4:Y34,$B15)+COUNTIF('6月'!AC4:AC34,$B15)+COUNTIF('6月'!AD4:AD34,$B15)+COUNTIF('6月'!AH4:AH34,$B15)+COUNTIF('6月'!AI4:AI34,$B15)+COUNTIF('6月'!AM4:AM34,$B15)+COUNTIF('6月'!AN4:AN34,$B15)+COUNTIF('6月'!AR4:AR34,$B15)+COUNTIF('6月'!AS4:AS34,$B15)+COUNTIF('6月'!AW4:AW34,$B15)+COUNTIF('6月'!AX4:AX34,$B15)+COUNTIF('6月'!BB4:BB34,$B15)+COUNTIF('6月'!BC4:BC34,$B15)+COUNTIF('6月'!BG4:BG34,$B15)+COUNTIF('6月'!BH4:BH34,$B15)+COUNTIF('6月'!BL4:BL34,$B15)+COUNTIF('6月'!BM4:BM34,$B15)+COUNTIF('6月'!BQ4:BQ34,$B15)+COUNTIF('6月'!BR4:BR34,$B15)+COUNTIF('6月'!BV4:BV34,$B15)+COUNTIF('6月'!BW4:BW34,$B15)+COUNTIF('6月'!CA4:CA34,$B15)+COUNTIF('6月'!CB4:CB34,$B15)+COUNTIF('6月'!CF4:CF34,$B15)+COUNTIF('6月'!CG4:CG34,$B15)+COUNTIF('6月'!CK4:CK34,$B15)+COUNTIF('6月'!CL4:CL34,$B15)+COUNTIF('6月'!CP4:CP34,$B15)+COUNTIF('6月'!CQ4:CQ34,$B15)+COUNTIF('6月'!CU4:CU34,$B15)+COUNTIF('6月'!CV4:CV34,$B15)+COUNTIF('6月'!CZ4:CZ34,$B15)+COUNTIF('6月'!DA4:DA34,$B15)+COUNTIF('6月'!DE4:DE34,$B15)+COUNTIF('6月'!DF4:DF34,$B15)+COUNTIF('6月'!DJ4:DJ34,$B15)+COUNTIF('6月'!DK4:DK34,$B15)+COUNTIF('6月'!DO4:DO34,$B15)+COUNTIF('6月'!DP4:DP34,$B15)+COUNTIF('6月'!DT4:DT34,$B15)+COUNTIF('6月'!DU4:DU34,$B15)+COUNTIF('6月'!DY4:DY34,$B15)+COUNTIF('6月'!DZ4:DZ34,$B15)+COUNTIF('6月'!ED4:ED34,$B15)+COUNTIF('6月'!EE4:EE34,$B15)+COUNTIF('6月'!EI4:EI34,$B15)+COUNTIF('6月'!EJ4:EJ34,$B15)+COUNTIF('6月'!EN4:EN34,$B15)+COUNTIF('6月'!EO4:EO34,$B15)+COUNTIF('6月'!ES4:ES34,$B15)+COUNTIF('6月'!ET4:ET34,$B15)),0)</f>
        <v>0</v>
      </c>
      <c r="I15" s="76">
        <f>IFERROR(IF($B15="","",COUNTIF('7月'!D4:D34,$B15)+COUNTIF('7月'!E4:E34,$B15)+COUNTIF('7月'!I4:I34,$B15)+COUNTIF('7月'!J4:J34,$B15)+COUNTIF('7月'!N4:N34,$B15)+COUNTIF('7月'!O4:O34,$B15)+COUNTIF('7月'!S4:S34,$B15)+COUNTIF('7月'!T4:T34,$B15)+COUNTIF('7月'!X4:X34,$B15)+COUNTIF('7月'!Y4:Y34,$B15)+COUNTIF('7月'!AC4:AC34,$B15)+COUNTIF('7月'!AD4:AD34,$B15)+COUNTIF('7月'!AH4:AH34,$B15)+COUNTIF('7月'!AI4:AI34,$B15)+COUNTIF('7月'!AM4:AM34,$B15)+COUNTIF('7月'!AN4:AN34,$B15)+COUNTIF('7月'!AR4:AR34,$B15)+COUNTIF('7月'!AS4:AS34,$B15)+COUNTIF('7月'!AW4:AW34,$B15)+COUNTIF('7月'!AX4:AX34,$B15)+COUNTIF('7月'!BB4:BB34,$B15)+COUNTIF('7月'!BC4:BC34,$B15)+COUNTIF('7月'!BG4:BG34,$B15)+COUNTIF('7月'!BH4:BH34,$B15)+COUNTIF('7月'!BL4:BL34,$B15)+COUNTIF('7月'!BM4:BM34,$B15)+COUNTIF('7月'!BQ4:BQ34,$B15)+COUNTIF('7月'!BR4:BR34,$B15)+COUNTIF('7月'!BV4:BV34,$B15)+COUNTIF('7月'!BW4:BW34,$B15)+COUNTIF('7月'!CA4:CA34,$B15)+COUNTIF('7月'!CB4:CB34,$B15)+COUNTIF('7月'!CF4:CF34,$B15)+COUNTIF('7月'!CG4:CG34,$B15)+COUNTIF('7月'!CK4:CK34,$B15)+COUNTIF('7月'!CL4:CL34,$B15)+COUNTIF('7月'!CP4:CP34,$B15)+COUNTIF('7月'!CQ4:CQ34,$B15)+COUNTIF('7月'!CU4:CU34,$B15)+COUNTIF('7月'!CV4:CV34,$B15)+COUNTIF('7月'!CZ4:CZ34,$B15)+COUNTIF('7月'!DA4:DA34,$B15)+COUNTIF('7月'!DE4:DE34,$B15)+COUNTIF('7月'!DF4:DF34,$B15)+COUNTIF('7月'!DJ4:DJ34,$B15)+COUNTIF('7月'!DK4:DK34,$B15)+COUNTIF('7月'!DO4:DO34,$B15)+COUNTIF('7月'!DP4:DP34,$B15)+COUNTIF('7月'!DT4:DT34,$B15)+COUNTIF('7月'!DU4:DU34,$B15)+COUNTIF('7月'!DY4:DY34,$B15)+COUNTIF('7月'!DZ4:DZ34,$B15)+COUNTIF('7月'!ED4:ED34,$B15)+COUNTIF('7月'!EE4:EE34,$B15)+COUNTIF('7月'!EI4:EI34,$B15)+COUNTIF('7月'!EJ4:EJ34,$B15)+COUNTIF('7月'!EN4:EN34,$B15)+COUNTIF('7月'!EO4:EO34,$B15)+COUNTIF('7月'!ES4:ES34,$B15)+COUNTIF('7月'!ET4:ET34,$B15)),0)</f>
        <v>0</v>
      </c>
      <c r="J15" s="76">
        <f>IFERROR(IF($B15="","",COUNTIF('8月'!D4:D34,$B15)+COUNTIF('8月'!E4:E34,$B15)+COUNTIF('8月'!I4:I34,$B15)+COUNTIF('8月'!J4:J34,$B15)+COUNTIF('8月'!N4:N34,$B15)+COUNTIF('8月'!O4:O34,$B15)+COUNTIF('8月'!S4:S34,$B15)+COUNTIF('8月'!T4:T34,$B15)+COUNTIF('8月'!X4:X34,$B15)+COUNTIF('8月'!Y4:Y34,$B15)+COUNTIF('8月'!AC4:AC34,$B15)+COUNTIF('8月'!AD4:AD34,$B15)+COUNTIF('8月'!AH4:AH34,$B15)+COUNTIF('8月'!AI4:AI34,$B15)+COUNTIF('8月'!AM4:AM34,$B15)+COUNTIF('8月'!AN4:AN34,$B15)+COUNTIF('8月'!AR4:AR34,$B15)+COUNTIF('8月'!AS4:AS34,$B15)+COUNTIF('8月'!AW4:AW34,$B15)+COUNTIF('8月'!AX4:AX34,$B15)+COUNTIF('8月'!BB4:BB34,$B15)+COUNTIF('8月'!BC4:BC34,$B15)+COUNTIF('8月'!BG4:BG34,$B15)+COUNTIF('8月'!BH4:BH34,$B15)+COUNTIF('8月'!BL4:BL34,$B15)+COUNTIF('8月'!BM4:BM34,$B15)+COUNTIF('8月'!BQ4:BQ34,$B15)+COUNTIF('8月'!BR4:BR34,$B15)+COUNTIF('8月'!BV4:BV34,$B15)+COUNTIF('8月'!BW4:BW34,$B15)+COUNTIF('8月'!CA4:CA34,$B15)+COUNTIF('8月'!CB4:CB34,$B15)+COUNTIF('8月'!CF4:CF34,$B15)+COUNTIF('8月'!CG4:CG34,$B15)+COUNTIF('8月'!CK4:CK34,$B15)+COUNTIF('8月'!CL4:CL34,$B15)+COUNTIF('8月'!CP4:CP34,$B15)+COUNTIF('8月'!CQ4:CQ34,$B15)+COUNTIF('8月'!CU4:CU34,$B15)+COUNTIF('8月'!CV4:CV34,$B15)+COUNTIF('8月'!CZ4:CZ34,$B15)+COUNTIF('8月'!DA4:DA34,$B15)+COUNTIF('8月'!DE4:DE34,$B15)+COUNTIF('8月'!DF4:DF34,$B15)+COUNTIF('8月'!DJ4:DJ34,$B15)+COUNTIF('8月'!DK4:DK34,$B15)+COUNTIF('8月'!DO4:DO34,$B15)+COUNTIF('8月'!DP4:DP34,$B15)+COUNTIF('8月'!DT4:DT34,$B15)+COUNTIF('8月'!DU4:DU34,$B15)+COUNTIF('8月'!DY4:DY34,$B15)+COUNTIF('8月'!DZ4:DZ34,$B15)+COUNTIF('8月'!ED4:ED34,$B15)+COUNTIF('8月'!EE4:EE34,$B15)+COUNTIF('8月'!EI4:EI34,$B15)+COUNTIF('8月'!EJ4:EJ34,$B15)+COUNTIF('8月'!EN4:EN34,$B15)+COUNTIF('8月'!EO4:EO34,$B15)+COUNTIF('8月'!ES4:ES34,$B15)+COUNTIF('8月'!ET4:ET34,$B15)),0)</f>
        <v>0</v>
      </c>
      <c r="K15" s="76">
        <f>IFERROR(IF($B15="","",COUNTIF('9月'!D4:D34,$B15)+COUNTIF('9月'!E4:E34,$B15)+COUNTIF('9月'!I4:I34,$B15)+COUNTIF('9月'!J4:J34,$B15)+COUNTIF('9月'!N4:N34,$B15)+COUNTIF('9月'!O4:O34,$B15)+COUNTIF('9月'!S4:S34,$B15)+COUNTIF('9月'!T4:T34,$B15)+COUNTIF('9月'!X4:X34,$B15)+COUNTIF('9月'!Y4:Y34,$B15)+COUNTIF('9月'!AC4:AC34,$B15)+COUNTIF('9月'!AD4:AD34,$B15)+COUNTIF('9月'!AH4:AH34,$B15)+COUNTIF('9月'!AI4:AI34,$B15)+COUNTIF('9月'!AM4:AM34,$B15)+COUNTIF('9月'!AN4:AN34,$B15)+COUNTIF('9月'!AR4:AR34,$B15)+COUNTIF('9月'!AS4:AS34,$B15)+COUNTIF('9月'!AW4:AW34,$B15)+COUNTIF('9月'!AX4:AX34,$B15)+COUNTIF('9月'!BB4:BB34,$B15)+COUNTIF('9月'!BC4:BC34,$B15)+COUNTIF('9月'!BG4:BG34,$B15)+COUNTIF('9月'!BH4:BH34,$B15)+COUNTIF('9月'!BL4:BL34,$B15)+COUNTIF('9月'!BM4:BM34,$B15)+COUNTIF('9月'!BQ4:BQ34,$B15)+COUNTIF('9月'!BR4:BR34,$B15)+COUNTIF('9月'!BV4:BV34,$B15)+COUNTIF('9月'!BW4:BW34,$B15)+COUNTIF('9月'!CA4:CA34,$B15)+COUNTIF('9月'!CB4:CB34,$B15)+COUNTIF('9月'!CF4:CF34,$B15)+COUNTIF('9月'!CG4:CG34,$B15)+COUNTIF('9月'!CK4:CK34,$B15)+COUNTIF('9月'!CL4:CL34,$B15)+COUNTIF('9月'!CP4:CP34,$B15)+COUNTIF('9月'!CQ4:CQ34,$B15)+COUNTIF('9月'!CU4:CU34,$B15)+COUNTIF('9月'!CV4:CV34,$B15)+COUNTIF('9月'!CZ4:CZ34,$B15)+COUNTIF('9月'!DA4:DA34,$B15)+COUNTIF('9月'!DE4:DE34,$B15)+COUNTIF('9月'!DF4:DF34,$B15)+COUNTIF('9月'!DJ4:DJ34,$B15)+COUNTIF('9月'!DK4:DK34,$B15)+COUNTIF('9月'!DO4:DO34,$B15)+COUNTIF('9月'!DP4:DP34,$B15)+COUNTIF('9月'!DT4:DT34,$B15)+COUNTIF('9月'!DU4:DU34,$B15)+COUNTIF('9月'!DY4:DY34,$B15)+COUNTIF('9月'!DZ4:DZ34,$B15)+COUNTIF('9月'!ED4:ED34,$B15)+COUNTIF('9月'!EE4:EE34,$B15)+COUNTIF('9月'!EI4:EI34,$B15)+COUNTIF('9月'!EJ4:EJ34,$B15)+COUNTIF('9月'!EN4:EN34,$B15)+COUNTIF('9月'!EO4:EO34,$B15)+COUNTIF('9月'!ES4:ES34,$B15)+COUNTIF('9月'!ET4:ET34,$B15)),0)</f>
        <v>0</v>
      </c>
      <c r="L15" s="76">
        <f>IFERROR(IF($B15="","",COUNTIF('10月'!D4:D34,$B15)+COUNTIF('10月'!E4:E34,$B15)+COUNTIF('10月'!I4:I34,$B15)+COUNTIF('10月'!J4:J34,$B15)+COUNTIF('10月'!N4:N34,$B15)+COUNTIF('10月'!O4:O34,$B15)+COUNTIF('10月'!S4:S34,$B15)+COUNTIF('10月'!T4:T34,$B15)+COUNTIF('10月'!X4:X34,$B15)+COUNTIF('10月'!Y4:Y34,$B15)+COUNTIF('10月'!AC4:AC34,$B15)+COUNTIF('10月'!AD4:AD34,$B15)+COUNTIF('10月'!AH4:AH34,$B15)+COUNTIF('10月'!AI4:AI34,$B15)+COUNTIF('10月'!AM4:AM34,$B15)+COUNTIF('10月'!AN4:AN34,$B15)+COUNTIF('10月'!AR4:AR34,$B15)+COUNTIF('10月'!AS4:AS34,$B15)+COUNTIF('10月'!AW4:AW34,$B15)+COUNTIF('10月'!AX4:AX34,$B15)+COUNTIF('10月'!BB4:BB34,$B15)+COUNTIF('10月'!BC4:BC34,$B15)+COUNTIF('10月'!BG4:BG34,$B15)+COUNTIF('10月'!BH4:BH34,$B15)+COUNTIF('10月'!BL4:BL34,$B15)+COUNTIF('10月'!BM4:BM34,$B15)+COUNTIF('10月'!BQ4:BQ34,$B15)+COUNTIF('10月'!BR4:BR34,$B15)+COUNTIF('10月'!BV4:BV34,$B15)+COUNTIF('10月'!BW4:BW34,$B15)+COUNTIF('10月'!CA4:CA34,$B15)+COUNTIF('10月'!CB4:CB34,$B15)+COUNTIF('10月'!CF4:CF34,$B15)+COUNTIF('10月'!CG4:CG34,$B15)+COUNTIF('10月'!CK4:CK34,$B15)+COUNTIF('10月'!CL4:CL34,$B15)+COUNTIF('10月'!CP4:CP34,$B15)+COUNTIF('10月'!CQ4:CQ34,$B15)+COUNTIF('10月'!CU4:CU34,$B15)+COUNTIF('10月'!CV4:CV34,$B15)+COUNTIF('10月'!CZ4:CZ34,$B15)+COUNTIF('10月'!DA4:DA34,$B15)+COUNTIF('10月'!DE4:DE34,$B15)+COUNTIF('10月'!DF4:DF34,$B15)+COUNTIF('10月'!DJ4:DJ34,$B15)+COUNTIF('10月'!DK4:DK34,$B15)+COUNTIF('10月'!DO4:DO34,$B15)+COUNTIF('10月'!DP4:DP34,$B15)+COUNTIF('10月'!DT4:DT34,$B15)+COUNTIF('10月'!DU4:DU34,$B15)+COUNTIF('10月'!DY4:DY34,$B15)+COUNTIF('10月'!DZ4:DZ34,$B15)+COUNTIF('10月'!ED4:ED34,$B15)+COUNTIF('10月'!EE4:EE34,$B15)+COUNTIF('10月'!EI4:EI34,$B15)+COUNTIF('10月'!EJ4:EJ34,$B15)+COUNTIF('10月'!EN4:EN34,$B15)+COUNTIF('10月'!EO4:EO34,$B15)+COUNTIF('10月'!ES4:ES34,$B15)+COUNTIF('10月'!ET4:ET34,$B15)),0)</f>
        <v>0</v>
      </c>
      <c r="M15" s="76">
        <f>IFERROR(IF($B15="","",COUNTIF('11月'!D4:D34,$B15)+COUNTIF('11月'!E4:E34,$B15)+COUNTIF('11月'!I4:I34,$B15)+COUNTIF('11月'!J4:J34,$B15)+COUNTIF('11月'!N4:N34,$B15)+COUNTIF('11月'!O4:O34,$B15)+COUNTIF('11月'!S4:S34,$B15)+COUNTIF('11月'!T4:T34,$B15)+COUNTIF('11月'!X4:X34,$B15)+COUNTIF('11月'!Y4:Y34,$B15)+COUNTIF('11月'!AC4:AC34,$B15)+COUNTIF('11月'!AD4:AD34,$B15)+COUNTIF('11月'!AH4:AH34,$B15)+COUNTIF('11月'!AI4:AI34,$B15)+COUNTIF('11月'!AM4:AM34,$B15)+COUNTIF('11月'!AN4:AN34,$B15)+COUNTIF('11月'!AR4:AR34,$B15)+COUNTIF('11月'!AS4:AS34,$B15)+COUNTIF('11月'!AW4:AW34,$B15)+COUNTIF('11月'!AX4:AX34,$B15)+COUNTIF('11月'!BB4:BB34,$B15)+COUNTIF('11月'!BC4:BC34,$B15)+COUNTIF('11月'!BG4:BG34,$B15)+COUNTIF('11月'!BH4:BH34,$B15)+COUNTIF('11月'!BL4:BL34,$B15)+COUNTIF('11月'!BM4:BM34,$B15)+COUNTIF('11月'!BQ4:BQ34,$B15)+COUNTIF('11月'!BR4:BR34,$B15)+COUNTIF('11月'!BV4:BV34,$B15)+COUNTIF('11月'!BW4:BW34,$B15)+COUNTIF('11月'!CA4:CA34,$B15)+COUNTIF('11月'!CB4:CB34,$B15)+COUNTIF('11月'!CF4:CF34,$B15)+COUNTIF('11月'!CG4:CG34,$B15)+COUNTIF('11月'!CK4:CK34,$B15)+COUNTIF('11月'!CL4:CL34,$B15)+COUNTIF('11月'!CP4:CP34,$B15)+COUNTIF('11月'!CQ4:CQ34,$B15)+COUNTIF('11月'!CU4:CU34,$B15)+COUNTIF('11月'!CV4:CV34,$B15)+COUNTIF('11月'!CZ4:CZ34,$B15)+COUNTIF('11月'!DA4:DA34,$B15)+COUNTIF('11月'!DE4:DE34,$B15)+COUNTIF('11月'!DF4:DF34,$B15)+COUNTIF('11月'!DJ4:DJ34,$B15)+COUNTIF('11月'!DK4:DK34,$B15)+COUNTIF('11月'!DO4:DO34,$B15)+COUNTIF('11月'!DP4:DP34,$B15)+COUNTIF('11月'!DT4:DT34,$B15)+COUNTIF('11月'!DU4:DU34,$B15)+COUNTIF('11月'!DY4:DY34,$B15)+COUNTIF('11月'!DZ4:DZ34,$B15)+COUNTIF('11月'!ED4:ED34,$B15)+COUNTIF('11月'!EE4:EE34,$B15)+COUNTIF('11月'!EI4:EI34,$B15)+COUNTIF('11月'!EJ4:EJ34,$B15)+COUNTIF('11月'!EN4:EN34,$B15)+COUNTIF('11月'!EO4:EO34,$B15)+COUNTIF('11月'!ES4:ES34,$B15)+COUNTIF('11月'!ET4:ET34,$B15)),0)</f>
        <v>0</v>
      </c>
      <c r="N15" s="76">
        <f>IFERROR(IF($B15="","",COUNTIF('12月'!D4:D34,$B15)+COUNTIF('12月'!E4:E34,$B15)+COUNTIF('12月'!I4:I34,$B15)+COUNTIF('12月'!J4:J34,$B15)+COUNTIF('12月'!N4:N34,$B15)+COUNTIF('12月'!O4:O34,$B15)+COUNTIF('12月'!S4:S34,$B15)+COUNTIF('12月'!T4:T34,$B15)+COUNTIF('12月'!X4:X34,$B15)+COUNTIF('12月'!Y4:Y34,$B15)+COUNTIF('12月'!AC4:AC34,$B15)+COUNTIF('12月'!AD4:AD34,$B15)+COUNTIF('12月'!AH4:AH34,$B15)+COUNTIF('12月'!AI4:AI34,$B15)+COUNTIF('12月'!AM4:AM34,$B15)+COUNTIF('12月'!AN4:AN34,$B15)+COUNTIF('12月'!AR4:AR34,$B15)+COUNTIF('12月'!AS4:AS34,$B15)+COUNTIF('12月'!AW4:AW34,$B15)+COUNTIF('12月'!AX4:AX34,$B15)+COUNTIF('12月'!BB4:BB34,$B15)+COUNTIF('12月'!BC4:BC34,$B15)+COUNTIF('12月'!BG4:BG34,$B15)+COUNTIF('12月'!BH4:BH34,$B15)+COUNTIF('12月'!BL4:BL34,$B15)+COUNTIF('12月'!BM4:BM34,$B15)+COUNTIF('12月'!BQ4:BQ34,$B15)+COUNTIF('12月'!BR4:BR34,$B15)+COUNTIF('12月'!BV4:BV34,$B15)+COUNTIF('12月'!BW4:BW34,$B15)+COUNTIF('12月'!CA4:CA34,$B15)+COUNTIF('12月'!CB4:CB34,$B15)+COUNTIF('12月'!CF4:CF34,$B15)+COUNTIF('12月'!CG4:CG34,$B15)+COUNTIF('12月'!CK4:CK34,$B15)+COUNTIF('12月'!CL4:CL34,$B15)+COUNTIF('12月'!CP4:CP34,$B15)+COUNTIF('12月'!CQ4:CQ34,$B15)+COUNTIF('12月'!CU4:CU34,$B15)+COUNTIF('12月'!CV4:CV34,$B15)+COUNTIF('12月'!CZ4:CZ34,$B15)+COUNTIF('12月'!DA4:DA34,$B15)+COUNTIF('12月'!DE4:DE34,$B15)+COUNTIF('12月'!DF4:DF34,$B15)+COUNTIF('12月'!DJ4:DJ34,$B15)+COUNTIF('12月'!DK4:DK34,$B15)+COUNTIF('12月'!DO4:DO34,$B15)+COUNTIF('12月'!DP4:DP34,$B15)+COUNTIF('12月'!DT4:DT34,$B15)+COUNTIF('12月'!DU4:DU34,$B15)+COUNTIF('12月'!DY4:DY34,$B15)+COUNTIF('12月'!DZ4:DZ34,$B15)+COUNTIF('12月'!ED4:ED34,$B15)+COUNTIF('12月'!EE4:EE34,$B15)+COUNTIF('12月'!EI4:EI34,$B15)+COUNTIF('12月'!EJ4:EJ34,$B15)+COUNTIF('12月'!EN4:EN34,$B15)+COUNTIF('12月'!EO4:EO34,$B15)+COUNTIF('12月'!ES4:ES34,$B15)+COUNTIF('12月'!ET4:ET34,$B15)),0)</f>
        <v>0</v>
      </c>
      <c r="O15" s="78">
        <f t="shared" si="0"/>
        <v>0</v>
      </c>
    </row>
    <row r="16" spans="1:15" ht="19.5" customHeight="1">
      <c r="A16" s="76">
        <v>14</v>
      </c>
      <c r="B16" s="77">
        <f>IFERROR(現場マスタ!$C$17,"")</f>
        <v>0</v>
      </c>
      <c r="C16" s="76">
        <f>IFERROR(IF($B16="","",COUNTIF('1月'!D4:D34,$B16)+COUNTIF('1月'!E4:E34,$B16)+COUNTIF('1月'!I4:I34,$B16)+COUNTIF('1月'!J4:J34,$B16)+COUNTIF('1月'!N4:N34,$B16)+COUNTIF('1月'!O4:O34,$B16)+COUNTIF('1月'!S4:S34,$B16)+COUNTIF('1月'!T4:T34,$B16)+COUNTIF('1月'!X4:X34,$B16)+COUNTIF('1月'!Y4:Y34,$B16)+COUNTIF('1月'!AC4:AC34,$B16)+COUNTIF('1月'!AD4:AD34,$B16)+COUNTIF('1月'!AH4:AH34,$B16)+COUNTIF('1月'!AI4:AI34,$B16)+COUNTIF('1月'!AM4:AM34,$B16)+COUNTIF('1月'!AN4:AN34,$B16)+COUNTIF('1月'!AR4:AR34,$B16)+COUNTIF('1月'!AS4:AS34,$B16)+COUNTIF('1月'!AW4:AW34,$B16)+COUNTIF('1月'!AX4:AX34,$B16)+COUNTIF('1月'!BB4:BB34,$B16)+COUNTIF('1月'!BC4:BC34,$B16)+COUNTIF('1月'!BG4:BG34,$B16)+COUNTIF('1月'!BH4:BH34,$B16)+COUNTIF('1月'!BL4:BL34,$B16)+COUNTIF('1月'!BM4:BM34,$B16)+COUNTIF('1月'!BQ4:BQ34,$B16)+COUNTIF('1月'!BR4:BR34,$B16)+COUNTIF('1月'!BV4:BV34,$B16)+COUNTIF('1月'!BW4:BW34,$B16)+COUNTIF('1月'!CA4:CA34,$B16)+COUNTIF('1月'!CB4:CB34,$B16)+COUNTIF('1月'!CF4:CF34,$B16)+COUNTIF('1月'!CG4:CG34,$B16)+COUNTIF('1月'!CK4:CK34,$B16)+COUNTIF('1月'!CL4:CL34,$B16)+COUNTIF('1月'!CP4:CP34,$B16)+COUNTIF('1月'!CQ4:CQ34,$B16)+COUNTIF('1月'!CU4:CU34,$B16)+COUNTIF('1月'!CV4:CV34,$B16)+COUNTIF('1月'!CZ4:CZ34,$B16)+COUNTIF('1月'!DA4:DA34,$B16)+COUNTIF('1月'!DE4:DE34,$B16)+COUNTIF('1月'!DF4:DF34,$B16)+COUNTIF('1月'!DJ4:DJ34,$B16)+COUNTIF('1月'!DK4:DK34,$B16)+COUNTIF('1月'!DO4:DO34,$B16)+COUNTIF('1月'!DP4:DP34,$B16)+COUNTIF('1月'!DT4:DT34,$B16)+COUNTIF('1月'!DU4:DU34,$B16)+COUNTIF('1月'!DY4:DY34,$B16)+COUNTIF('1月'!DZ4:DZ34,$B16)+COUNTIF('1月'!ED4:ED34,$B16)+COUNTIF('1月'!EE4:EE34,$B16)+COUNTIF('1月'!EI4:EI34,$B16)+COUNTIF('1月'!EJ4:EJ34,$B16)+COUNTIF('1月'!EN4:EN34,$B16)+COUNTIF('1月'!EO4:EO34,$B16)+COUNTIF('1月'!ES4:ES34,$B16)+COUNTIF('1月'!ET4:ET34,$B16)),0)</f>
        <v>0</v>
      </c>
      <c r="D16" s="76">
        <f>IFERROR(IF($B16="","",COUNTIF('2月'!D4:D34,$B16)+COUNTIF('2月'!E4:E34,$B16)+COUNTIF('2月'!I4:I34,$B16)+COUNTIF('2月'!J4:J34,$B16)+COUNTIF('2月'!N4:N34,$B16)+COUNTIF('2月'!O4:O34,$B16)+COUNTIF('2月'!S4:S34,$B16)+COUNTIF('2月'!T4:T34,$B16)+COUNTIF('2月'!X4:X34,$B16)+COUNTIF('2月'!Y4:Y34,$B16)+COUNTIF('2月'!AC4:AC34,$B16)+COUNTIF('2月'!AD4:AD34,$B16)+COUNTIF('2月'!AH4:AH34,$B16)+COUNTIF('2月'!AI4:AI34,$B16)+COUNTIF('2月'!AM4:AM34,$B16)+COUNTIF('2月'!AN4:AN34,$B16)+COUNTIF('2月'!AR4:AR34,$B16)+COUNTIF('2月'!AS4:AS34,$B16)+COUNTIF('2月'!AW4:AW34,$B16)+COUNTIF('2月'!AX4:AX34,$B16)+COUNTIF('2月'!BB4:BB34,$B16)+COUNTIF('2月'!BC4:BC34,$B16)+COUNTIF('2月'!BG4:BG34,$B16)+COUNTIF('2月'!BH4:BH34,$B16)+COUNTIF('2月'!BL4:BL34,$B16)+COUNTIF('2月'!BM4:BM34,$B16)+COUNTIF('2月'!BQ4:BQ34,$B16)+COUNTIF('2月'!BR4:BR34,$B16)+COUNTIF('2月'!BV4:BV34,$B16)+COUNTIF('2月'!BW4:BW34,$B16)+COUNTIF('2月'!CA4:CA34,$B16)+COUNTIF('2月'!CB4:CB34,$B16)+COUNTIF('2月'!CF4:CF34,$B16)+COUNTIF('2月'!CG4:CG34,$B16)+COUNTIF('2月'!CK4:CK34,$B16)+COUNTIF('2月'!CL4:CL34,$B16)+COUNTIF('2月'!CP4:CP34,$B16)+COUNTIF('2月'!CQ4:CQ34,$B16)+COUNTIF('2月'!CU4:CU34,$B16)+COUNTIF('2月'!CV4:CV34,$B16)+COUNTIF('2月'!CZ4:CZ34,$B16)+COUNTIF('2月'!DA4:DA34,$B16)+COUNTIF('2月'!DE4:DE34,$B16)+COUNTIF('2月'!DF4:DF34,$B16)+COUNTIF('2月'!DJ4:DJ34,$B16)+COUNTIF('2月'!DK4:DK34,$B16)+COUNTIF('2月'!DO4:DO34,$B16)+COUNTIF('2月'!DP4:DP34,$B16)+COUNTIF('2月'!DT4:DT34,$B16)+COUNTIF('2月'!DU4:DU34,$B16)+COUNTIF('2月'!DY4:DY34,$B16)+COUNTIF('2月'!DZ4:DZ34,$B16)+COUNTIF('2月'!ED4:ED34,$B16)+COUNTIF('2月'!EE4:EE34,$B16)+COUNTIF('2月'!EI4:EI34,$B16)+COUNTIF('2月'!EJ4:EJ34,$B16)+COUNTIF('2月'!EN4:EN34,$B16)+COUNTIF('2月'!EO4:EO34,$B16)+COUNTIF('2月'!ES4:ES34,$B16)+COUNTIF('2月'!ET4:ET34,$B16)),0)</f>
        <v>0</v>
      </c>
      <c r="E16" s="76">
        <f>IFERROR(IF($B16="","",COUNTIF('3月'!D4:D34,$B16)+COUNTIF('3月'!E4:E34,$B16)+COUNTIF('3月'!I4:I34,$B16)+COUNTIF('3月'!J4:J34,$B16)+COUNTIF('3月'!N4:N34,$B16)+COUNTIF('3月'!O4:O34,$B16)+COUNTIF('3月'!S4:S34,$B16)+COUNTIF('3月'!T4:T34,$B16)+COUNTIF('3月'!X4:X34,$B16)+COUNTIF('3月'!Y4:Y34,$B16)+COUNTIF('3月'!AC4:AC34,$B16)+COUNTIF('3月'!AD4:AD34,$B16)+COUNTIF('3月'!AH4:AH34,$B16)+COUNTIF('3月'!AI4:AI34,$B16)+COUNTIF('3月'!AM4:AM34,$B16)+COUNTIF('3月'!AN4:AN34,$B16)+COUNTIF('3月'!AR4:AR34,$B16)+COUNTIF('3月'!AS4:AS34,$B16)+COUNTIF('3月'!AW4:AW34,$B16)+COUNTIF('3月'!AX4:AX34,$B16)+COUNTIF('3月'!BB4:BB34,$B16)+COUNTIF('3月'!BC4:BC34,$B16)+COUNTIF('3月'!BG4:BG34,$B16)+COUNTIF('3月'!BH4:BH34,$B16)+COUNTIF('3月'!BL4:BL34,$B16)+COUNTIF('3月'!BM4:BM34,$B16)+COUNTIF('3月'!BQ4:BQ34,$B16)+COUNTIF('3月'!BR4:BR34,$B16)+COUNTIF('3月'!BV4:BV34,$B16)+COUNTIF('3月'!BW4:BW34,$B16)+COUNTIF('3月'!CA4:CA34,$B16)+COUNTIF('3月'!CB4:CB34,$B16)+COUNTIF('3月'!CF4:CF34,$B16)+COUNTIF('3月'!CG4:CG34,$B16)+COUNTIF('3月'!CK4:CK34,$B16)+COUNTIF('3月'!CL4:CL34,$B16)+COUNTIF('3月'!CP4:CP34,$B16)+COUNTIF('3月'!CQ4:CQ34,$B16)+COUNTIF('3月'!CU4:CU34,$B16)+COUNTIF('3月'!CV4:CV34,$B16)+COUNTIF('3月'!CZ4:CZ34,$B16)+COUNTIF('3月'!DA4:DA34,$B16)+COUNTIF('3月'!DE4:DE34,$B16)+COUNTIF('3月'!DF4:DF34,$B16)+COUNTIF('3月'!DJ4:DJ34,$B16)+COUNTIF('3月'!DK4:DK34,$B16)+COUNTIF('3月'!DO4:DO34,$B16)+COUNTIF('3月'!DP4:DP34,$B16)+COUNTIF('3月'!DT4:DT34,$B16)+COUNTIF('3月'!DU4:DU34,$B16)+COUNTIF('3月'!DY4:DY34,$B16)+COUNTIF('3月'!DZ4:DZ34,$B16)+COUNTIF('3月'!ED4:ED34,$B16)+COUNTIF('3月'!EE4:EE34,$B16)+COUNTIF('3月'!EI4:EI34,$B16)+COUNTIF('3月'!EJ4:EJ34,$B16)+COUNTIF('3月'!EN4:EN34,$B16)+COUNTIF('3月'!EO4:EO34,$B16)+COUNTIF('3月'!ES4:ES34,$B16)+COUNTIF('3月'!ET4:ET34,$B16)),0)</f>
        <v>0</v>
      </c>
      <c r="F16" s="76">
        <f>IFERROR(IF($B16="","",COUNTIF('4月'!D4:D34,$B16)+COUNTIF('4月'!E4:E34,$B16)+COUNTIF('4月'!I4:I34,$B16)+COUNTIF('4月'!J4:J34,$B16)+COUNTIF('4月'!N4:N34,$B16)+COUNTIF('4月'!O4:O34,$B16)+COUNTIF('4月'!S4:S34,$B16)+COUNTIF('4月'!T4:T34,$B16)+COUNTIF('4月'!X4:X34,$B16)+COUNTIF('4月'!Y4:Y34,$B16)+COUNTIF('4月'!AC4:AC34,$B16)+COUNTIF('4月'!AD4:AD34,$B16)+COUNTIF('4月'!AH4:AH34,$B16)+COUNTIF('4月'!AI4:AI34,$B16)+COUNTIF('4月'!AM4:AM34,$B16)+COUNTIF('4月'!AN4:AN34,$B16)+COUNTIF('4月'!AR4:AR34,$B16)+COUNTIF('4月'!AS4:AS34,$B16)+COUNTIF('4月'!AW4:AW34,$B16)+COUNTIF('4月'!AX4:AX34,$B16)+COUNTIF('4月'!BB4:BB34,$B16)+COUNTIF('4月'!BC4:BC34,$B16)+COUNTIF('4月'!BG4:BG34,$B16)+COUNTIF('4月'!BH4:BH34,$B16)+COUNTIF('4月'!BL4:BL34,$B16)+COUNTIF('4月'!BM4:BM34,$B16)+COUNTIF('4月'!BQ4:BQ34,$B16)+COUNTIF('4月'!BR4:BR34,$B16)+COUNTIF('4月'!BV4:BV34,$B16)+COUNTIF('4月'!BW4:BW34,$B16)+COUNTIF('4月'!CA4:CA34,$B16)+COUNTIF('4月'!CB4:CB34,$B16)+COUNTIF('4月'!CF4:CF34,$B16)+COUNTIF('4月'!CG4:CG34,$B16)+COUNTIF('4月'!CK4:CK34,$B16)+COUNTIF('4月'!CL4:CL34,$B16)+COUNTIF('4月'!CP4:CP34,$B16)+COUNTIF('4月'!CQ4:CQ34,$B16)+COUNTIF('4月'!CU4:CU34,$B16)+COUNTIF('4月'!CV4:CV34,$B16)+COUNTIF('4月'!CZ4:CZ34,$B16)+COUNTIF('4月'!DA4:DA34,$B16)+COUNTIF('4月'!DE4:DE34,$B16)+COUNTIF('4月'!DF4:DF34,$B16)+COUNTIF('4月'!DJ4:DJ34,$B16)+COUNTIF('4月'!DK4:DK34,$B16)+COUNTIF('4月'!DO4:DO34,$B16)+COUNTIF('4月'!DP4:DP34,$B16)+COUNTIF('4月'!DT4:DT34,$B16)+COUNTIF('4月'!DU4:DU34,$B16)+COUNTIF('4月'!DY4:DY34,$B16)+COUNTIF('4月'!DZ4:DZ34,$B16)+COUNTIF('4月'!ED4:ED34,$B16)+COUNTIF('4月'!EE4:EE34,$B16)+COUNTIF('4月'!EI4:EI34,$B16)+COUNTIF('4月'!EJ4:EJ34,$B16)+COUNTIF('4月'!EN4:EN34,$B16)+COUNTIF('4月'!EO4:EO34,$B16)+COUNTIF('4月'!ES4:ES34,$B16)+COUNTIF('4月'!ET4:ET34,$B16)),0)</f>
        <v>0</v>
      </c>
      <c r="G16" s="76">
        <f>IFERROR(IF($B16="","",COUNTIF('5月'!D4:D34,$B16)+COUNTIF('5月'!E4:E34,$B16)+COUNTIF('5月'!I4:I34,$B16)+COUNTIF('5月'!J4:J34,$B16)+COUNTIF('5月'!N4:N34,$B16)+COUNTIF('5月'!O4:O34,$B16)+COUNTIF('5月'!S4:S34,$B16)+COUNTIF('5月'!T4:T34,$B16)+COUNTIF('5月'!X4:X34,$B16)+COUNTIF('5月'!Y4:Y34,$B16)+COUNTIF('5月'!AC4:AC34,$B16)+COUNTIF('5月'!AD4:AD34,$B16)+COUNTIF('5月'!AH4:AH34,$B16)+COUNTIF('5月'!AI4:AI34,$B16)+COUNTIF('5月'!AM4:AM34,$B16)+COUNTIF('5月'!AN4:AN34,$B16)+COUNTIF('5月'!AR4:AR34,$B16)+COUNTIF('5月'!AS4:AS34,$B16)+COUNTIF('5月'!AW4:AW34,$B16)+COUNTIF('5月'!AX4:AX34,$B16)+COUNTIF('5月'!BB4:BB34,$B16)+COUNTIF('5月'!BC4:BC34,$B16)+COUNTIF('5月'!BG4:BG34,$B16)+COUNTIF('5月'!BH4:BH34,$B16)+COUNTIF('5月'!BL4:BL34,$B16)+COUNTIF('5月'!BM4:BM34,$B16)+COUNTIF('5月'!BQ4:BQ34,$B16)+COUNTIF('5月'!BR4:BR34,$B16)+COUNTIF('5月'!BV4:BV34,$B16)+COUNTIF('5月'!BW4:BW34,$B16)+COUNTIF('5月'!CA4:CA34,$B16)+COUNTIF('5月'!CB4:CB34,$B16)+COUNTIF('5月'!CF4:CF34,$B16)+COUNTIF('5月'!CG4:CG34,$B16)+COUNTIF('5月'!CK4:CK34,$B16)+COUNTIF('5月'!CL4:CL34,$B16)+COUNTIF('5月'!CP4:CP34,$B16)+COUNTIF('5月'!CQ4:CQ34,$B16)+COUNTIF('5月'!CU4:CU34,$B16)+COUNTIF('5月'!CV4:CV34,$B16)+COUNTIF('5月'!CZ4:CZ34,$B16)+COUNTIF('5月'!DA4:DA34,$B16)+COUNTIF('5月'!DE4:DE34,$B16)+COUNTIF('5月'!DF4:DF34,$B16)+COUNTIF('5月'!DJ4:DJ34,$B16)+COUNTIF('5月'!DK4:DK34,$B16)+COUNTIF('5月'!DO4:DO34,$B16)+COUNTIF('5月'!DP4:DP34,$B16)+COUNTIF('5月'!DT4:DT34,$B16)+COUNTIF('5月'!DU4:DU34,$B16)+COUNTIF('5月'!DY4:DY34,$B16)+COUNTIF('5月'!DZ4:DZ34,$B16)+COUNTIF('5月'!ED4:ED34,$B16)+COUNTIF('5月'!EE4:EE34,$B16)+COUNTIF('5月'!EI4:EI34,$B16)+COUNTIF('5月'!EJ4:EJ34,$B16)+COUNTIF('5月'!EN4:EN34,$B16)+COUNTIF('5月'!EO4:EO34,$B16)+COUNTIF('5月'!ES4:ES34,$B16)+COUNTIF('5月'!ET4:ET34,$B16)),0)</f>
        <v>0</v>
      </c>
      <c r="H16" s="76">
        <f>IFERROR(IF($B16="","",COUNTIF('6月'!D4:D34,$B16)+COUNTIF('6月'!E4:E34,$B16)+COUNTIF('6月'!I4:I34,$B16)+COUNTIF('6月'!J4:J34,$B16)+COUNTIF('6月'!N4:N34,$B16)+COUNTIF('6月'!O4:O34,$B16)+COUNTIF('6月'!S4:S34,$B16)+COUNTIF('6月'!T4:T34,$B16)+COUNTIF('6月'!X4:X34,$B16)+COUNTIF('6月'!Y4:Y34,$B16)+COUNTIF('6月'!AC4:AC34,$B16)+COUNTIF('6月'!AD4:AD34,$B16)+COUNTIF('6月'!AH4:AH34,$B16)+COUNTIF('6月'!AI4:AI34,$B16)+COUNTIF('6月'!AM4:AM34,$B16)+COUNTIF('6月'!AN4:AN34,$B16)+COUNTIF('6月'!AR4:AR34,$B16)+COUNTIF('6月'!AS4:AS34,$B16)+COUNTIF('6月'!AW4:AW34,$B16)+COUNTIF('6月'!AX4:AX34,$B16)+COUNTIF('6月'!BB4:BB34,$B16)+COUNTIF('6月'!BC4:BC34,$B16)+COUNTIF('6月'!BG4:BG34,$B16)+COUNTIF('6月'!BH4:BH34,$B16)+COUNTIF('6月'!BL4:BL34,$B16)+COUNTIF('6月'!BM4:BM34,$B16)+COUNTIF('6月'!BQ4:BQ34,$B16)+COUNTIF('6月'!BR4:BR34,$B16)+COUNTIF('6月'!BV4:BV34,$B16)+COUNTIF('6月'!BW4:BW34,$B16)+COUNTIF('6月'!CA4:CA34,$B16)+COUNTIF('6月'!CB4:CB34,$B16)+COUNTIF('6月'!CF4:CF34,$B16)+COUNTIF('6月'!CG4:CG34,$B16)+COUNTIF('6月'!CK4:CK34,$B16)+COUNTIF('6月'!CL4:CL34,$B16)+COUNTIF('6月'!CP4:CP34,$B16)+COUNTIF('6月'!CQ4:CQ34,$B16)+COUNTIF('6月'!CU4:CU34,$B16)+COUNTIF('6月'!CV4:CV34,$B16)+COUNTIF('6月'!CZ4:CZ34,$B16)+COUNTIF('6月'!DA4:DA34,$B16)+COUNTIF('6月'!DE4:DE34,$B16)+COUNTIF('6月'!DF4:DF34,$B16)+COUNTIF('6月'!DJ4:DJ34,$B16)+COUNTIF('6月'!DK4:DK34,$B16)+COUNTIF('6月'!DO4:DO34,$B16)+COUNTIF('6月'!DP4:DP34,$B16)+COUNTIF('6月'!DT4:DT34,$B16)+COUNTIF('6月'!DU4:DU34,$B16)+COUNTIF('6月'!DY4:DY34,$B16)+COUNTIF('6月'!DZ4:DZ34,$B16)+COUNTIF('6月'!ED4:ED34,$B16)+COUNTIF('6月'!EE4:EE34,$B16)+COUNTIF('6月'!EI4:EI34,$B16)+COUNTIF('6月'!EJ4:EJ34,$B16)+COUNTIF('6月'!EN4:EN34,$B16)+COUNTIF('6月'!EO4:EO34,$B16)+COUNTIF('6月'!ES4:ES34,$B16)+COUNTIF('6月'!ET4:ET34,$B16)),0)</f>
        <v>0</v>
      </c>
      <c r="I16" s="76">
        <f>IFERROR(IF($B16="","",COUNTIF('7月'!D4:D34,$B16)+COUNTIF('7月'!E4:E34,$B16)+COUNTIF('7月'!I4:I34,$B16)+COUNTIF('7月'!J4:J34,$B16)+COUNTIF('7月'!N4:N34,$B16)+COUNTIF('7月'!O4:O34,$B16)+COUNTIF('7月'!S4:S34,$B16)+COUNTIF('7月'!T4:T34,$B16)+COUNTIF('7月'!X4:X34,$B16)+COUNTIF('7月'!Y4:Y34,$B16)+COUNTIF('7月'!AC4:AC34,$B16)+COUNTIF('7月'!AD4:AD34,$B16)+COUNTIF('7月'!AH4:AH34,$B16)+COUNTIF('7月'!AI4:AI34,$B16)+COUNTIF('7月'!AM4:AM34,$B16)+COUNTIF('7月'!AN4:AN34,$B16)+COUNTIF('7月'!AR4:AR34,$B16)+COUNTIF('7月'!AS4:AS34,$B16)+COUNTIF('7月'!AW4:AW34,$B16)+COUNTIF('7月'!AX4:AX34,$B16)+COUNTIF('7月'!BB4:BB34,$B16)+COUNTIF('7月'!BC4:BC34,$B16)+COUNTIF('7月'!BG4:BG34,$B16)+COUNTIF('7月'!BH4:BH34,$B16)+COUNTIF('7月'!BL4:BL34,$B16)+COUNTIF('7月'!BM4:BM34,$B16)+COUNTIF('7月'!BQ4:BQ34,$B16)+COUNTIF('7月'!BR4:BR34,$B16)+COUNTIF('7月'!BV4:BV34,$B16)+COUNTIF('7月'!BW4:BW34,$B16)+COUNTIF('7月'!CA4:CA34,$B16)+COUNTIF('7月'!CB4:CB34,$B16)+COUNTIF('7月'!CF4:CF34,$B16)+COUNTIF('7月'!CG4:CG34,$B16)+COUNTIF('7月'!CK4:CK34,$B16)+COUNTIF('7月'!CL4:CL34,$B16)+COUNTIF('7月'!CP4:CP34,$B16)+COUNTIF('7月'!CQ4:CQ34,$B16)+COUNTIF('7月'!CU4:CU34,$B16)+COUNTIF('7月'!CV4:CV34,$B16)+COUNTIF('7月'!CZ4:CZ34,$B16)+COUNTIF('7月'!DA4:DA34,$B16)+COUNTIF('7月'!DE4:DE34,$B16)+COUNTIF('7月'!DF4:DF34,$B16)+COUNTIF('7月'!DJ4:DJ34,$B16)+COUNTIF('7月'!DK4:DK34,$B16)+COUNTIF('7月'!DO4:DO34,$B16)+COUNTIF('7月'!DP4:DP34,$B16)+COUNTIF('7月'!DT4:DT34,$B16)+COUNTIF('7月'!DU4:DU34,$B16)+COUNTIF('7月'!DY4:DY34,$B16)+COUNTIF('7月'!DZ4:DZ34,$B16)+COUNTIF('7月'!ED4:ED34,$B16)+COUNTIF('7月'!EE4:EE34,$B16)+COUNTIF('7月'!EI4:EI34,$B16)+COUNTIF('7月'!EJ4:EJ34,$B16)+COUNTIF('7月'!EN4:EN34,$B16)+COUNTIF('7月'!EO4:EO34,$B16)+COUNTIF('7月'!ES4:ES34,$B16)+COUNTIF('7月'!ET4:ET34,$B16)),0)</f>
        <v>0</v>
      </c>
      <c r="J16" s="76">
        <f>IFERROR(IF($B16="","",COUNTIF('8月'!D4:D34,$B16)+COUNTIF('8月'!E4:E34,$B16)+COUNTIF('8月'!I4:I34,$B16)+COUNTIF('8月'!J4:J34,$B16)+COUNTIF('8月'!N4:N34,$B16)+COUNTIF('8月'!O4:O34,$B16)+COUNTIF('8月'!S4:S34,$B16)+COUNTIF('8月'!T4:T34,$B16)+COUNTIF('8月'!X4:X34,$B16)+COUNTIF('8月'!Y4:Y34,$B16)+COUNTIF('8月'!AC4:AC34,$B16)+COUNTIF('8月'!AD4:AD34,$B16)+COUNTIF('8月'!AH4:AH34,$B16)+COUNTIF('8月'!AI4:AI34,$B16)+COUNTIF('8月'!AM4:AM34,$B16)+COUNTIF('8月'!AN4:AN34,$B16)+COUNTIF('8月'!AR4:AR34,$B16)+COUNTIF('8月'!AS4:AS34,$B16)+COUNTIF('8月'!AW4:AW34,$B16)+COUNTIF('8月'!AX4:AX34,$B16)+COUNTIF('8月'!BB4:BB34,$B16)+COUNTIF('8月'!BC4:BC34,$B16)+COUNTIF('8月'!BG4:BG34,$B16)+COUNTIF('8月'!BH4:BH34,$B16)+COUNTIF('8月'!BL4:BL34,$B16)+COUNTIF('8月'!BM4:BM34,$B16)+COUNTIF('8月'!BQ4:BQ34,$B16)+COUNTIF('8月'!BR4:BR34,$B16)+COUNTIF('8月'!BV4:BV34,$B16)+COUNTIF('8月'!BW4:BW34,$B16)+COUNTIF('8月'!CA4:CA34,$B16)+COUNTIF('8月'!CB4:CB34,$B16)+COUNTIF('8月'!CF4:CF34,$B16)+COUNTIF('8月'!CG4:CG34,$B16)+COUNTIF('8月'!CK4:CK34,$B16)+COUNTIF('8月'!CL4:CL34,$B16)+COUNTIF('8月'!CP4:CP34,$B16)+COUNTIF('8月'!CQ4:CQ34,$B16)+COUNTIF('8月'!CU4:CU34,$B16)+COUNTIF('8月'!CV4:CV34,$B16)+COUNTIF('8月'!CZ4:CZ34,$B16)+COUNTIF('8月'!DA4:DA34,$B16)+COUNTIF('8月'!DE4:DE34,$B16)+COUNTIF('8月'!DF4:DF34,$B16)+COUNTIF('8月'!DJ4:DJ34,$B16)+COUNTIF('8月'!DK4:DK34,$B16)+COUNTIF('8月'!DO4:DO34,$B16)+COUNTIF('8月'!DP4:DP34,$B16)+COUNTIF('8月'!DT4:DT34,$B16)+COUNTIF('8月'!DU4:DU34,$B16)+COUNTIF('8月'!DY4:DY34,$B16)+COUNTIF('8月'!DZ4:DZ34,$B16)+COUNTIF('8月'!ED4:ED34,$B16)+COUNTIF('8月'!EE4:EE34,$B16)+COUNTIF('8月'!EI4:EI34,$B16)+COUNTIF('8月'!EJ4:EJ34,$B16)+COUNTIF('8月'!EN4:EN34,$B16)+COUNTIF('8月'!EO4:EO34,$B16)+COUNTIF('8月'!ES4:ES34,$B16)+COUNTIF('8月'!ET4:ET34,$B16)),0)</f>
        <v>0</v>
      </c>
      <c r="K16" s="76">
        <f>IFERROR(IF($B16="","",COUNTIF('9月'!D4:D34,$B16)+COUNTIF('9月'!E4:E34,$B16)+COUNTIF('9月'!I4:I34,$B16)+COUNTIF('9月'!J4:J34,$B16)+COUNTIF('9月'!N4:N34,$B16)+COUNTIF('9月'!O4:O34,$B16)+COUNTIF('9月'!S4:S34,$B16)+COUNTIF('9月'!T4:T34,$B16)+COUNTIF('9月'!X4:X34,$B16)+COUNTIF('9月'!Y4:Y34,$B16)+COUNTIF('9月'!AC4:AC34,$B16)+COUNTIF('9月'!AD4:AD34,$B16)+COUNTIF('9月'!AH4:AH34,$B16)+COUNTIF('9月'!AI4:AI34,$B16)+COUNTIF('9月'!AM4:AM34,$B16)+COUNTIF('9月'!AN4:AN34,$B16)+COUNTIF('9月'!AR4:AR34,$B16)+COUNTIF('9月'!AS4:AS34,$B16)+COUNTIF('9月'!AW4:AW34,$B16)+COUNTIF('9月'!AX4:AX34,$B16)+COUNTIF('9月'!BB4:BB34,$B16)+COUNTIF('9月'!BC4:BC34,$B16)+COUNTIF('9月'!BG4:BG34,$B16)+COUNTIF('9月'!BH4:BH34,$B16)+COUNTIF('9月'!BL4:BL34,$B16)+COUNTIF('9月'!BM4:BM34,$B16)+COUNTIF('9月'!BQ4:BQ34,$B16)+COUNTIF('9月'!BR4:BR34,$B16)+COUNTIF('9月'!BV4:BV34,$B16)+COUNTIF('9月'!BW4:BW34,$B16)+COUNTIF('9月'!CA4:CA34,$B16)+COUNTIF('9月'!CB4:CB34,$B16)+COUNTIF('9月'!CF4:CF34,$B16)+COUNTIF('9月'!CG4:CG34,$B16)+COUNTIF('9月'!CK4:CK34,$B16)+COUNTIF('9月'!CL4:CL34,$B16)+COUNTIF('9月'!CP4:CP34,$B16)+COUNTIF('9月'!CQ4:CQ34,$B16)+COUNTIF('9月'!CU4:CU34,$B16)+COUNTIF('9月'!CV4:CV34,$B16)+COUNTIF('9月'!CZ4:CZ34,$B16)+COUNTIF('9月'!DA4:DA34,$B16)+COUNTIF('9月'!DE4:DE34,$B16)+COUNTIF('9月'!DF4:DF34,$B16)+COUNTIF('9月'!DJ4:DJ34,$B16)+COUNTIF('9月'!DK4:DK34,$B16)+COUNTIF('9月'!DO4:DO34,$B16)+COUNTIF('9月'!DP4:DP34,$B16)+COUNTIF('9月'!DT4:DT34,$B16)+COUNTIF('9月'!DU4:DU34,$B16)+COUNTIF('9月'!DY4:DY34,$B16)+COUNTIF('9月'!DZ4:DZ34,$B16)+COUNTIF('9月'!ED4:ED34,$B16)+COUNTIF('9月'!EE4:EE34,$B16)+COUNTIF('9月'!EI4:EI34,$B16)+COUNTIF('9月'!EJ4:EJ34,$B16)+COUNTIF('9月'!EN4:EN34,$B16)+COUNTIF('9月'!EO4:EO34,$B16)+COUNTIF('9月'!ES4:ES34,$B16)+COUNTIF('9月'!ET4:ET34,$B16)),0)</f>
        <v>0</v>
      </c>
      <c r="L16" s="76">
        <f>IFERROR(IF($B16="","",COUNTIF('10月'!D4:D34,$B16)+COUNTIF('10月'!E4:E34,$B16)+COUNTIF('10月'!I4:I34,$B16)+COUNTIF('10月'!J4:J34,$B16)+COUNTIF('10月'!N4:N34,$B16)+COUNTIF('10月'!O4:O34,$B16)+COUNTIF('10月'!S4:S34,$B16)+COUNTIF('10月'!T4:T34,$B16)+COUNTIF('10月'!X4:X34,$B16)+COUNTIF('10月'!Y4:Y34,$B16)+COUNTIF('10月'!AC4:AC34,$B16)+COUNTIF('10月'!AD4:AD34,$B16)+COUNTIF('10月'!AH4:AH34,$B16)+COUNTIF('10月'!AI4:AI34,$B16)+COUNTIF('10月'!AM4:AM34,$B16)+COUNTIF('10月'!AN4:AN34,$B16)+COUNTIF('10月'!AR4:AR34,$B16)+COUNTIF('10月'!AS4:AS34,$B16)+COUNTIF('10月'!AW4:AW34,$B16)+COUNTIF('10月'!AX4:AX34,$B16)+COUNTIF('10月'!BB4:BB34,$B16)+COUNTIF('10月'!BC4:BC34,$B16)+COUNTIF('10月'!BG4:BG34,$B16)+COUNTIF('10月'!BH4:BH34,$B16)+COUNTIF('10月'!BL4:BL34,$B16)+COUNTIF('10月'!BM4:BM34,$B16)+COUNTIF('10月'!BQ4:BQ34,$B16)+COUNTIF('10月'!BR4:BR34,$B16)+COUNTIF('10月'!BV4:BV34,$B16)+COUNTIF('10月'!BW4:BW34,$B16)+COUNTIF('10月'!CA4:CA34,$B16)+COUNTIF('10月'!CB4:CB34,$B16)+COUNTIF('10月'!CF4:CF34,$B16)+COUNTIF('10月'!CG4:CG34,$B16)+COUNTIF('10月'!CK4:CK34,$B16)+COUNTIF('10月'!CL4:CL34,$B16)+COUNTIF('10月'!CP4:CP34,$B16)+COUNTIF('10月'!CQ4:CQ34,$B16)+COUNTIF('10月'!CU4:CU34,$B16)+COUNTIF('10月'!CV4:CV34,$B16)+COUNTIF('10月'!CZ4:CZ34,$B16)+COUNTIF('10月'!DA4:DA34,$B16)+COUNTIF('10月'!DE4:DE34,$B16)+COUNTIF('10月'!DF4:DF34,$B16)+COUNTIF('10月'!DJ4:DJ34,$B16)+COUNTIF('10月'!DK4:DK34,$B16)+COUNTIF('10月'!DO4:DO34,$B16)+COUNTIF('10月'!DP4:DP34,$B16)+COUNTIF('10月'!DT4:DT34,$B16)+COUNTIF('10月'!DU4:DU34,$B16)+COUNTIF('10月'!DY4:DY34,$B16)+COUNTIF('10月'!DZ4:DZ34,$B16)+COUNTIF('10月'!ED4:ED34,$B16)+COUNTIF('10月'!EE4:EE34,$B16)+COUNTIF('10月'!EI4:EI34,$B16)+COUNTIF('10月'!EJ4:EJ34,$B16)+COUNTIF('10月'!EN4:EN34,$B16)+COUNTIF('10月'!EO4:EO34,$B16)+COUNTIF('10月'!ES4:ES34,$B16)+COUNTIF('10月'!ET4:ET34,$B16)),0)</f>
        <v>0</v>
      </c>
      <c r="M16" s="76">
        <f>IFERROR(IF($B16="","",COUNTIF('11月'!D4:D34,$B16)+COUNTIF('11月'!E4:E34,$B16)+COUNTIF('11月'!I4:I34,$B16)+COUNTIF('11月'!J4:J34,$B16)+COUNTIF('11月'!N4:N34,$B16)+COUNTIF('11月'!O4:O34,$B16)+COUNTIF('11月'!S4:S34,$B16)+COUNTIF('11月'!T4:T34,$B16)+COUNTIF('11月'!X4:X34,$B16)+COUNTIF('11月'!Y4:Y34,$B16)+COUNTIF('11月'!AC4:AC34,$B16)+COUNTIF('11月'!AD4:AD34,$B16)+COUNTIF('11月'!AH4:AH34,$B16)+COUNTIF('11月'!AI4:AI34,$B16)+COUNTIF('11月'!AM4:AM34,$B16)+COUNTIF('11月'!AN4:AN34,$B16)+COUNTIF('11月'!AR4:AR34,$B16)+COUNTIF('11月'!AS4:AS34,$B16)+COUNTIF('11月'!AW4:AW34,$B16)+COUNTIF('11月'!AX4:AX34,$B16)+COUNTIF('11月'!BB4:BB34,$B16)+COUNTIF('11月'!BC4:BC34,$B16)+COUNTIF('11月'!BG4:BG34,$B16)+COUNTIF('11月'!BH4:BH34,$B16)+COUNTIF('11月'!BL4:BL34,$B16)+COUNTIF('11月'!BM4:BM34,$B16)+COUNTIF('11月'!BQ4:BQ34,$B16)+COUNTIF('11月'!BR4:BR34,$B16)+COUNTIF('11月'!BV4:BV34,$B16)+COUNTIF('11月'!BW4:BW34,$B16)+COUNTIF('11月'!CA4:CA34,$B16)+COUNTIF('11月'!CB4:CB34,$B16)+COUNTIF('11月'!CF4:CF34,$B16)+COUNTIF('11月'!CG4:CG34,$B16)+COUNTIF('11月'!CK4:CK34,$B16)+COUNTIF('11月'!CL4:CL34,$B16)+COUNTIF('11月'!CP4:CP34,$B16)+COUNTIF('11月'!CQ4:CQ34,$B16)+COUNTIF('11月'!CU4:CU34,$B16)+COUNTIF('11月'!CV4:CV34,$B16)+COUNTIF('11月'!CZ4:CZ34,$B16)+COUNTIF('11月'!DA4:DA34,$B16)+COUNTIF('11月'!DE4:DE34,$B16)+COUNTIF('11月'!DF4:DF34,$B16)+COUNTIF('11月'!DJ4:DJ34,$B16)+COUNTIF('11月'!DK4:DK34,$B16)+COUNTIF('11月'!DO4:DO34,$B16)+COUNTIF('11月'!DP4:DP34,$B16)+COUNTIF('11月'!DT4:DT34,$B16)+COUNTIF('11月'!DU4:DU34,$B16)+COUNTIF('11月'!DY4:DY34,$B16)+COUNTIF('11月'!DZ4:DZ34,$B16)+COUNTIF('11月'!ED4:ED34,$B16)+COUNTIF('11月'!EE4:EE34,$B16)+COUNTIF('11月'!EI4:EI34,$B16)+COUNTIF('11月'!EJ4:EJ34,$B16)+COUNTIF('11月'!EN4:EN34,$B16)+COUNTIF('11月'!EO4:EO34,$B16)+COUNTIF('11月'!ES4:ES34,$B16)+COUNTIF('11月'!ET4:ET34,$B16)),0)</f>
        <v>0</v>
      </c>
      <c r="N16" s="76">
        <f>IFERROR(IF($B16="","",COUNTIF('12月'!D4:D34,$B16)+COUNTIF('12月'!E4:E34,$B16)+COUNTIF('12月'!I4:I34,$B16)+COUNTIF('12月'!J4:J34,$B16)+COUNTIF('12月'!N4:N34,$B16)+COUNTIF('12月'!O4:O34,$B16)+COUNTIF('12月'!S4:S34,$B16)+COUNTIF('12月'!T4:T34,$B16)+COUNTIF('12月'!X4:X34,$B16)+COUNTIF('12月'!Y4:Y34,$B16)+COUNTIF('12月'!AC4:AC34,$B16)+COUNTIF('12月'!AD4:AD34,$B16)+COUNTIF('12月'!AH4:AH34,$B16)+COUNTIF('12月'!AI4:AI34,$B16)+COUNTIF('12月'!AM4:AM34,$B16)+COUNTIF('12月'!AN4:AN34,$B16)+COUNTIF('12月'!AR4:AR34,$B16)+COUNTIF('12月'!AS4:AS34,$B16)+COUNTIF('12月'!AW4:AW34,$B16)+COUNTIF('12月'!AX4:AX34,$B16)+COUNTIF('12月'!BB4:BB34,$B16)+COUNTIF('12月'!BC4:BC34,$B16)+COUNTIF('12月'!BG4:BG34,$B16)+COUNTIF('12月'!BH4:BH34,$B16)+COUNTIF('12月'!BL4:BL34,$B16)+COUNTIF('12月'!BM4:BM34,$B16)+COUNTIF('12月'!BQ4:BQ34,$B16)+COUNTIF('12月'!BR4:BR34,$B16)+COUNTIF('12月'!BV4:BV34,$B16)+COUNTIF('12月'!BW4:BW34,$B16)+COUNTIF('12月'!CA4:CA34,$B16)+COUNTIF('12月'!CB4:CB34,$B16)+COUNTIF('12月'!CF4:CF34,$B16)+COUNTIF('12月'!CG4:CG34,$B16)+COUNTIF('12月'!CK4:CK34,$B16)+COUNTIF('12月'!CL4:CL34,$B16)+COUNTIF('12月'!CP4:CP34,$B16)+COUNTIF('12月'!CQ4:CQ34,$B16)+COUNTIF('12月'!CU4:CU34,$B16)+COUNTIF('12月'!CV4:CV34,$B16)+COUNTIF('12月'!CZ4:CZ34,$B16)+COUNTIF('12月'!DA4:DA34,$B16)+COUNTIF('12月'!DE4:DE34,$B16)+COUNTIF('12月'!DF4:DF34,$B16)+COUNTIF('12月'!DJ4:DJ34,$B16)+COUNTIF('12月'!DK4:DK34,$B16)+COUNTIF('12月'!DO4:DO34,$B16)+COUNTIF('12月'!DP4:DP34,$B16)+COUNTIF('12月'!DT4:DT34,$B16)+COUNTIF('12月'!DU4:DU34,$B16)+COUNTIF('12月'!DY4:DY34,$B16)+COUNTIF('12月'!DZ4:DZ34,$B16)+COUNTIF('12月'!ED4:ED34,$B16)+COUNTIF('12月'!EE4:EE34,$B16)+COUNTIF('12月'!EI4:EI34,$B16)+COUNTIF('12月'!EJ4:EJ34,$B16)+COUNTIF('12月'!EN4:EN34,$B16)+COUNTIF('12月'!EO4:EO34,$B16)+COUNTIF('12月'!ES4:ES34,$B16)+COUNTIF('12月'!ET4:ET34,$B16)),0)</f>
        <v>0</v>
      </c>
      <c r="O16" s="78">
        <f t="shared" si="0"/>
        <v>0</v>
      </c>
    </row>
    <row r="17" spans="1:15" ht="19.5" customHeight="1">
      <c r="A17" s="76">
        <v>15</v>
      </c>
      <c r="B17" s="77">
        <f>IFERROR(現場マスタ!$C$18,"")</f>
        <v>0</v>
      </c>
      <c r="C17" s="76">
        <f>IFERROR(IF($B17="","",COUNTIF('1月'!D4:D34,$B17)+COUNTIF('1月'!E4:E34,$B17)+COUNTIF('1月'!I4:I34,$B17)+COUNTIF('1月'!J4:J34,$B17)+COUNTIF('1月'!N4:N34,$B17)+COUNTIF('1月'!O4:O34,$B17)+COUNTIF('1月'!S4:S34,$B17)+COUNTIF('1月'!T4:T34,$B17)+COUNTIF('1月'!X4:X34,$B17)+COUNTIF('1月'!Y4:Y34,$B17)+COUNTIF('1月'!AC4:AC34,$B17)+COUNTIF('1月'!AD4:AD34,$B17)+COUNTIF('1月'!AH4:AH34,$B17)+COUNTIF('1月'!AI4:AI34,$B17)+COUNTIF('1月'!AM4:AM34,$B17)+COUNTIF('1月'!AN4:AN34,$B17)+COUNTIF('1月'!AR4:AR34,$B17)+COUNTIF('1月'!AS4:AS34,$B17)+COUNTIF('1月'!AW4:AW34,$B17)+COUNTIF('1月'!AX4:AX34,$B17)+COUNTIF('1月'!BB4:BB34,$B17)+COUNTIF('1月'!BC4:BC34,$B17)+COUNTIF('1月'!BG4:BG34,$B17)+COUNTIF('1月'!BH4:BH34,$B17)+COUNTIF('1月'!BL4:BL34,$B17)+COUNTIF('1月'!BM4:BM34,$B17)+COUNTIF('1月'!BQ4:BQ34,$B17)+COUNTIF('1月'!BR4:BR34,$B17)+COUNTIF('1月'!BV4:BV34,$B17)+COUNTIF('1月'!BW4:BW34,$B17)+COUNTIF('1月'!CA4:CA34,$B17)+COUNTIF('1月'!CB4:CB34,$B17)+COUNTIF('1月'!CF4:CF34,$B17)+COUNTIF('1月'!CG4:CG34,$B17)+COUNTIF('1月'!CK4:CK34,$B17)+COUNTIF('1月'!CL4:CL34,$B17)+COUNTIF('1月'!CP4:CP34,$B17)+COUNTIF('1月'!CQ4:CQ34,$B17)+COUNTIF('1月'!CU4:CU34,$B17)+COUNTIF('1月'!CV4:CV34,$B17)+COUNTIF('1月'!CZ4:CZ34,$B17)+COUNTIF('1月'!DA4:DA34,$B17)+COUNTIF('1月'!DE4:DE34,$B17)+COUNTIF('1月'!DF4:DF34,$B17)+COUNTIF('1月'!DJ4:DJ34,$B17)+COUNTIF('1月'!DK4:DK34,$B17)+COUNTIF('1月'!DO4:DO34,$B17)+COUNTIF('1月'!DP4:DP34,$B17)+COUNTIF('1月'!DT4:DT34,$B17)+COUNTIF('1月'!DU4:DU34,$B17)+COUNTIF('1月'!DY4:DY34,$B17)+COUNTIF('1月'!DZ4:DZ34,$B17)+COUNTIF('1月'!ED4:ED34,$B17)+COUNTIF('1月'!EE4:EE34,$B17)+COUNTIF('1月'!EI4:EI34,$B17)+COUNTIF('1月'!EJ4:EJ34,$B17)+COUNTIF('1月'!EN4:EN34,$B17)+COUNTIF('1月'!EO4:EO34,$B17)+COUNTIF('1月'!ES4:ES34,$B17)+COUNTIF('1月'!ET4:ET34,$B17)),0)</f>
        <v>0</v>
      </c>
      <c r="D17" s="76">
        <f>IFERROR(IF($B17="","",COUNTIF('2月'!D4:D34,$B17)+COUNTIF('2月'!E4:E34,$B17)+COUNTIF('2月'!I4:I34,$B17)+COUNTIF('2月'!J4:J34,$B17)+COUNTIF('2月'!N4:N34,$B17)+COUNTIF('2月'!O4:O34,$B17)+COUNTIF('2月'!S4:S34,$B17)+COUNTIF('2月'!T4:T34,$B17)+COUNTIF('2月'!X4:X34,$B17)+COUNTIF('2月'!Y4:Y34,$B17)+COUNTIF('2月'!AC4:AC34,$B17)+COUNTIF('2月'!AD4:AD34,$B17)+COUNTIF('2月'!AH4:AH34,$B17)+COUNTIF('2月'!AI4:AI34,$B17)+COUNTIF('2月'!AM4:AM34,$B17)+COUNTIF('2月'!AN4:AN34,$B17)+COUNTIF('2月'!AR4:AR34,$B17)+COUNTIF('2月'!AS4:AS34,$B17)+COUNTIF('2月'!AW4:AW34,$B17)+COUNTIF('2月'!AX4:AX34,$B17)+COUNTIF('2月'!BB4:BB34,$B17)+COUNTIF('2月'!BC4:BC34,$B17)+COUNTIF('2月'!BG4:BG34,$B17)+COUNTIF('2月'!BH4:BH34,$B17)+COUNTIF('2月'!BL4:BL34,$B17)+COUNTIF('2月'!BM4:BM34,$B17)+COUNTIF('2月'!BQ4:BQ34,$B17)+COUNTIF('2月'!BR4:BR34,$B17)+COUNTIF('2月'!BV4:BV34,$B17)+COUNTIF('2月'!BW4:BW34,$B17)+COUNTIF('2月'!CA4:CA34,$B17)+COUNTIF('2月'!CB4:CB34,$B17)+COUNTIF('2月'!CF4:CF34,$B17)+COUNTIF('2月'!CG4:CG34,$B17)+COUNTIF('2月'!CK4:CK34,$B17)+COUNTIF('2月'!CL4:CL34,$B17)+COUNTIF('2月'!CP4:CP34,$B17)+COUNTIF('2月'!CQ4:CQ34,$B17)+COUNTIF('2月'!CU4:CU34,$B17)+COUNTIF('2月'!CV4:CV34,$B17)+COUNTIF('2月'!CZ4:CZ34,$B17)+COUNTIF('2月'!DA4:DA34,$B17)+COUNTIF('2月'!DE4:DE34,$B17)+COUNTIF('2月'!DF4:DF34,$B17)+COUNTIF('2月'!DJ4:DJ34,$B17)+COUNTIF('2月'!DK4:DK34,$B17)+COUNTIF('2月'!DO4:DO34,$B17)+COUNTIF('2月'!DP4:DP34,$B17)+COUNTIF('2月'!DT4:DT34,$B17)+COUNTIF('2月'!DU4:DU34,$B17)+COUNTIF('2月'!DY4:DY34,$B17)+COUNTIF('2月'!DZ4:DZ34,$B17)+COUNTIF('2月'!ED4:ED34,$B17)+COUNTIF('2月'!EE4:EE34,$B17)+COUNTIF('2月'!EI4:EI34,$B17)+COUNTIF('2月'!EJ4:EJ34,$B17)+COUNTIF('2月'!EN4:EN34,$B17)+COUNTIF('2月'!EO4:EO34,$B17)+COUNTIF('2月'!ES4:ES34,$B17)+COUNTIF('2月'!ET4:ET34,$B17)),0)</f>
        <v>0</v>
      </c>
      <c r="E17" s="76">
        <f>IFERROR(IF($B17="","",COUNTIF('3月'!D4:D34,$B17)+COUNTIF('3月'!E4:E34,$B17)+COUNTIF('3月'!I4:I34,$B17)+COUNTIF('3月'!J4:J34,$B17)+COUNTIF('3月'!N4:N34,$B17)+COUNTIF('3月'!O4:O34,$B17)+COUNTIF('3月'!S4:S34,$B17)+COUNTIF('3月'!T4:T34,$B17)+COUNTIF('3月'!X4:X34,$B17)+COUNTIF('3月'!Y4:Y34,$B17)+COUNTIF('3月'!AC4:AC34,$B17)+COUNTIF('3月'!AD4:AD34,$B17)+COUNTIF('3月'!AH4:AH34,$B17)+COUNTIF('3月'!AI4:AI34,$B17)+COUNTIF('3月'!AM4:AM34,$B17)+COUNTIF('3月'!AN4:AN34,$B17)+COUNTIF('3月'!AR4:AR34,$B17)+COUNTIF('3月'!AS4:AS34,$B17)+COUNTIF('3月'!AW4:AW34,$B17)+COUNTIF('3月'!AX4:AX34,$B17)+COUNTIF('3月'!BB4:BB34,$B17)+COUNTIF('3月'!BC4:BC34,$B17)+COUNTIF('3月'!BG4:BG34,$B17)+COUNTIF('3月'!BH4:BH34,$B17)+COUNTIF('3月'!BL4:BL34,$B17)+COUNTIF('3月'!BM4:BM34,$B17)+COUNTIF('3月'!BQ4:BQ34,$B17)+COUNTIF('3月'!BR4:BR34,$B17)+COUNTIF('3月'!BV4:BV34,$B17)+COUNTIF('3月'!BW4:BW34,$B17)+COUNTIF('3月'!CA4:CA34,$B17)+COUNTIF('3月'!CB4:CB34,$B17)+COUNTIF('3月'!CF4:CF34,$B17)+COUNTIF('3月'!CG4:CG34,$B17)+COUNTIF('3月'!CK4:CK34,$B17)+COUNTIF('3月'!CL4:CL34,$B17)+COUNTIF('3月'!CP4:CP34,$B17)+COUNTIF('3月'!CQ4:CQ34,$B17)+COUNTIF('3月'!CU4:CU34,$B17)+COUNTIF('3月'!CV4:CV34,$B17)+COUNTIF('3月'!CZ4:CZ34,$B17)+COUNTIF('3月'!DA4:DA34,$B17)+COUNTIF('3月'!DE4:DE34,$B17)+COUNTIF('3月'!DF4:DF34,$B17)+COUNTIF('3月'!DJ4:DJ34,$B17)+COUNTIF('3月'!DK4:DK34,$B17)+COUNTIF('3月'!DO4:DO34,$B17)+COUNTIF('3月'!DP4:DP34,$B17)+COUNTIF('3月'!DT4:DT34,$B17)+COUNTIF('3月'!DU4:DU34,$B17)+COUNTIF('3月'!DY4:DY34,$B17)+COUNTIF('3月'!DZ4:DZ34,$B17)+COUNTIF('3月'!ED4:ED34,$B17)+COUNTIF('3月'!EE4:EE34,$B17)+COUNTIF('3月'!EI4:EI34,$B17)+COUNTIF('3月'!EJ4:EJ34,$B17)+COUNTIF('3月'!EN4:EN34,$B17)+COUNTIF('3月'!EO4:EO34,$B17)+COUNTIF('3月'!ES4:ES34,$B17)+COUNTIF('3月'!ET4:ET34,$B17)),0)</f>
        <v>0</v>
      </c>
      <c r="F17" s="76">
        <f>IFERROR(IF($B17="","",COUNTIF('4月'!D4:D34,$B17)+COUNTIF('4月'!E4:E34,$B17)+COUNTIF('4月'!I4:I34,$B17)+COUNTIF('4月'!J4:J34,$B17)+COUNTIF('4月'!N4:N34,$B17)+COUNTIF('4月'!O4:O34,$B17)+COUNTIF('4月'!S4:S34,$B17)+COUNTIF('4月'!T4:T34,$B17)+COUNTIF('4月'!X4:X34,$B17)+COUNTIF('4月'!Y4:Y34,$B17)+COUNTIF('4月'!AC4:AC34,$B17)+COUNTIF('4月'!AD4:AD34,$B17)+COUNTIF('4月'!AH4:AH34,$B17)+COUNTIF('4月'!AI4:AI34,$B17)+COUNTIF('4月'!AM4:AM34,$B17)+COUNTIF('4月'!AN4:AN34,$B17)+COUNTIF('4月'!AR4:AR34,$B17)+COUNTIF('4月'!AS4:AS34,$B17)+COUNTIF('4月'!AW4:AW34,$B17)+COUNTIF('4月'!AX4:AX34,$B17)+COUNTIF('4月'!BB4:BB34,$B17)+COUNTIF('4月'!BC4:BC34,$B17)+COUNTIF('4月'!BG4:BG34,$B17)+COUNTIF('4月'!BH4:BH34,$B17)+COUNTIF('4月'!BL4:BL34,$B17)+COUNTIF('4月'!BM4:BM34,$B17)+COUNTIF('4月'!BQ4:BQ34,$B17)+COUNTIF('4月'!BR4:BR34,$B17)+COUNTIF('4月'!BV4:BV34,$B17)+COUNTIF('4月'!BW4:BW34,$B17)+COUNTIF('4月'!CA4:CA34,$B17)+COUNTIF('4月'!CB4:CB34,$B17)+COUNTIF('4月'!CF4:CF34,$B17)+COUNTIF('4月'!CG4:CG34,$B17)+COUNTIF('4月'!CK4:CK34,$B17)+COUNTIF('4月'!CL4:CL34,$B17)+COUNTIF('4月'!CP4:CP34,$B17)+COUNTIF('4月'!CQ4:CQ34,$B17)+COUNTIF('4月'!CU4:CU34,$B17)+COUNTIF('4月'!CV4:CV34,$B17)+COUNTIF('4月'!CZ4:CZ34,$B17)+COUNTIF('4月'!DA4:DA34,$B17)+COUNTIF('4月'!DE4:DE34,$B17)+COUNTIF('4月'!DF4:DF34,$B17)+COUNTIF('4月'!DJ4:DJ34,$B17)+COUNTIF('4月'!DK4:DK34,$B17)+COUNTIF('4月'!DO4:DO34,$B17)+COUNTIF('4月'!DP4:DP34,$B17)+COUNTIF('4月'!DT4:DT34,$B17)+COUNTIF('4月'!DU4:DU34,$B17)+COUNTIF('4月'!DY4:DY34,$B17)+COUNTIF('4月'!DZ4:DZ34,$B17)+COUNTIF('4月'!ED4:ED34,$B17)+COUNTIF('4月'!EE4:EE34,$B17)+COUNTIF('4月'!EI4:EI34,$B17)+COUNTIF('4月'!EJ4:EJ34,$B17)+COUNTIF('4月'!EN4:EN34,$B17)+COUNTIF('4月'!EO4:EO34,$B17)+COUNTIF('4月'!ES4:ES34,$B17)+COUNTIF('4月'!ET4:ET34,$B17)),0)</f>
        <v>0</v>
      </c>
      <c r="G17" s="76">
        <f>IFERROR(IF($B17="","",COUNTIF('5月'!D4:D34,$B17)+COUNTIF('5月'!E4:E34,$B17)+COUNTIF('5月'!I4:I34,$B17)+COUNTIF('5月'!J4:J34,$B17)+COUNTIF('5月'!N4:N34,$B17)+COUNTIF('5月'!O4:O34,$B17)+COUNTIF('5月'!S4:S34,$B17)+COUNTIF('5月'!T4:T34,$B17)+COUNTIF('5月'!X4:X34,$B17)+COUNTIF('5月'!Y4:Y34,$B17)+COUNTIF('5月'!AC4:AC34,$B17)+COUNTIF('5月'!AD4:AD34,$B17)+COUNTIF('5月'!AH4:AH34,$B17)+COUNTIF('5月'!AI4:AI34,$B17)+COUNTIF('5月'!AM4:AM34,$B17)+COUNTIF('5月'!AN4:AN34,$B17)+COUNTIF('5月'!AR4:AR34,$B17)+COUNTIF('5月'!AS4:AS34,$B17)+COUNTIF('5月'!AW4:AW34,$B17)+COUNTIF('5月'!AX4:AX34,$B17)+COUNTIF('5月'!BB4:BB34,$B17)+COUNTIF('5月'!BC4:BC34,$B17)+COUNTIF('5月'!BG4:BG34,$B17)+COUNTIF('5月'!BH4:BH34,$B17)+COUNTIF('5月'!BL4:BL34,$B17)+COUNTIF('5月'!BM4:BM34,$B17)+COUNTIF('5月'!BQ4:BQ34,$B17)+COUNTIF('5月'!BR4:BR34,$B17)+COUNTIF('5月'!BV4:BV34,$B17)+COUNTIF('5月'!BW4:BW34,$B17)+COUNTIF('5月'!CA4:CA34,$B17)+COUNTIF('5月'!CB4:CB34,$B17)+COUNTIF('5月'!CF4:CF34,$B17)+COUNTIF('5月'!CG4:CG34,$B17)+COUNTIF('5月'!CK4:CK34,$B17)+COUNTIF('5月'!CL4:CL34,$B17)+COUNTIF('5月'!CP4:CP34,$B17)+COUNTIF('5月'!CQ4:CQ34,$B17)+COUNTIF('5月'!CU4:CU34,$B17)+COUNTIF('5月'!CV4:CV34,$B17)+COUNTIF('5月'!CZ4:CZ34,$B17)+COUNTIF('5月'!DA4:DA34,$B17)+COUNTIF('5月'!DE4:DE34,$B17)+COUNTIF('5月'!DF4:DF34,$B17)+COUNTIF('5月'!DJ4:DJ34,$B17)+COUNTIF('5月'!DK4:DK34,$B17)+COUNTIF('5月'!DO4:DO34,$B17)+COUNTIF('5月'!DP4:DP34,$B17)+COUNTIF('5月'!DT4:DT34,$B17)+COUNTIF('5月'!DU4:DU34,$B17)+COUNTIF('5月'!DY4:DY34,$B17)+COUNTIF('5月'!DZ4:DZ34,$B17)+COUNTIF('5月'!ED4:ED34,$B17)+COUNTIF('5月'!EE4:EE34,$B17)+COUNTIF('5月'!EI4:EI34,$B17)+COUNTIF('5月'!EJ4:EJ34,$B17)+COUNTIF('5月'!EN4:EN34,$B17)+COUNTIF('5月'!EO4:EO34,$B17)+COUNTIF('5月'!ES4:ES34,$B17)+COUNTIF('5月'!ET4:ET34,$B17)),0)</f>
        <v>0</v>
      </c>
      <c r="H17" s="76">
        <f>IFERROR(IF($B17="","",COUNTIF('6月'!D4:D34,$B17)+COUNTIF('6月'!E4:E34,$B17)+COUNTIF('6月'!I4:I34,$B17)+COUNTIF('6月'!J4:J34,$B17)+COUNTIF('6月'!N4:N34,$B17)+COUNTIF('6月'!O4:O34,$B17)+COUNTIF('6月'!S4:S34,$B17)+COUNTIF('6月'!T4:T34,$B17)+COUNTIF('6月'!X4:X34,$B17)+COUNTIF('6月'!Y4:Y34,$B17)+COUNTIF('6月'!AC4:AC34,$B17)+COUNTIF('6月'!AD4:AD34,$B17)+COUNTIF('6月'!AH4:AH34,$B17)+COUNTIF('6月'!AI4:AI34,$B17)+COUNTIF('6月'!AM4:AM34,$B17)+COUNTIF('6月'!AN4:AN34,$B17)+COUNTIF('6月'!AR4:AR34,$B17)+COUNTIF('6月'!AS4:AS34,$B17)+COUNTIF('6月'!AW4:AW34,$B17)+COUNTIF('6月'!AX4:AX34,$B17)+COUNTIF('6月'!BB4:BB34,$B17)+COUNTIF('6月'!BC4:BC34,$B17)+COUNTIF('6月'!BG4:BG34,$B17)+COUNTIF('6月'!BH4:BH34,$B17)+COUNTIF('6月'!BL4:BL34,$B17)+COUNTIF('6月'!BM4:BM34,$B17)+COUNTIF('6月'!BQ4:BQ34,$B17)+COUNTIF('6月'!BR4:BR34,$B17)+COUNTIF('6月'!BV4:BV34,$B17)+COUNTIF('6月'!BW4:BW34,$B17)+COUNTIF('6月'!CA4:CA34,$B17)+COUNTIF('6月'!CB4:CB34,$B17)+COUNTIF('6月'!CF4:CF34,$B17)+COUNTIF('6月'!CG4:CG34,$B17)+COUNTIF('6月'!CK4:CK34,$B17)+COUNTIF('6月'!CL4:CL34,$B17)+COUNTIF('6月'!CP4:CP34,$B17)+COUNTIF('6月'!CQ4:CQ34,$B17)+COUNTIF('6月'!CU4:CU34,$B17)+COUNTIF('6月'!CV4:CV34,$B17)+COUNTIF('6月'!CZ4:CZ34,$B17)+COUNTIF('6月'!DA4:DA34,$B17)+COUNTIF('6月'!DE4:DE34,$B17)+COUNTIF('6月'!DF4:DF34,$B17)+COUNTIF('6月'!DJ4:DJ34,$B17)+COUNTIF('6月'!DK4:DK34,$B17)+COUNTIF('6月'!DO4:DO34,$B17)+COUNTIF('6月'!DP4:DP34,$B17)+COUNTIF('6月'!DT4:DT34,$B17)+COUNTIF('6月'!DU4:DU34,$B17)+COUNTIF('6月'!DY4:DY34,$B17)+COUNTIF('6月'!DZ4:DZ34,$B17)+COUNTIF('6月'!ED4:ED34,$B17)+COUNTIF('6月'!EE4:EE34,$B17)+COUNTIF('6月'!EI4:EI34,$B17)+COUNTIF('6月'!EJ4:EJ34,$B17)+COUNTIF('6月'!EN4:EN34,$B17)+COUNTIF('6月'!EO4:EO34,$B17)+COUNTIF('6月'!ES4:ES34,$B17)+COUNTIF('6月'!ET4:ET34,$B17)),0)</f>
        <v>0</v>
      </c>
      <c r="I17" s="76">
        <f>IFERROR(IF($B17="","",COUNTIF('7月'!D4:D34,$B17)+COUNTIF('7月'!E4:E34,$B17)+COUNTIF('7月'!I4:I34,$B17)+COUNTIF('7月'!J4:J34,$B17)+COUNTIF('7月'!N4:N34,$B17)+COUNTIF('7月'!O4:O34,$B17)+COUNTIF('7月'!S4:S34,$B17)+COUNTIF('7月'!T4:T34,$B17)+COUNTIF('7月'!X4:X34,$B17)+COUNTIF('7月'!Y4:Y34,$B17)+COUNTIF('7月'!AC4:AC34,$B17)+COUNTIF('7月'!AD4:AD34,$B17)+COUNTIF('7月'!AH4:AH34,$B17)+COUNTIF('7月'!AI4:AI34,$B17)+COUNTIF('7月'!AM4:AM34,$B17)+COUNTIF('7月'!AN4:AN34,$B17)+COUNTIF('7月'!AR4:AR34,$B17)+COUNTIF('7月'!AS4:AS34,$B17)+COUNTIF('7月'!AW4:AW34,$B17)+COUNTIF('7月'!AX4:AX34,$B17)+COUNTIF('7月'!BB4:BB34,$B17)+COUNTIF('7月'!BC4:BC34,$B17)+COUNTIF('7月'!BG4:BG34,$B17)+COUNTIF('7月'!BH4:BH34,$B17)+COUNTIF('7月'!BL4:BL34,$B17)+COUNTIF('7月'!BM4:BM34,$B17)+COUNTIF('7月'!BQ4:BQ34,$B17)+COUNTIF('7月'!BR4:BR34,$B17)+COUNTIF('7月'!BV4:BV34,$B17)+COUNTIF('7月'!BW4:BW34,$B17)+COUNTIF('7月'!CA4:CA34,$B17)+COUNTIF('7月'!CB4:CB34,$B17)+COUNTIF('7月'!CF4:CF34,$B17)+COUNTIF('7月'!CG4:CG34,$B17)+COUNTIF('7月'!CK4:CK34,$B17)+COUNTIF('7月'!CL4:CL34,$B17)+COUNTIF('7月'!CP4:CP34,$B17)+COUNTIF('7月'!CQ4:CQ34,$B17)+COUNTIF('7月'!CU4:CU34,$B17)+COUNTIF('7月'!CV4:CV34,$B17)+COUNTIF('7月'!CZ4:CZ34,$B17)+COUNTIF('7月'!DA4:DA34,$B17)+COUNTIF('7月'!DE4:DE34,$B17)+COUNTIF('7月'!DF4:DF34,$B17)+COUNTIF('7月'!DJ4:DJ34,$B17)+COUNTIF('7月'!DK4:DK34,$B17)+COUNTIF('7月'!DO4:DO34,$B17)+COUNTIF('7月'!DP4:DP34,$B17)+COUNTIF('7月'!DT4:DT34,$B17)+COUNTIF('7月'!DU4:DU34,$B17)+COUNTIF('7月'!DY4:DY34,$B17)+COUNTIF('7月'!DZ4:DZ34,$B17)+COUNTIF('7月'!ED4:ED34,$B17)+COUNTIF('7月'!EE4:EE34,$B17)+COUNTIF('7月'!EI4:EI34,$B17)+COUNTIF('7月'!EJ4:EJ34,$B17)+COUNTIF('7月'!EN4:EN34,$B17)+COUNTIF('7月'!EO4:EO34,$B17)+COUNTIF('7月'!ES4:ES34,$B17)+COUNTIF('7月'!ET4:ET34,$B17)),0)</f>
        <v>0</v>
      </c>
      <c r="J17" s="76">
        <f>IFERROR(IF($B17="","",COUNTIF('8月'!D4:D34,$B17)+COUNTIF('8月'!E4:E34,$B17)+COUNTIF('8月'!I4:I34,$B17)+COUNTIF('8月'!J4:J34,$B17)+COUNTIF('8月'!N4:N34,$B17)+COUNTIF('8月'!O4:O34,$B17)+COUNTIF('8月'!S4:S34,$B17)+COUNTIF('8月'!T4:T34,$B17)+COUNTIF('8月'!X4:X34,$B17)+COUNTIF('8月'!Y4:Y34,$B17)+COUNTIF('8月'!AC4:AC34,$B17)+COUNTIF('8月'!AD4:AD34,$B17)+COUNTIF('8月'!AH4:AH34,$B17)+COUNTIF('8月'!AI4:AI34,$B17)+COUNTIF('8月'!AM4:AM34,$B17)+COUNTIF('8月'!AN4:AN34,$B17)+COUNTIF('8月'!AR4:AR34,$B17)+COUNTIF('8月'!AS4:AS34,$B17)+COUNTIF('8月'!AW4:AW34,$B17)+COUNTIF('8月'!AX4:AX34,$B17)+COUNTIF('8月'!BB4:BB34,$B17)+COUNTIF('8月'!BC4:BC34,$B17)+COUNTIF('8月'!BG4:BG34,$B17)+COUNTIF('8月'!BH4:BH34,$B17)+COUNTIF('8月'!BL4:BL34,$B17)+COUNTIF('8月'!BM4:BM34,$B17)+COUNTIF('8月'!BQ4:BQ34,$B17)+COUNTIF('8月'!BR4:BR34,$B17)+COUNTIF('8月'!BV4:BV34,$B17)+COUNTIF('8月'!BW4:BW34,$B17)+COUNTIF('8月'!CA4:CA34,$B17)+COUNTIF('8月'!CB4:CB34,$B17)+COUNTIF('8月'!CF4:CF34,$B17)+COUNTIF('8月'!CG4:CG34,$B17)+COUNTIF('8月'!CK4:CK34,$B17)+COUNTIF('8月'!CL4:CL34,$B17)+COUNTIF('8月'!CP4:CP34,$B17)+COUNTIF('8月'!CQ4:CQ34,$B17)+COUNTIF('8月'!CU4:CU34,$B17)+COUNTIF('8月'!CV4:CV34,$B17)+COUNTIF('8月'!CZ4:CZ34,$B17)+COUNTIF('8月'!DA4:DA34,$B17)+COUNTIF('8月'!DE4:DE34,$B17)+COUNTIF('8月'!DF4:DF34,$B17)+COUNTIF('8月'!DJ4:DJ34,$B17)+COUNTIF('8月'!DK4:DK34,$B17)+COUNTIF('8月'!DO4:DO34,$B17)+COUNTIF('8月'!DP4:DP34,$B17)+COUNTIF('8月'!DT4:DT34,$B17)+COUNTIF('8月'!DU4:DU34,$B17)+COUNTIF('8月'!DY4:DY34,$B17)+COUNTIF('8月'!DZ4:DZ34,$B17)+COUNTIF('8月'!ED4:ED34,$B17)+COUNTIF('8月'!EE4:EE34,$B17)+COUNTIF('8月'!EI4:EI34,$B17)+COUNTIF('8月'!EJ4:EJ34,$B17)+COUNTIF('8月'!EN4:EN34,$B17)+COUNTIF('8月'!EO4:EO34,$B17)+COUNTIF('8月'!ES4:ES34,$B17)+COUNTIF('8月'!ET4:ET34,$B17)),0)</f>
        <v>0</v>
      </c>
      <c r="K17" s="76">
        <f>IFERROR(IF($B17="","",COUNTIF('9月'!D4:D34,$B17)+COUNTIF('9月'!E4:E34,$B17)+COUNTIF('9月'!I4:I34,$B17)+COUNTIF('9月'!J4:J34,$B17)+COUNTIF('9月'!N4:N34,$B17)+COUNTIF('9月'!O4:O34,$B17)+COUNTIF('9月'!S4:S34,$B17)+COUNTIF('9月'!T4:T34,$B17)+COUNTIF('9月'!X4:X34,$B17)+COUNTIF('9月'!Y4:Y34,$B17)+COUNTIF('9月'!AC4:AC34,$B17)+COUNTIF('9月'!AD4:AD34,$B17)+COUNTIF('9月'!AH4:AH34,$B17)+COUNTIF('9月'!AI4:AI34,$B17)+COUNTIF('9月'!AM4:AM34,$B17)+COUNTIF('9月'!AN4:AN34,$B17)+COUNTIF('9月'!AR4:AR34,$B17)+COUNTIF('9月'!AS4:AS34,$B17)+COUNTIF('9月'!AW4:AW34,$B17)+COUNTIF('9月'!AX4:AX34,$B17)+COUNTIF('9月'!BB4:BB34,$B17)+COUNTIF('9月'!BC4:BC34,$B17)+COUNTIF('9月'!BG4:BG34,$B17)+COUNTIF('9月'!BH4:BH34,$B17)+COUNTIF('9月'!BL4:BL34,$B17)+COUNTIF('9月'!BM4:BM34,$B17)+COUNTIF('9月'!BQ4:BQ34,$B17)+COUNTIF('9月'!BR4:BR34,$B17)+COUNTIF('9月'!BV4:BV34,$B17)+COUNTIF('9月'!BW4:BW34,$B17)+COUNTIF('9月'!CA4:CA34,$B17)+COUNTIF('9月'!CB4:CB34,$B17)+COUNTIF('9月'!CF4:CF34,$B17)+COUNTIF('9月'!CG4:CG34,$B17)+COUNTIF('9月'!CK4:CK34,$B17)+COUNTIF('9月'!CL4:CL34,$B17)+COUNTIF('9月'!CP4:CP34,$B17)+COUNTIF('9月'!CQ4:CQ34,$B17)+COUNTIF('9月'!CU4:CU34,$B17)+COUNTIF('9月'!CV4:CV34,$B17)+COUNTIF('9月'!CZ4:CZ34,$B17)+COUNTIF('9月'!DA4:DA34,$B17)+COUNTIF('9月'!DE4:DE34,$B17)+COUNTIF('9月'!DF4:DF34,$B17)+COUNTIF('9月'!DJ4:DJ34,$B17)+COUNTIF('9月'!DK4:DK34,$B17)+COUNTIF('9月'!DO4:DO34,$B17)+COUNTIF('9月'!DP4:DP34,$B17)+COUNTIF('9月'!DT4:DT34,$B17)+COUNTIF('9月'!DU4:DU34,$B17)+COUNTIF('9月'!DY4:DY34,$B17)+COUNTIF('9月'!DZ4:DZ34,$B17)+COUNTIF('9月'!ED4:ED34,$B17)+COUNTIF('9月'!EE4:EE34,$B17)+COUNTIF('9月'!EI4:EI34,$B17)+COUNTIF('9月'!EJ4:EJ34,$B17)+COUNTIF('9月'!EN4:EN34,$B17)+COUNTIF('9月'!EO4:EO34,$B17)+COUNTIF('9月'!ES4:ES34,$B17)+COUNTIF('9月'!ET4:ET34,$B17)),0)</f>
        <v>0</v>
      </c>
      <c r="L17" s="76">
        <f>IFERROR(IF($B17="","",COUNTIF('10月'!D4:D34,$B17)+COUNTIF('10月'!E4:E34,$B17)+COUNTIF('10月'!I4:I34,$B17)+COUNTIF('10月'!J4:J34,$B17)+COUNTIF('10月'!N4:N34,$B17)+COUNTIF('10月'!O4:O34,$B17)+COUNTIF('10月'!S4:S34,$B17)+COUNTIF('10月'!T4:T34,$B17)+COUNTIF('10月'!X4:X34,$B17)+COUNTIF('10月'!Y4:Y34,$B17)+COUNTIF('10月'!AC4:AC34,$B17)+COUNTIF('10月'!AD4:AD34,$B17)+COUNTIF('10月'!AH4:AH34,$B17)+COUNTIF('10月'!AI4:AI34,$B17)+COUNTIF('10月'!AM4:AM34,$B17)+COUNTIF('10月'!AN4:AN34,$B17)+COUNTIF('10月'!AR4:AR34,$B17)+COUNTIF('10月'!AS4:AS34,$B17)+COUNTIF('10月'!AW4:AW34,$B17)+COUNTIF('10月'!AX4:AX34,$B17)+COUNTIF('10月'!BB4:BB34,$B17)+COUNTIF('10月'!BC4:BC34,$B17)+COUNTIF('10月'!BG4:BG34,$B17)+COUNTIF('10月'!BH4:BH34,$B17)+COUNTIF('10月'!BL4:BL34,$B17)+COUNTIF('10月'!BM4:BM34,$B17)+COUNTIF('10月'!BQ4:BQ34,$B17)+COUNTIF('10月'!BR4:BR34,$B17)+COUNTIF('10月'!BV4:BV34,$B17)+COUNTIF('10月'!BW4:BW34,$B17)+COUNTIF('10月'!CA4:CA34,$B17)+COUNTIF('10月'!CB4:CB34,$B17)+COUNTIF('10月'!CF4:CF34,$B17)+COUNTIF('10月'!CG4:CG34,$B17)+COUNTIF('10月'!CK4:CK34,$B17)+COUNTIF('10月'!CL4:CL34,$B17)+COUNTIF('10月'!CP4:CP34,$B17)+COUNTIF('10月'!CQ4:CQ34,$B17)+COUNTIF('10月'!CU4:CU34,$B17)+COUNTIF('10月'!CV4:CV34,$B17)+COUNTIF('10月'!CZ4:CZ34,$B17)+COUNTIF('10月'!DA4:DA34,$B17)+COUNTIF('10月'!DE4:DE34,$B17)+COUNTIF('10月'!DF4:DF34,$B17)+COUNTIF('10月'!DJ4:DJ34,$B17)+COUNTIF('10月'!DK4:DK34,$B17)+COUNTIF('10月'!DO4:DO34,$B17)+COUNTIF('10月'!DP4:DP34,$B17)+COUNTIF('10月'!DT4:DT34,$B17)+COUNTIF('10月'!DU4:DU34,$B17)+COUNTIF('10月'!DY4:DY34,$B17)+COUNTIF('10月'!DZ4:DZ34,$B17)+COUNTIF('10月'!ED4:ED34,$B17)+COUNTIF('10月'!EE4:EE34,$B17)+COUNTIF('10月'!EI4:EI34,$B17)+COUNTIF('10月'!EJ4:EJ34,$B17)+COUNTIF('10月'!EN4:EN34,$B17)+COUNTIF('10月'!EO4:EO34,$B17)+COUNTIF('10月'!ES4:ES34,$B17)+COUNTIF('10月'!ET4:ET34,$B17)),0)</f>
        <v>0</v>
      </c>
      <c r="M17" s="76">
        <f>IFERROR(IF($B17="","",COUNTIF('11月'!D4:D34,$B17)+COUNTIF('11月'!E4:E34,$B17)+COUNTIF('11月'!I4:I34,$B17)+COUNTIF('11月'!J4:J34,$B17)+COUNTIF('11月'!N4:N34,$B17)+COUNTIF('11月'!O4:O34,$B17)+COUNTIF('11月'!S4:S34,$B17)+COUNTIF('11月'!T4:T34,$B17)+COUNTIF('11月'!X4:X34,$B17)+COUNTIF('11月'!Y4:Y34,$B17)+COUNTIF('11月'!AC4:AC34,$B17)+COUNTIF('11月'!AD4:AD34,$B17)+COUNTIF('11月'!AH4:AH34,$B17)+COUNTIF('11月'!AI4:AI34,$B17)+COUNTIF('11月'!AM4:AM34,$B17)+COUNTIF('11月'!AN4:AN34,$B17)+COUNTIF('11月'!AR4:AR34,$B17)+COUNTIF('11月'!AS4:AS34,$B17)+COUNTIF('11月'!AW4:AW34,$B17)+COUNTIF('11月'!AX4:AX34,$B17)+COUNTIF('11月'!BB4:BB34,$B17)+COUNTIF('11月'!BC4:BC34,$B17)+COUNTIF('11月'!BG4:BG34,$B17)+COUNTIF('11月'!BH4:BH34,$B17)+COUNTIF('11月'!BL4:BL34,$B17)+COUNTIF('11月'!BM4:BM34,$B17)+COUNTIF('11月'!BQ4:BQ34,$B17)+COUNTIF('11月'!BR4:BR34,$B17)+COUNTIF('11月'!BV4:BV34,$B17)+COUNTIF('11月'!BW4:BW34,$B17)+COUNTIF('11月'!CA4:CA34,$B17)+COUNTIF('11月'!CB4:CB34,$B17)+COUNTIF('11月'!CF4:CF34,$B17)+COUNTIF('11月'!CG4:CG34,$B17)+COUNTIF('11月'!CK4:CK34,$B17)+COUNTIF('11月'!CL4:CL34,$B17)+COUNTIF('11月'!CP4:CP34,$B17)+COUNTIF('11月'!CQ4:CQ34,$B17)+COUNTIF('11月'!CU4:CU34,$B17)+COUNTIF('11月'!CV4:CV34,$B17)+COUNTIF('11月'!CZ4:CZ34,$B17)+COUNTIF('11月'!DA4:DA34,$B17)+COUNTIF('11月'!DE4:DE34,$B17)+COUNTIF('11月'!DF4:DF34,$B17)+COUNTIF('11月'!DJ4:DJ34,$B17)+COUNTIF('11月'!DK4:DK34,$B17)+COUNTIF('11月'!DO4:DO34,$B17)+COUNTIF('11月'!DP4:DP34,$B17)+COUNTIF('11月'!DT4:DT34,$B17)+COUNTIF('11月'!DU4:DU34,$B17)+COUNTIF('11月'!DY4:DY34,$B17)+COUNTIF('11月'!DZ4:DZ34,$B17)+COUNTIF('11月'!ED4:ED34,$B17)+COUNTIF('11月'!EE4:EE34,$B17)+COUNTIF('11月'!EI4:EI34,$B17)+COUNTIF('11月'!EJ4:EJ34,$B17)+COUNTIF('11月'!EN4:EN34,$B17)+COUNTIF('11月'!EO4:EO34,$B17)+COUNTIF('11月'!ES4:ES34,$B17)+COUNTIF('11月'!ET4:ET34,$B17)),0)</f>
        <v>0</v>
      </c>
      <c r="N17" s="76">
        <f>IFERROR(IF($B17="","",COUNTIF('12月'!D4:D34,$B17)+COUNTIF('12月'!E4:E34,$B17)+COUNTIF('12月'!I4:I34,$B17)+COUNTIF('12月'!J4:J34,$B17)+COUNTIF('12月'!N4:N34,$B17)+COUNTIF('12月'!O4:O34,$B17)+COUNTIF('12月'!S4:S34,$B17)+COUNTIF('12月'!T4:T34,$B17)+COUNTIF('12月'!X4:X34,$B17)+COUNTIF('12月'!Y4:Y34,$B17)+COUNTIF('12月'!AC4:AC34,$B17)+COUNTIF('12月'!AD4:AD34,$B17)+COUNTIF('12月'!AH4:AH34,$B17)+COUNTIF('12月'!AI4:AI34,$B17)+COUNTIF('12月'!AM4:AM34,$B17)+COUNTIF('12月'!AN4:AN34,$B17)+COUNTIF('12月'!AR4:AR34,$B17)+COUNTIF('12月'!AS4:AS34,$B17)+COUNTIF('12月'!AW4:AW34,$B17)+COUNTIF('12月'!AX4:AX34,$B17)+COUNTIF('12月'!BB4:BB34,$B17)+COUNTIF('12月'!BC4:BC34,$B17)+COUNTIF('12月'!BG4:BG34,$B17)+COUNTIF('12月'!BH4:BH34,$B17)+COUNTIF('12月'!BL4:BL34,$B17)+COUNTIF('12月'!BM4:BM34,$B17)+COUNTIF('12月'!BQ4:BQ34,$B17)+COUNTIF('12月'!BR4:BR34,$B17)+COUNTIF('12月'!BV4:BV34,$B17)+COUNTIF('12月'!BW4:BW34,$B17)+COUNTIF('12月'!CA4:CA34,$B17)+COUNTIF('12月'!CB4:CB34,$B17)+COUNTIF('12月'!CF4:CF34,$B17)+COUNTIF('12月'!CG4:CG34,$B17)+COUNTIF('12月'!CK4:CK34,$B17)+COUNTIF('12月'!CL4:CL34,$B17)+COUNTIF('12月'!CP4:CP34,$B17)+COUNTIF('12月'!CQ4:CQ34,$B17)+COUNTIF('12月'!CU4:CU34,$B17)+COUNTIF('12月'!CV4:CV34,$B17)+COUNTIF('12月'!CZ4:CZ34,$B17)+COUNTIF('12月'!DA4:DA34,$B17)+COUNTIF('12月'!DE4:DE34,$B17)+COUNTIF('12月'!DF4:DF34,$B17)+COUNTIF('12月'!DJ4:DJ34,$B17)+COUNTIF('12月'!DK4:DK34,$B17)+COUNTIF('12月'!DO4:DO34,$B17)+COUNTIF('12月'!DP4:DP34,$B17)+COUNTIF('12月'!DT4:DT34,$B17)+COUNTIF('12月'!DU4:DU34,$B17)+COUNTIF('12月'!DY4:DY34,$B17)+COUNTIF('12月'!DZ4:DZ34,$B17)+COUNTIF('12月'!ED4:ED34,$B17)+COUNTIF('12月'!EE4:EE34,$B17)+COUNTIF('12月'!EI4:EI34,$B17)+COUNTIF('12月'!EJ4:EJ34,$B17)+COUNTIF('12月'!EN4:EN34,$B17)+COUNTIF('12月'!EO4:EO34,$B17)+COUNTIF('12月'!ES4:ES34,$B17)+COUNTIF('12月'!ET4:ET34,$B17)),0)</f>
        <v>0</v>
      </c>
      <c r="O17" s="78">
        <f t="shared" si="0"/>
        <v>0</v>
      </c>
    </row>
    <row r="18" spans="1:15" ht="19.5" customHeight="1">
      <c r="A18" s="76">
        <v>16</v>
      </c>
      <c r="B18" s="77">
        <f>IFERROR(現場マスタ!$C$19,"")</f>
        <v>0</v>
      </c>
      <c r="C18" s="76">
        <f>IFERROR(IF($B18="","",COUNTIF('1月'!D4:D34,$B18)+COUNTIF('1月'!E4:E34,$B18)+COUNTIF('1月'!I4:I34,$B18)+COUNTIF('1月'!J4:J34,$B18)+COUNTIF('1月'!N4:N34,$B18)+COUNTIF('1月'!O4:O34,$B18)+COUNTIF('1月'!S4:S34,$B18)+COUNTIF('1月'!T4:T34,$B18)+COUNTIF('1月'!X4:X34,$B18)+COUNTIF('1月'!Y4:Y34,$B18)+COUNTIF('1月'!AC4:AC34,$B18)+COUNTIF('1月'!AD4:AD34,$B18)+COUNTIF('1月'!AH4:AH34,$B18)+COUNTIF('1月'!AI4:AI34,$B18)+COUNTIF('1月'!AM4:AM34,$B18)+COUNTIF('1月'!AN4:AN34,$B18)+COUNTIF('1月'!AR4:AR34,$B18)+COUNTIF('1月'!AS4:AS34,$B18)+COUNTIF('1月'!AW4:AW34,$B18)+COUNTIF('1月'!AX4:AX34,$B18)+COUNTIF('1月'!BB4:BB34,$B18)+COUNTIF('1月'!BC4:BC34,$B18)+COUNTIF('1月'!BG4:BG34,$B18)+COUNTIF('1月'!BH4:BH34,$B18)+COUNTIF('1月'!BL4:BL34,$B18)+COUNTIF('1月'!BM4:BM34,$B18)+COUNTIF('1月'!BQ4:BQ34,$B18)+COUNTIF('1月'!BR4:BR34,$B18)+COUNTIF('1月'!BV4:BV34,$B18)+COUNTIF('1月'!BW4:BW34,$B18)+COUNTIF('1月'!CA4:CA34,$B18)+COUNTIF('1月'!CB4:CB34,$B18)+COUNTIF('1月'!CF4:CF34,$B18)+COUNTIF('1月'!CG4:CG34,$B18)+COUNTIF('1月'!CK4:CK34,$B18)+COUNTIF('1月'!CL4:CL34,$B18)+COUNTIF('1月'!CP4:CP34,$B18)+COUNTIF('1月'!CQ4:CQ34,$B18)+COUNTIF('1月'!CU4:CU34,$B18)+COUNTIF('1月'!CV4:CV34,$B18)+COUNTIF('1月'!CZ4:CZ34,$B18)+COUNTIF('1月'!DA4:DA34,$B18)+COUNTIF('1月'!DE4:DE34,$B18)+COUNTIF('1月'!DF4:DF34,$B18)+COUNTIF('1月'!DJ4:DJ34,$B18)+COUNTIF('1月'!DK4:DK34,$B18)+COUNTIF('1月'!DO4:DO34,$B18)+COUNTIF('1月'!DP4:DP34,$B18)+COUNTIF('1月'!DT4:DT34,$B18)+COUNTIF('1月'!DU4:DU34,$B18)+COUNTIF('1月'!DY4:DY34,$B18)+COUNTIF('1月'!DZ4:DZ34,$B18)+COUNTIF('1月'!ED4:ED34,$B18)+COUNTIF('1月'!EE4:EE34,$B18)+COUNTIF('1月'!EI4:EI34,$B18)+COUNTIF('1月'!EJ4:EJ34,$B18)+COUNTIF('1月'!EN4:EN34,$B18)+COUNTIF('1月'!EO4:EO34,$B18)+COUNTIF('1月'!ES4:ES34,$B18)+COUNTIF('1月'!ET4:ET34,$B18)),0)</f>
        <v>0</v>
      </c>
      <c r="D18" s="76">
        <f>IFERROR(IF($B18="","",COUNTIF('2月'!D4:D34,$B18)+COUNTIF('2月'!E4:E34,$B18)+COUNTIF('2月'!I4:I34,$B18)+COUNTIF('2月'!J4:J34,$B18)+COUNTIF('2月'!N4:N34,$B18)+COUNTIF('2月'!O4:O34,$B18)+COUNTIF('2月'!S4:S34,$B18)+COUNTIF('2月'!T4:T34,$B18)+COUNTIF('2月'!X4:X34,$B18)+COUNTIF('2月'!Y4:Y34,$B18)+COUNTIF('2月'!AC4:AC34,$B18)+COUNTIF('2月'!AD4:AD34,$B18)+COUNTIF('2月'!AH4:AH34,$B18)+COUNTIF('2月'!AI4:AI34,$B18)+COUNTIF('2月'!AM4:AM34,$B18)+COUNTIF('2月'!AN4:AN34,$B18)+COUNTIF('2月'!AR4:AR34,$B18)+COUNTIF('2月'!AS4:AS34,$B18)+COUNTIF('2月'!AW4:AW34,$B18)+COUNTIF('2月'!AX4:AX34,$B18)+COUNTIF('2月'!BB4:BB34,$B18)+COUNTIF('2月'!BC4:BC34,$B18)+COUNTIF('2月'!BG4:BG34,$B18)+COUNTIF('2月'!BH4:BH34,$B18)+COUNTIF('2月'!BL4:BL34,$B18)+COUNTIF('2月'!BM4:BM34,$B18)+COUNTIF('2月'!BQ4:BQ34,$B18)+COUNTIF('2月'!BR4:BR34,$B18)+COUNTIF('2月'!BV4:BV34,$B18)+COUNTIF('2月'!BW4:BW34,$B18)+COUNTIF('2月'!CA4:CA34,$B18)+COUNTIF('2月'!CB4:CB34,$B18)+COUNTIF('2月'!CF4:CF34,$B18)+COUNTIF('2月'!CG4:CG34,$B18)+COUNTIF('2月'!CK4:CK34,$B18)+COUNTIF('2月'!CL4:CL34,$B18)+COUNTIF('2月'!CP4:CP34,$B18)+COUNTIF('2月'!CQ4:CQ34,$B18)+COUNTIF('2月'!CU4:CU34,$B18)+COUNTIF('2月'!CV4:CV34,$B18)+COUNTIF('2月'!CZ4:CZ34,$B18)+COUNTIF('2月'!DA4:DA34,$B18)+COUNTIF('2月'!DE4:DE34,$B18)+COUNTIF('2月'!DF4:DF34,$B18)+COUNTIF('2月'!DJ4:DJ34,$B18)+COUNTIF('2月'!DK4:DK34,$B18)+COUNTIF('2月'!DO4:DO34,$B18)+COUNTIF('2月'!DP4:DP34,$B18)+COUNTIF('2月'!DT4:DT34,$B18)+COUNTIF('2月'!DU4:DU34,$B18)+COUNTIF('2月'!DY4:DY34,$B18)+COUNTIF('2月'!DZ4:DZ34,$B18)+COUNTIF('2月'!ED4:ED34,$B18)+COUNTIF('2月'!EE4:EE34,$B18)+COUNTIF('2月'!EI4:EI34,$B18)+COUNTIF('2月'!EJ4:EJ34,$B18)+COUNTIF('2月'!EN4:EN34,$B18)+COUNTIF('2月'!EO4:EO34,$B18)+COUNTIF('2月'!ES4:ES34,$B18)+COUNTIF('2月'!ET4:ET34,$B18)),0)</f>
        <v>0</v>
      </c>
      <c r="E18" s="76">
        <f>IFERROR(IF($B18="","",COUNTIF('3月'!D4:D34,$B18)+COUNTIF('3月'!E4:E34,$B18)+COUNTIF('3月'!I4:I34,$B18)+COUNTIF('3月'!J4:J34,$B18)+COUNTIF('3月'!N4:N34,$B18)+COUNTIF('3月'!O4:O34,$B18)+COUNTIF('3月'!S4:S34,$B18)+COUNTIF('3月'!T4:T34,$B18)+COUNTIF('3月'!X4:X34,$B18)+COUNTIF('3月'!Y4:Y34,$B18)+COUNTIF('3月'!AC4:AC34,$B18)+COUNTIF('3月'!AD4:AD34,$B18)+COUNTIF('3月'!AH4:AH34,$B18)+COUNTIF('3月'!AI4:AI34,$B18)+COUNTIF('3月'!AM4:AM34,$B18)+COUNTIF('3月'!AN4:AN34,$B18)+COUNTIF('3月'!AR4:AR34,$B18)+COUNTIF('3月'!AS4:AS34,$B18)+COUNTIF('3月'!AW4:AW34,$B18)+COUNTIF('3月'!AX4:AX34,$B18)+COUNTIF('3月'!BB4:BB34,$B18)+COUNTIF('3月'!BC4:BC34,$B18)+COUNTIF('3月'!BG4:BG34,$B18)+COUNTIF('3月'!BH4:BH34,$B18)+COUNTIF('3月'!BL4:BL34,$B18)+COUNTIF('3月'!BM4:BM34,$B18)+COUNTIF('3月'!BQ4:BQ34,$B18)+COUNTIF('3月'!BR4:BR34,$B18)+COUNTIF('3月'!BV4:BV34,$B18)+COUNTIF('3月'!BW4:BW34,$B18)+COUNTIF('3月'!CA4:CA34,$B18)+COUNTIF('3月'!CB4:CB34,$B18)+COUNTIF('3月'!CF4:CF34,$B18)+COUNTIF('3月'!CG4:CG34,$B18)+COUNTIF('3月'!CK4:CK34,$B18)+COUNTIF('3月'!CL4:CL34,$B18)+COUNTIF('3月'!CP4:CP34,$B18)+COUNTIF('3月'!CQ4:CQ34,$B18)+COUNTIF('3月'!CU4:CU34,$B18)+COUNTIF('3月'!CV4:CV34,$B18)+COUNTIF('3月'!CZ4:CZ34,$B18)+COUNTIF('3月'!DA4:DA34,$B18)+COUNTIF('3月'!DE4:DE34,$B18)+COUNTIF('3月'!DF4:DF34,$B18)+COUNTIF('3月'!DJ4:DJ34,$B18)+COUNTIF('3月'!DK4:DK34,$B18)+COUNTIF('3月'!DO4:DO34,$B18)+COUNTIF('3月'!DP4:DP34,$B18)+COUNTIF('3月'!DT4:DT34,$B18)+COUNTIF('3月'!DU4:DU34,$B18)+COUNTIF('3月'!DY4:DY34,$B18)+COUNTIF('3月'!DZ4:DZ34,$B18)+COUNTIF('3月'!ED4:ED34,$B18)+COUNTIF('3月'!EE4:EE34,$B18)+COUNTIF('3月'!EI4:EI34,$B18)+COUNTIF('3月'!EJ4:EJ34,$B18)+COUNTIF('3月'!EN4:EN34,$B18)+COUNTIF('3月'!EO4:EO34,$B18)+COUNTIF('3月'!ES4:ES34,$B18)+COUNTIF('3月'!ET4:ET34,$B18)),0)</f>
        <v>0</v>
      </c>
      <c r="F18" s="76">
        <f>IFERROR(IF($B18="","",COUNTIF('4月'!D4:D34,$B18)+COUNTIF('4月'!E4:E34,$B18)+COUNTIF('4月'!I4:I34,$B18)+COUNTIF('4月'!J4:J34,$B18)+COUNTIF('4月'!N4:N34,$B18)+COUNTIF('4月'!O4:O34,$B18)+COUNTIF('4月'!S4:S34,$B18)+COUNTIF('4月'!T4:T34,$B18)+COUNTIF('4月'!X4:X34,$B18)+COUNTIF('4月'!Y4:Y34,$B18)+COUNTIF('4月'!AC4:AC34,$B18)+COUNTIF('4月'!AD4:AD34,$B18)+COUNTIF('4月'!AH4:AH34,$B18)+COUNTIF('4月'!AI4:AI34,$B18)+COUNTIF('4月'!AM4:AM34,$B18)+COUNTIF('4月'!AN4:AN34,$B18)+COUNTIF('4月'!AR4:AR34,$B18)+COUNTIF('4月'!AS4:AS34,$B18)+COUNTIF('4月'!AW4:AW34,$B18)+COUNTIF('4月'!AX4:AX34,$B18)+COUNTIF('4月'!BB4:BB34,$B18)+COUNTIF('4月'!BC4:BC34,$B18)+COUNTIF('4月'!BG4:BG34,$B18)+COUNTIF('4月'!BH4:BH34,$B18)+COUNTIF('4月'!BL4:BL34,$B18)+COUNTIF('4月'!BM4:BM34,$B18)+COUNTIF('4月'!BQ4:BQ34,$B18)+COUNTIF('4月'!BR4:BR34,$B18)+COUNTIF('4月'!BV4:BV34,$B18)+COUNTIF('4月'!BW4:BW34,$B18)+COUNTIF('4月'!CA4:CA34,$B18)+COUNTIF('4月'!CB4:CB34,$B18)+COUNTIF('4月'!CF4:CF34,$B18)+COUNTIF('4月'!CG4:CG34,$B18)+COUNTIF('4月'!CK4:CK34,$B18)+COUNTIF('4月'!CL4:CL34,$B18)+COUNTIF('4月'!CP4:CP34,$B18)+COUNTIF('4月'!CQ4:CQ34,$B18)+COUNTIF('4月'!CU4:CU34,$B18)+COUNTIF('4月'!CV4:CV34,$B18)+COUNTIF('4月'!CZ4:CZ34,$B18)+COUNTIF('4月'!DA4:DA34,$B18)+COUNTIF('4月'!DE4:DE34,$B18)+COUNTIF('4月'!DF4:DF34,$B18)+COUNTIF('4月'!DJ4:DJ34,$B18)+COUNTIF('4月'!DK4:DK34,$B18)+COUNTIF('4月'!DO4:DO34,$B18)+COUNTIF('4月'!DP4:DP34,$B18)+COUNTIF('4月'!DT4:DT34,$B18)+COUNTIF('4月'!DU4:DU34,$B18)+COUNTIF('4月'!DY4:DY34,$B18)+COUNTIF('4月'!DZ4:DZ34,$B18)+COUNTIF('4月'!ED4:ED34,$B18)+COUNTIF('4月'!EE4:EE34,$B18)+COUNTIF('4月'!EI4:EI34,$B18)+COUNTIF('4月'!EJ4:EJ34,$B18)+COUNTIF('4月'!EN4:EN34,$B18)+COUNTIF('4月'!EO4:EO34,$B18)+COUNTIF('4月'!ES4:ES34,$B18)+COUNTIF('4月'!ET4:ET34,$B18)),0)</f>
        <v>0</v>
      </c>
      <c r="G18" s="76">
        <f>IFERROR(IF($B18="","",COUNTIF('5月'!D4:D34,$B18)+COUNTIF('5月'!E4:E34,$B18)+COUNTIF('5月'!I4:I34,$B18)+COUNTIF('5月'!J4:J34,$B18)+COUNTIF('5月'!N4:N34,$B18)+COUNTIF('5月'!O4:O34,$B18)+COUNTIF('5月'!S4:S34,$B18)+COUNTIF('5月'!T4:T34,$B18)+COUNTIF('5月'!X4:X34,$B18)+COUNTIF('5月'!Y4:Y34,$B18)+COUNTIF('5月'!AC4:AC34,$B18)+COUNTIF('5月'!AD4:AD34,$B18)+COUNTIF('5月'!AH4:AH34,$B18)+COUNTIF('5月'!AI4:AI34,$B18)+COUNTIF('5月'!AM4:AM34,$B18)+COUNTIF('5月'!AN4:AN34,$B18)+COUNTIF('5月'!AR4:AR34,$B18)+COUNTIF('5月'!AS4:AS34,$B18)+COUNTIF('5月'!AW4:AW34,$B18)+COUNTIF('5月'!AX4:AX34,$B18)+COUNTIF('5月'!BB4:BB34,$B18)+COUNTIF('5月'!BC4:BC34,$B18)+COUNTIF('5月'!BG4:BG34,$B18)+COUNTIF('5月'!BH4:BH34,$B18)+COUNTIF('5月'!BL4:BL34,$B18)+COUNTIF('5月'!BM4:BM34,$B18)+COUNTIF('5月'!BQ4:BQ34,$B18)+COUNTIF('5月'!BR4:BR34,$B18)+COUNTIF('5月'!BV4:BV34,$B18)+COUNTIF('5月'!BW4:BW34,$B18)+COUNTIF('5月'!CA4:CA34,$B18)+COUNTIF('5月'!CB4:CB34,$B18)+COUNTIF('5月'!CF4:CF34,$B18)+COUNTIF('5月'!CG4:CG34,$B18)+COUNTIF('5月'!CK4:CK34,$B18)+COUNTIF('5月'!CL4:CL34,$B18)+COUNTIF('5月'!CP4:CP34,$B18)+COUNTIF('5月'!CQ4:CQ34,$B18)+COUNTIF('5月'!CU4:CU34,$B18)+COUNTIF('5月'!CV4:CV34,$B18)+COUNTIF('5月'!CZ4:CZ34,$B18)+COUNTIF('5月'!DA4:DA34,$B18)+COUNTIF('5月'!DE4:DE34,$B18)+COUNTIF('5月'!DF4:DF34,$B18)+COUNTIF('5月'!DJ4:DJ34,$B18)+COUNTIF('5月'!DK4:DK34,$B18)+COUNTIF('5月'!DO4:DO34,$B18)+COUNTIF('5月'!DP4:DP34,$B18)+COUNTIF('5月'!DT4:DT34,$B18)+COUNTIF('5月'!DU4:DU34,$B18)+COUNTIF('5月'!DY4:DY34,$B18)+COUNTIF('5月'!DZ4:DZ34,$B18)+COUNTIF('5月'!ED4:ED34,$B18)+COUNTIF('5月'!EE4:EE34,$B18)+COUNTIF('5月'!EI4:EI34,$B18)+COUNTIF('5月'!EJ4:EJ34,$B18)+COUNTIF('5月'!EN4:EN34,$B18)+COUNTIF('5月'!EO4:EO34,$B18)+COUNTIF('5月'!ES4:ES34,$B18)+COUNTIF('5月'!ET4:ET34,$B18)),0)</f>
        <v>0</v>
      </c>
      <c r="H18" s="76">
        <f>IFERROR(IF($B18="","",COUNTIF('6月'!D4:D34,$B18)+COUNTIF('6月'!E4:E34,$B18)+COUNTIF('6月'!I4:I34,$B18)+COUNTIF('6月'!J4:J34,$B18)+COUNTIF('6月'!N4:N34,$B18)+COUNTIF('6月'!O4:O34,$B18)+COUNTIF('6月'!S4:S34,$B18)+COUNTIF('6月'!T4:T34,$B18)+COUNTIF('6月'!X4:X34,$B18)+COUNTIF('6月'!Y4:Y34,$B18)+COUNTIF('6月'!AC4:AC34,$B18)+COUNTIF('6月'!AD4:AD34,$B18)+COUNTIF('6月'!AH4:AH34,$B18)+COUNTIF('6月'!AI4:AI34,$B18)+COUNTIF('6月'!AM4:AM34,$B18)+COUNTIF('6月'!AN4:AN34,$B18)+COUNTIF('6月'!AR4:AR34,$B18)+COUNTIF('6月'!AS4:AS34,$B18)+COUNTIF('6月'!AW4:AW34,$B18)+COUNTIF('6月'!AX4:AX34,$B18)+COUNTIF('6月'!BB4:BB34,$B18)+COUNTIF('6月'!BC4:BC34,$B18)+COUNTIF('6月'!BG4:BG34,$B18)+COUNTIF('6月'!BH4:BH34,$B18)+COUNTIF('6月'!BL4:BL34,$B18)+COUNTIF('6月'!BM4:BM34,$B18)+COUNTIF('6月'!BQ4:BQ34,$B18)+COUNTIF('6月'!BR4:BR34,$B18)+COUNTIF('6月'!BV4:BV34,$B18)+COUNTIF('6月'!BW4:BW34,$B18)+COUNTIF('6月'!CA4:CA34,$B18)+COUNTIF('6月'!CB4:CB34,$B18)+COUNTIF('6月'!CF4:CF34,$B18)+COUNTIF('6月'!CG4:CG34,$B18)+COUNTIF('6月'!CK4:CK34,$B18)+COUNTIF('6月'!CL4:CL34,$B18)+COUNTIF('6月'!CP4:CP34,$B18)+COUNTIF('6月'!CQ4:CQ34,$B18)+COUNTIF('6月'!CU4:CU34,$B18)+COUNTIF('6月'!CV4:CV34,$B18)+COUNTIF('6月'!CZ4:CZ34,$B18)+COUNTIF('6月'!DA4:DA34,$B18)+COUNTIF('6月'!DE4:DE34,$B18)+COUNTIF('6月'!DF4:DF34,$B18)+COUNTIF('6月'!DJ4:DJ34,$B18)+COUNTIF('6月'!DK4:DK34,$B18)+COUNTIF('6月'!DO4:DO34,$B18)+COUNTIF('6月'!DP4:DP34,$B18)+COUNTIF('6月'!DT4:DT34,$B18)+COUNTIF('6月'!DU4:DU34,$B18)+COUNTIF('6月'!DY4:DY34,$B18)+COUNTIF('6月'!DZ4:DZ34,$B18)+COUNTIF('6月'!ED4:ED34,$B18)+COUNTIF('6月'!EE4:EE34,$B18)+COUNTIF('6月'!EI4:EI34,$B18)+COUNTIF('6月'!EJ4:EJ34,$B18)+COUNTIF('6月'!EN4:EN34,$B18)+COUNTIF('6月'!EO4:EO34,$B18)+COUNTIF('6月'!ES4:ES34,$B18)+COUNTIF('6月'!ET4:ET34,$B18)),0)</f>
        <v>0</v>
      </c>
      <c r="I18" s="76">
        <f>IFERROR(IF($B18="","",COUNTIF('7月'!D4:D34,$B18)+COUNTIF('7月'!E4:E34,$B18)+COUNTIF('7月'!I4:I34,$B18)+COUNTIF('7月'!J4:J34,$B18)+COUNTIF('7月'!N4:N34,$B18)+COUNTIF('7月'!O4:O34,$B18)+COUNTIF('7月'!S4:S34,$B18)+COUNTIF('7月'!T4:T34,$B18)+COUNTIF('7月'!X4:X34,$B18)+COUNTIF('7月'!Y4:Y34,$B18)+COUNTIF('7月'!AC4:AC34,$B18)+COUNTIF('7月'!AD4:AD34,$B18)+COUNTIF('7月'!AH4:AH34,$B18)+COUNTIF('7月'!AI4:AI34,$B18)+COUNTIF('7月'!AM4:AM34,$B18)+COUNTIF('7月'!AN4:AN34,$B18)+COUNTIF('7月'!AR4:AR34,$B18)+COUNTIF('7月'!AS4:AS34,$B18)+COUNTIF('7月'!AW4:AW34,$B18)+COUNTIF('7月'!AX4:AX34,$B18)+COUNTIF('7月'!BB4:BB34,$B18)+COUNTIF('7月'!BC4:BC34,$B18)+COUNTIF('7月'!BG4:BG34,$B18)+COUNTIF('7月'!BH4:BH34,$B18)+COUNTIF('7月'!BL4:BL34,$B18)+COUNTIF('7月'!BM4:BM34,$B18)+COUNTIF('7月'!BQ4:BQ34,$B18)+COUNTIF('7月'!BR4:BR34,$B18)+COUNTIF('7月'!BV4:BV34,$B18)+COUNTIF('7月'!BW4:BW34,$B18)+COUNTIF('7月'!CA4:CA34,$B18)+COUNTIF('7月'!CB4:CB34,$B18)+COUNTIF('7月'!CF4:CF34,$B18)+COUNTIF('7月'!CG4:CG34,$B18)+COUNTIF('7月'!CK4:CK34,$B18)+COUNTIF('7月'!CL4:CL34,$B18)+COUNTIF('7月'!CP4:CP34,$B18)+COUNTIF('7月'!CQ4:CQ34,$B18)+COUNTIF('7月'!CU4:CU34,$B18)+COUNTIF('7月'!CV4:CV34,$B18)+COUNTIF('7月'!CZ4:CZ34,$B18)+COUNTIF('7月'!DA4:DA34,$B18)+COUNTIF('7月'!DE4:DE34,$B18)+COUNTIF('7月'!DF4:DF34,$B18)+COUNTIF('7月'!DJ4:DJ34,$B18)+COUNTIF('7月'!DK4:DK34,$B18)+COUNTIF('7月'!DO4:DO34,$B18)+COUNTIF('7月'!DP4:DP34,$B18)+COUNTIF('7月'!DT4:DT34,$B18)+COUNTIF('7月'!DU4:DU34,$B18)+COUNTIF('7月'!DY4:DY34,$B18)+COUNTIF('7月'!DZ4:DZ34,$B18)+COUNTIF('7月'!ED4:ED34,$B18)+COUNTIF('7月'!EE4:EE34,$B18)+COUNTIF('7月'!EI4:EI34,$B18)+COUNTIF('7月'!EJ4:EJ34,$B18)+COUNTIF('7月'!EN4:EN34,$B18)+COUNTIF('7月'!EO4:EO34,$B18)+COUNTIF('7月'!ES4:ES34,$B18)+COUNTIF('7月'!ET4:ET34,$B18)),0)</f>
        <v>0</v>
      </c>
      <c r="J18" s="76">
        <f>IFERROR(IF($B18="","",COUNTIF('8月'!D4:D34,$B18)+COUNTIF('8月'!E4:E34,$B18)+COUNTIF('8月'!I4:I34,$B18)+COUNTIF('8月'!J4:J34,$B18)+COUNTIF('8月'!N4:N34,$B18)+COUNTIF('8月'!O4:O34,$B18)+COUNTIF('8月'!S4:S34,$B18)+COUNTIF('8月'!T4:T34,$B18)+COUNTIF('8月'!X4:X34,$B18)+COUNTIF('8月'!Y4:Y34,$B18)+COUNTIF('8月'!AC4:AC34,$B18)+COUNTIF('8月'!AD4:AD34,$B18)+COUNTIF('8月'!AH4:AH34,$B18)+COUNTIF('8月'!AI4:AI34,$B18)+COUNTIF('8月'!AM4:AM34,$B18)+COUNTIF('8月'!AN4:AN34,$B18)+COUNTIF('8月'!AR4:AR34,$B18)+COUNTIF('8月'!AS4:AS34,$B18)+COUNTIF('8月'!AW4:AW34,$B18)+COUNTIF('8月'!AX4:AX34,$B18)+COUNTIF('8月'!BB4:BB34,$B18)+COUNTIF('8月'!BC4:BC34,$B18)+COUNTIF('8月'!BG4:BG34,$B18)+COUNTIF('8月'!BH4:BH34,$B18)+COUNTIF('8月'!BL4:BL34,$B18)+COUNTIF('8月'!BM4:BM34,$B18)+COUNTIF('8月'!BQ4:BQ34,$B18)+COUNTIF('8月'!BR4:BR34,$B18)+COUNTIF('8月'!BV4:BV34,$B18)+COUNTIF('8月'!BW4:BW34,$B18)+COUNTIF('8月'!CA4:CA34,$B18)+COUNTIF('8月'!CB4:CB34,$B18)+COUNTIF('8月'!CF4:CF34,$B18)+COUNTIF('8月'!CG4:CG34,$B18)+COUNTIF('8月'!CK4:CK34,$B18)+COUNTIF('8月'!CL4:CL34,$B18)+COUNTIF('8月'!CP4:CP34,$B18)+COUNTIF('8月'!CQ4:CQ34,$B18)+COUNTIF('8月'!CU4:CU34,$B18)+COUNTIF('8月'!CV4:CV34,$B18)+COUNTIF('8月'!CZ4:CZ34,$B18)+COUNTIF('8月'!DA4:DA34,$B18)+COUNTIF('8月'!DE4:DE34,$B18)+COUNTIF('8月'!DF4:DF34,$B18)+COUNTIF('8月'!DJ4:DJ34,$B18)+COUNTIF('8月'!DK4:DK34,$B18)+COUNTIF('8月'!DO4:DO34,$B18)+COUNTIF('8月'!DP4:DP34,$B18)+COUNTIF('8月'!DT4:DT34,$B18)+COUNTIF('8月'!DU4:DU34,$B18)+COUNTIF('8月'!DY4:DY34,$B18)+COUNTIF('8月'!DZ4:DZ34,$B18)+COUNTIF('8月'!ED4:ED34,$B18)+COUNTIF('8月'!EE4:EE34,$B18)+COUNTIF('8月'!EI4:EI34,$B18)+COUNTIF('8月'!EJ4:EJ34,$B18)+COUNTIF('8月'!EN4:EN34,$B18)+COUNTIF('8月'!EO4:EO34,$B18)+COUNTIF('8月'!ES4:ES34,$B18)+COUNTIF('8月'!ET4:ET34,$B18)),0)</f>
        <v>0</v>
      </c>
      <c r="K18" s="76">
        <f>IFERROR(IF($B18="","",COUNTIF('9月'!D4:D34,$B18)+COUNTIF('9月'!E4:E34,$B18)+COUNTIF('9月'!I4:I34,$B18)+COUNTIF('9月'!J4:J34,$B18)+COUNTIF('9月'!N4:N34,$B18)+COUNTIF('9月'!O4:O34,$B18)+COUNTIF('9月'!S4:S34,$B18)+COUNTIF('9月'!T4:T34,$B18)+COUNTIF('9月'!X4:X34,$B18)+COUNTIF('9月'!Y4:Y34,$B18)+COUNTIF('9月'!AC4:AC34,$B18)+COUNTIF('9月'!AD4:AD34,$B18)+COUNTIF('9月'!AH4:AH34,$B18)+COUNTIF('9月'!AI4:AI34,$B18)+COUNTIF('9月'!AM4:AM34,$B18)+COUNTIF('9月'!AN4:AN34,$B18)+COUNTIF('9月'!AR4:AR34,$B18)+COUNTIF('9月'!AS4:AS34,$B18)+COUNTIF('9月'!AW4:AW34,$B18)+COUNTIF('9月'!AX4:AX34,$B18)+COUNTIF('9月'!BB4:BB34,$B18)+COUNTIF('9月'!BC4:BC34,$B18)+COUNTIF('9月'!BG4:BG34,$B18)+COUNTIF('9月'!BH4:BH34,$B18)+COUNTIF('9月'!BL4:BL34,$B18)+COUNTIF('9月'!BM4:BM34,$B18)+COUNTIF('9月'!BQ4:BQ34,$B18)+COUNTIF('9月'!BR4:BR34,$B18)+COUNTIF('9月'!BV4:BV34,$B18)+COUNTIF('9月'!BW4:BW34,$B18)+COUNTIF('9月'!CA4:CA34,$B18)+COUNTIF('9月'!CB4:CB34,$B18)+COUNTIF('9月'!CF4:CF34,$B18)+COUNTIF('9月'!CG4:CG34,$B18)+COUNTIF('9月'!CK4:CK34,$B18)+COUNTIF('9月'!CL4:CL34,$B18)+COUNTIF('9月'!CP4:CP34,$B18)+COUNTIF('9月'!CQ4:CQ34,$B18)+COUNTIF('9月'!CU4:CU34,$B18)+COUNTIF('9月'!CV4:CV34,$B18)+COUNTIF('9月'!CZ4:CZ34,$B18)+COUNTIF('9月'!DA4:DA34,$B18)+COUNTIF('9月'!DE4:DE34,$B18)+COUNTIF('9月'!DF4:DF34,$B18)+COUNTIF('9月'!DJ4:DJ34,$B18)+COUNTIF('9月'!DK4:DK34,$B18)+COUNTIF('9月'!DO4:DO34,$B18)+COUNTIF('9月'!DP4:DP34,$B18)+COUNTIF('9月'!DT4:DT34,$B18)+COUNTIF('9月'!DU4:DU34,$B18)+COUNTIF('9月'!DY4:DY34,$B18)+COUNTIF('9月'!DZ4:DZ34,$B18)+COUNTIF('9月'!ED4:ED34,$B18)+COUNTIF('9月'!EE4:EE34,$B18)+COUNTIF('9月'!EI4:EI34,$B18)+COUNTIF('9月'!EJ4:EJ34,$B18)+COUNTIF('9月'!EN4:EN34,$B18)+COUNTIF('9月'!EO4:EO34,$B18)+COUNTIF('9月'!ES4:ES34,$B18)+COUNTIF('9月'!ET4:ET34,$B18)),0)</f>
        <v>0</v>
      </c>
      <c r="L18" s="76">
        <f>IFERROR(IF($B18="","",COUNTIF('10月'!D4:D34,$B18)+COUNTIF('10月'!E4:E34,$B18)+COUNTIF('10月'!I4:I34,$B18)+COUNTIF('10月'!J4:J34,$B18)+COUNTIF('10月'!N4:N34,$B18)+COUNTIF('10月'!O4:O34,$B18)+COUNTIF('10月'!S4:S34,$B18)+COUNTIF('10月'!T4:T34,$B18)+COUNTIF('10月'!X4:X34,$B18)+COUNTIF('10月'!Y4:Y34,$B18)+COUNTIF('10月'!AC4:AC34,$B18)+COUNTIF('10月'!AD4:AD34,$B18)+COUNTIF('10月'!AH4:AH34,$B18)+COUNTIF('10月'!AI4:AI34,$B18)+COUNTIF('10月'!AM4:AM34,$B18)+COUNTIF('10月'!AN4:AN34,$B18)+COUNTIF('10月'!AR4:AR34,$B18)+COUNTIF('10月'!AS4:AS34,$B18)+COUNTIF('10月'!AW4:AW34,$B18)+COUNTIF('10月'!AX4:AX34,$B18)+COUNTIF('10月'!BB4:BB34,$B18)+COUNTIF('10月'!BC4:BC34,$B18)+COUNTIF('10月'!BG4:BG34,$B18)+COUNTIF('10月'!BH4:BH34,$B18)+COUNTIF('10月'!BL4:BL34,$B18)+COUNTIF('10月'!BM4:BM34,$B18)+COUNTIF('10月'!BQ4:BQ34,$B18)+COUNTIF('10月'!BR4:BR34,$B18)+COUNTIF('10月'!BV4:BV34,$B18)+COUNTIF('10月'!BW4:BW34,$B18)+COUNTIF('10月'!CA4:CA34,$B18)+COUNTIF('10月'!CB4:CB34,$B18)+COUNTIF('10月'!CF4:CF34,$B18)+COUNTIF('10月'!CG4:CG34,$B18)+COUNTIF('10月'!CK4:CK34,$B18)+COUNTIF('10月'!CL4:CL34,$B18)+COUNTIF('10月'!CP4:CP34,$B18)+COUNTIF('10月'!CQ4:CQ34,$B18)+COUNTIF('10月'!CU4:CU34,$B18)+COUNTIF('10月'!CV4:CV34,$B18)+COUNTIF('10月'!CZ4:CZ34,$B18)+COUNTIF('10月'!DA4:DA34,$B18)+COUNTIF('10月'!DE4:DE34,$B18)+COUNTIF('10月'!DF4:DF34,$B18)+COUNTIF('10月'!DJ4:DJ34,$B18)+COUNTIF('10月'!DK4:DK34,$B18)+COUNTIF('10月'!DO4:DO34,$B18)+COUNTIF('10月'!DP4:DP34,$B18)+COUNTIF('10月'!DT4:DT34,$B18)+COUNTIF('10月'!DU4:DU34,$B18)+COUNTIF('10月'!DY4:DY34,$B18)+COUNTIF('10月'!DZ4:DZ34,$B18)+COUNTIF('10月'!ED4:ED34,$B18)+COUNTIF('10月'!EE4:EE34,$B18)+COUNTIF('10月'!EI4:EI34,$B18)+COUNTIF('10月'!EJ4:EJ34,$B18)+COUNTIF('10月'!EN4:EN34,$B18)+COUNTIF('10月'!EO4:EO34,$B18)+COUNTIF('10月'!ES4:ES34,$B18)+COUNTIF('10月'!ET4:ET34,$B18)),0)</f>
        <v>0</v>
      </c>
      <c r="M18" s="76">
        <f>IFERROR(IF($B18="","",COUNTIF('11月'!D4:D34,$B18)+COUNTIF('11月'!E4:E34,$B18)+COUNTIF('11月'!I4:I34,$B18)+COUNTIF('11月'!J4:J34,$B18)+COUNTIF('11月'!N4:N34,$B18)+COUNTIF('11月'!O4:O34,$B18)+COUNTIF('11月'!S4:S34,$B18)+COUNTIF('11月'!T4:T34,$B18)+COUNTIF('11月'!X4:X34,$B18)+COUNTIF('11月'!Y4:Y34,$B18)+COUNTIF('11月'!AC4:AC34,$B18)+COUNTIF('11月'!AD4:AD34,$B18)+COUNTIF('11月'!AH4:AH34,$B18)+COUNTIF('11月'!AI4:AI34,$B18)+COUNTIF('11月'!AM4:AM34,$B18)+COUNTIF('11月'!AN4:AN34,$B18)+COUNTIF('11月'!AR4:AR34,$B18)+COUNTIF('11月'!AS4:AS34,$B18)+COUNTIF('11月'!AW4:AW34,$B18)+COUNTIF('11月'!AX4:AX34,$B18)+COUNTIF('11月'!BB4:BB34,$B18)+COUNTIF('11月'!BC4:BC34,$B18)+COUNTIF('11月'!BG4:BG34,$B18)+COUNTIF('11月'!BH4:BH34,$B18)+COUNTIF('11月'!BL4:BL34,$B18)+COUNTIF('11月'!BM4:BM34,$B18)+COUNTIF('11月'!BQ4:BQ34,$B18)+COUNTIF('11月'!BR4:BR34,$B18)+COUNTIF('11月'!BV4:BV34,$B18)+COUNTIF('11月'!BW4:BW34,$B18)+COUNTIF('11月'!CA4:CA34,$B18)+COUNTIF('11月'!CB4:CB34,$B18)+COUNTIF('11月'!CF4:CF34,$B18)+COUNTIF('11月'!CG4:CG34,$B18)+COUNTIF('11月'!CK4:CK34,$B18)+COUNTIF('11月'!CL4:CL34,$B18)+COUNTIF('11月'!CP4:CP34,$B18)+COUNTIF('11月'!CQ4:CQ34,$B18)+COUNTIF('11月'!CU4:CU34,$B18)+COUNTIF('11月'!CV4:CV34,$B18)+COUNTIF('11月'!CZ4:CZ34,$B18)+COUNTIF('11月'!DA4:DA34,$B18)+COUNTIF('11月'!DE4:DE34,$B18)+COUNTIF('11月'!DF4:DF34,$B18)+COUNTIF('11月'!DJ4:DJ34,$B18)+COUNTIF('11月'!DK4:DK34,$B18)+COUNTIF('11月'!DO4:DO34,$B18)+COUNTIF('11月'!DP4:DP34,$B18)+COUNTIF('11月'!DT4:DT34,$B18)+COUNTIF('11月'!DU4:DU34,$B18)+COUNTIF('11月'!DY4:DY34,$B18)+COUNTIF('11月'!DZ4:DZ34,$B18)+COUNTIF('11月'!ED4:ED34,$B18)+COUNTIF('11月'!EE4:EE34,$B18)+COUNTIF('11月'!EI4:EI34,$B18)+COUNTIF('11月'!EJ4:EJ34,$B18)+COUNTIF('11月'!EN4:EN34,$B18)+COUNTIF('11月'!EO4:EO34,$B18)+COUNTIF('11月'!ES4:ES34,$B18)+COUNTIF('11月'!ET4:ET34,$B18)),0)</f>
        <v>0</v>
      </c>
      <c r="N18" s="76">
        <f>IFERROR(IF($B18="","",COUNTIF('12月'!D4:D34,$B18)+COUNTIF('12月'!E4:E34,$B18)+COUNTIF('12月'!I4:I34,$B18)+COUNTIF('12月'!J4:J34,$B18)+COUNTIF('12月'!N4:N34,$B18)+COUNTIF('12月'!O4:O34,$B18)+COUNTIF('12月'!S4:S34,$B18)+COUNTIF('12月'!T4:T34,$B18)+COUNTIF('12月'!X4:X34,$B18)+COUNTIF('12月'!Y4:Y34,$B18)+COUNTIF('12月'!AC4:AC34,$B18)+COUNTIF('12月'!AD4:AD34,$B18)+COUNTIF('12月'!AH4:AH34,$B18)+COUNTIF('12月'!AI4:AI34,$B18)+COUNTIF('12月'!AM4:AM34,$B18)+COUNTIF('12月'!AN4:AN34,$B18)+COUNTIF('12月'!AR4:AR34,$B18)+COUNTIF('12月'!AS4:AS34,$B18)+COUNTIF('12月'!AW4:AW34,$B18)+COUNTIF('12月'!AX4:AX34,$B18)+COUNTIF('12月'!BB4:BB34,$B18)+COUNTIF('12月'!BC4:BC34,$B18)+COUNTIF('12月'!BG4:BG34,$B18)+COUNTIF('12月'!BH4:BH34,$B18)+COUNTIF('12月'!BL4:BL34,$B18)+COUNTIF('12月'!BM4:BM34,$B18)+COUNTIF('12月'!BQ4:BQ34,$B18)+COUNTIF('12月'!BR4:BR34,$B18)+COUNTIF('12月'!BV4:BV34,$B18)+COUNTIF('12月'!BW4:BW34,$B18)+COUNTIF('12月'!CA4:CA34,$B18)+COUNTIF('12月'!CB4:CB34,$B18)+COUNTIF('12月'!CF4:CF34,$B18)+COUNTIF('12月'!CG4:CG34,$B18)+COUNTIF('12月'!CK4:CK34,$B18)+COUNTIF('12月'!CL4:CL34,$B18)+COUNTIF('12月'!CP4:CP34,$B18)+COUNTIF('12月'!CQ4:CQ34,$B18)+COUNTIF('12月'!CU4:CU34,$B18)+COUNTIF('12月'!CV4:CV34,$B18)+COUNTIF('12月'!CZ4:CZ34,$B18)+COUNTIF('12月'!DA4:DA34,$B18)+COUNTIF('12月'!DE4:DE34,$B18)+COUNTIF('12月'!DF4:DF34,$B18)+COUNTIF('12月'!DJ4:DJ34,$B18)+COUNTIF('12月'!DK4:DK34,$B18)+COUNTIF('12月'!DO4:DO34,$B18)+COUNTIF('12月'!DP4:DP34,$B18)+COUNTIF('12月'!DT4:DT34,$B18)+COUNTIF('12月'!DU4:DU34,$B18)+COUNTIF('12月'!DY4:DY34,$B18)+COUNTIF('12月'!DZ4:DZ34,$B18)+COUNTIF('12月'!ED4:ED34,$B18)+COUNTIF('12月'!EE4:EE34,$B18)+COUNTIF('12月'!EI4:EI34,$B18)+COUNTIF('12月'!EJ4:EJ34,$B18)+COUNTIF('12月'!EN4:EN34,$B18)+COUNTIF('12月'!EO4:EO34,$B18)+COUNTIF('12月'!ES4:ES34,$B18)+COUNTIF('12月'!ET4:ET34,$B18)),0)</f>
        <v>0</v>
      </c>
      <c r="O18" s="78">
        <f t="shared" si="0"/>
        <v>0</v>
      </c>
    </row>
    <row r="19" spans="1:15" ht="19.5" customHeight="1">
      <c r="A19" s="76">
        <v>17</v>
      </c>
      <c r="B19" s="77">
        <f>IFERROR(現場マスタ!$C$20,"")</f>
        <v>0</v>
      </c>
      <c r="C19" s="76">
        <f>IFERROR(IF($B19="","",COUNTIF('1月'!D4:D34,$B19)+COUNTIF('1月'!E4:E34,$B19)+COUNTIF('1月'!I4:I34,$B19)+COUNTIF('1月'!J4:J34,$B19)+COUNTIF('1月'!N4:N34,$B19)+COUNTIF('1月'!O4:O34,$B19)+COUNTIF('1月'!S4:S34,$B19)+COUNTIF('1月'!T4:T34,$B19)+COUNTIF('1月'!X4:X34,$B19)+COUNTIF('1月'!Y4:Y34,$B19)+COUNTIF('1月'!AC4:AC34,$B19)+COUNTIF('1月'!AD4:AD34,$B19)+COUNTIF('1月'!AH4:AH34,$B19)+COUNTIF('1月'!AI4:AI34,$B19)+COUNTIF('1月'!AM4:AM34,$B19)+COUNTIF('1月'!AN4:AN34,$B19)+COUNTIF('1月'!AR4:AR34,$B19)+COUNTIF('1月'!AS4:AS34,$B19)+COUNTIF('1月'!AW4:AW34,$B19)+COUNTIF('1月'!AX4:AX34,$B19)+COUNTIF('1月'!BB4:BB34,$B19)+COUNTIF('1月'!BC4:BC34,$B19)+COUNTIF('1月'!BG4:BG34,$B19)+COUNTIF('1月'!BH4:BH34,$B19)+COUNTIF('1月'!BL4:BL34,$B19)+COUNTIF('1月'!BM4:BM34,$B19)+COUNTIF('1月'!BQ4:BQ34,$B19)+COUNTIF('1月'!BR4:BR34,$B19)+COUNTIF('1月'!BV4:BV34,$B19)+COUNTIF('1月'!BW4:BW34,$B19)+COUNTIF('1月'!CA4:CA34,$B19)+COUNTIF('1月'!CB4:CB34,$B19)+COUNTIF('1月'!CF4:CF34,$B19)+COUNTIF('1月'!CG4:CG34,$B19)+COUNTIF('1月'!CK4:CK34,$B19)+COUNTIF('1月'!CL4:CL34,$B19)+COUNTIF('1月'!CP4:CP34,$B19)+COUNTIF('1月'!CQ4:CQ34,$B19)+COUNTIF('1月'!CU4:CU34,$B19)+COUNTIF('1月'!CV4:CV34,$B19)+COUNTIF('1月'!CZ4:CZ34,$B19)+COUNTIF('1月'!DA4:DA34,$B19)+COUNTIF('1月'!DE4:DE34,$B19)+COUNTIF('1月'!DF4:DF34,$B19)+COUNTIF('1月'!DJ4:DJ34,$B19)+COUNTIF('1月'!DK4:DK34,$B19)+COUNTIF('1月'!DO4:DO34,$B19)+COUNTIF('1月'!DP4:DP34,$B19)+COUNTIF('1月'!DT4:DT34,$B19)+COUNTIF('1月'!DU4:DU34,$B19)+COUNTIF('1月'!DY4:DY34,$B19)+COUNTIF('1月'!DZ4:DZ34,$B19)+COUNTIF('1月'!ED4:ED34,$B19)+COUNTIF('1月'!EE4:EE34,$B19)+COUNTIF('1月'!EI4:EI34,$B19)+COUNTIF('1月'!EJ4:EJ34,$B19)+COUNTIF('1月'!EN4:EN34,$B19)+COUNTIF('1月'!EO4:EO34,$B19)+COUNTIF('1月'!ES4:ES34,$B19)+COUNTIF('1月'!ET4:ET34,$B19)),0)</f>
        <v>0</v>
      </c>
      <c r="D19" s="76">
        <f>IFERROR(IF($B19="","",COUNTIF('2月'!D4:D34,$B19)+COUNTIF('2月'!E4:E34,$B19)+COUNTIF('2月'!I4:I34,$B19)+COUNTIF('2月'!J4:J34,$B19)+COUNTIF('2月'!N4:N34,$B19)+COUNTIF('2月'!O4:O34,$B19)+COUNTIF('2月'!S4:S34,$B19)+COUNTIF('2月'!T4:T34,$B19)+COUNTIF('2月'!X4:X34,$B19)+COUNTIF('2月'!Y4:Y34,$B19)+COUNTIF('2月'!AC4:AC34,$B19)+COUNTIF('2月'!AD4:AD34,$B19)+COUNTIF('2月'!AH4:AH34,$B19)+COUNTIF('2月'!AI4:AI34,$B19)+COUNTIF('2月'!AM4:AM34,$B19)+COUNTIF('2月'!AN4:AN34,$B19)+COUNTIF('2月'!AR4:AR34,$B19)+COUNTIF('2月'!AS4:AS34,$B19)+COUNTIF('2月'!AW4:AW34,$B19)+COUNTIF('2月'!AX4:AX34,$B19)+COUNTIF('2月'!BB4:BB34,$B19)+COUNTIF('2月'!BC4:BC34,$B19)+COUNTIF('2月'!BG4:BG34,$B19)+COUNTIF('2月'!BH4:BH34,$B19)+COUNTIF('2月'!BL4:BL34,$B19)+COUNTIF('2月'!BM4:BM34,$B19)+COUNTIF('2月'!BQ4:BQ34,$B19)+COUNTIF('2月'!BR4:BR34,$B19)+COUNTIF('2月'!BV4:BV34,$B19)+COUNTIF('2月'!BW4:BW34,$B19)+COUNTIF('2月'!CA4:CA34,$B19)+COUNTIF('2月'!CB4:CB34,$B19)+COUNTIF('2月'!CF4:CF34,$B19)+COUNTIF('2月'!CG4:CG34,$B19)+COUNTIF('2月'!CK4:CK34,$B19)+COUNTIF('2月'!CL4:CL34,$B19)+COUNTIF('2月'!CP4:CP34,$B19)+COUNTIF('2月'!CQ4:CQ34,$B19)+COUNTIF('2月'!CU4:CU34,$B19)+COUNTIF('2月'!CV4:CV34,$B19)+COUNTIF('2月'!CZ4:CZ34,$B19)+COUNTIF('2月'!DA4:DA34,$B19)+COUNTIF('2月'!DE4:DE34,$B19)+COUNTIF('2月'!DF4:DF34,$B19)+COUNTIF('2月'!DJ4:DJ34,$B19)+COUNTIF('2月'!DK4:DK34,$B19)+COUNTIF('2月'!DO4:DO34,$B19)+COUNTIF('2月'!DP4:DP34,$B19)+COUNTIF('2月'!DT4:DT34,$B19)+COUNTIF('2月'!DU4:DU34,$B19)+COUNTIF('2月'!DY4:DY34,$B19)+COUNTIF('2月'!DZ4:DZ34,$B19)+COUNTIF('2月'!ED4:ED34,$B19)+COUNTIF('2月'!EE4:EE34,$B19)+COUNTIF('2月'!EI4:EI34,$B19)+COUNTIF('2月'!EJ4:EJ34,$B19)+COUNTIF('2月'!EN4:EN34,$B19)+COUNTIF('2月'!EO4:EO34,$B19)+COUNTIF('2月'!ES4:ES34,$B19)+COUNTIF('2月'!ET4:ET34,$B19)),0)</f>
        <v>0</v>
      </c>
      <c r="E19" s="76">
        <f>IFERROR(IF($B19="","",COUNTIF('3月'!D4:D34,$B19)+COUNTIF('3月'!E4:E34,$B19)+COUNTIF('3月'!I4:I34,$B19)+COUNTIF('3月'!J4:J34,$B19)+COUNTIF('3月'!N4:N34,$B19)+COUNTIF('3月'!O4:O34,$B19)+COUNTIF('3月'!S4:S34,$B19)+COUNTIF('3月'!T4:T34,$B19)+COUNTIF('3月'!X4:X34,$B19)+COUNTIF('3月'!Y4:Y34,$B19)+COUNTIF('3月'!AC4:AC34,$B19)+COUNTIF('3月'!AD4:AD34,$B19)+COUNTIF('3月'!AH4:AH34,$B19)+COUNTIF('3月'!AI4:AI34,$B19)+COUNTIF('3月'!AM4:AM34,$B19)+COUNTIF('3月'!AN4:AN34,$B19)+COUNTIF('3月'!AR4:AR34,$B19)+COUNTIF('3月'!AS4:AS34,$B19)+COUNTIF('3月'!AW4:AW34,$B19)+COUNTIF('3月'!AX4:AX34,$B19)+COUNTIF('3月'!BB4:BB34,$B19)+COUNTIF('3月'!BC4:BC34,$B19)+COUNTIF('3月'!BG4:BG34,$B19)+COUNTIF('3月'!BH4:BH34,$B19)+COUNTIF('3月'!BL4:BL34,$B19)+COUNTIF('3月'!BM4:BM34,$B19)+COUNTIF('3月'!BQ4:BQ34,$B19)+COUNTIF('3月'!BR4:BR34,$B19)+COUNTIF('3月'!BV4:BV34,$B19)+COUNTIF('3月'!BW4:BW34,$B19)+COUNTIF('3月'!CA4:CA34,$B19)+COUNTIF('3月'!CB4:CB34,$B19)+COUNTIF('3月'!CF4:CF34,$B19)+COUNTIF('3月'!CG4:CG34,$B19)+COUNTIF('3月'!CK4:CK34,$B19)+COUNTIF('3月'!CL4:CL34,$B19)+COUNTIF('3月'!CP4:CP34,$B19)+COUNTIF('3月'!CQ4:CQ34,$B19)+COUNTIF('3月'!CU4:CU34,$B19)+COUNTIF('3月'!CV4:CV34,$B19)+COUNTIF('3月'!CZ4:CZ34,$B19)+COUNTIF('3月'!DA4:DA34,$B19)+COUNTIF('3月'!DE4:DE34,$B19)+COUNTIF('3月'!DF4:DF34,$B19)+COUNTIF('3月'!DJ4:DJ34,$B19)+COUNTIF('3月'!DK4:DK34,$B19)+COUNTIF('3月'!DO4:DO34,$B19)+COUNTIF('3月'!DP4:DP34,$B19)+COUNTIF('3月'!DT4:DT34,$B19)+COUNTIF('3月'!DU4:DU34,$B19)+COUNTIF('3月'!DY4:DY34,$B19)+COUNTIF('3月'!DZ4:DZ34,$B19)+COUNTIF('3月'!ED4:ED34,$B19)+COUNTIF('3月'!EE4:EE34,$B19)+COUNTIF('3月'!EI4:EI34,$B19)+COUNTIF('3月'!EJ4:EJ34,$B19)+COUNTIF('3月'!EN4:EN34,$B19)+COUNTIF('3月'!EO4:EO34,$B19)+COUNTIF('3月'!ES4:ES34,$B19)+COUNTIF('3月'!ET4:ET34,$B19)),0)</f>
        <v>0</v>
      </c>
      <c r="F19" s="76">
        <f>IFERROR(IF($B19="","",COUNTIF('4月'!D4:D34,$B19)+COUNTIF('4月'!E4:E34,$B19)+COUNTIF('4月'!I4:I34,$B19)+COUNTIF('4月'!J4:J34,$B19)+COUNTIF('4月'!N4:N34,$B19)+COUNTIF('4月'!O4:O34,$B19)+COUNTIF('4月'!S4:S34,$B19)+COUNTIF('4月'!T4:T34,$B19)+COUNTIF('4月'!X4:X34,$B19)+COUNTIF('4月'!Y4:Y34,$B19)+COUNTIF('4月'!AC4:AC34,$B19)+COUNTIF('4月'!AD4:AD34,$B19)+COUNTIF('4月'!AH4:AH34,$B19)+COUNTIF('4月'!AI4:AI34,$B19)+COUNTIF('4月'!AM4:AM34,$B19)+COUNTIF('4月'!AN4:AN34,$B19)+COUNTIF('4月'!AR4:AR34,$B19)+COUNTIF('4月'!AS4:AS34,$B19)+COUNTIF('4月'!AW4:AW34,$B19)+COUNTIF('4月'!AX4:AX34,$B19)+COUNTIF('4月'!BB4:BB34,$B19)+COUNTIF('4月'!BC4:BC34,$B19)+COUNTIF('4月'!BG4:BG34,$B19)+COUNTIF('4月'!BH4:BH34,$B19)+COUNTIF('4月'!BL4:BL34,$B19)+COUNTIF('4月'!BM4:BM34,$B19)+COUNTIF('4月'!BQ4:BQ34,$B19)+COUNTIF('4月'!BR4:BR34,$B19)+COUNTIF('4月'!BV4:BV34,$B19)+COUNTIF('4月'!BW4:BW34,$B19)+COUNTIF('4月'!CA4:CA34,$B19)+COUNTIF('4月'!CB4:CB34,$B19)+COUNTIF('4月'!CF4:CF34,$B19)+COUNTIF('4月'!CG4:CG34,$B19)+COUNTIF('4月'!CK4:CK34,$B19)+COUNTIF('4月'!CL4:CL34,$B19)+COUNTIF('4月'!CP4:CP34,$B19)+COUNTIF('4月'!CQ4:CQ34,$B19)+COUNTIF('4月'!CU4:CU34,$B19)+COUNTIF('4月'!CV4:CV34,$B19)+COUNTIF('4月'!CZ4:CZ34,$B19)+COUNTIF('4月'!DA4:DA34,$B19)+COUNTIF('4月'!DE4:DE34,$B19)+COUNTIF('4月'!DF4:DF34,$B19)+COUNTIF('4月'!DJ4:DJ34,$B19)+COUNTIF('4月'!DK4:DK34,$B19)+COUNTIF('4月'!DO4:DO34,$B19)+COUNTIF('4月'!DP4:DP34,$B19)+COUNTIF('4月'!DT4:DT34,$B19)+COUNTIF('4月'!DU4:DU34,$B19)+COUNTIF('4月'!DY4:DY34,$B19)+COUNTIF('4月'!DZ4:DZ34,$B19)+COUNTIF('4月'!ED4:ED34,$B19)+COUNTIF('4月'!EE4:EE34,$B19)+COUNTIF('4月'!EI4:EI34,$B19)+COUNTIF('4月'!EJ4:EJ34,$B19)+COUNTIF('4月'!EN4:EN34,$B19)+COUNTIF('4月'!EO4:EO34,$B19)+COUNTIF('4月'!ES4:ES34,$B19)+COUNTIF('4月'!ET4:ET34,$B19)),0)</f>
        <v>0</v>
      </c>
      <c r="G19" s="76">
        <f>IFERROR(IF($B19="","",COUNTIF('5月'!D4:D34,$B19)+COUNTIF('5月'!E4:E34,$B19)+COUNTIF('5月'!I4:I34,$B19)+COUNTIF('5月'!J4:J34,$B19)+COUNTIF('5月'!N4:N34,$B19)+COUNTIF('5月'!O4:O34,$B19)+COUNTIF('5月'!S4:S34,$B19)+COUNTIF('5月'!T4:T34,$B19)+COUNTIF('5月'!X4:X34,$B19)+COUNTIF('5月'!Y4:Y34,$B19)+COUNTIF('5月'!AC4:AC34,$B19)+COUNTIF('5月'!AD4:AD34,$B19)+COUNTIF('5月'!AH4:AH34,$B19)+COUNTIF('5月'!AI4:AI34,$B19)+COUNTIF('5月'!AM4:AM34,$B19)+COUNTIF('5月'!AN4:AN34,$B19)+COUNTIF('5月'!AR4:AR34,$B19)+COUNTIF('5月'!AS4:AS34,$B19)+COUNTIF('5月'!AW4:AW34,$B19)+COUNTIF('5月'!AX4:AX34,$B19)+COUNTIF('5月'!BB4:BB34,$B19)+COUNTIF('5月'!BC4:BC34,$B19)+COUNTIF('5月'!BG4:BG34,$B19)+COUNTIF('5月'!BH4:BH34,$B19)+COUNTIF('5月'!BL4:BL34,$B19)+COUNTIF('5月'!BM4:BM34,$B19)+COUNTIF('5月'!BQ4:BQ34,$B19)+COUNTIF('5月'!BR4:BR34,$B19)+COUNTIF('5月'!BV4:BV34,$B19)+COUNTIF('5月'!BW4:BW34,$B19)+COUNTIF('5月'!CA4:CA34,$B19)+COUNTIF('5月'!CB4:CB34,$B19)+COUNTIF('5月'!CF4:CF34,$B19)+COUNTIF('5月'!CG4:CG34,$B19)+COUNTIF('5月'!CK4:CK34,$B19)+COUNTIF('5月'!CL4:CL34,$B19)+COUNTIF('5月'!CP4:CP34,$B19)+COUNTIF('5月'!CQ4:CQ34,$B19)+COUNTIF('5月'!CU4:CU34,$B19)+COUNTIF('5月'!CV4:CV34,$B19)+COUNTIF('5月'!CZ4:CZ34,$B19)+COUNTIF('5月'!DA4:DA34,$B19)+COUNTIF('5月'!DE4:DE34,$B19)+COUNTIF('5月'!DF4:DF34,$B19)+COUNTIF('5月'!DJ4:DJ34,$B19)+COUNTIF('5月'!DK4:DK34,$B19)+COUNTIF('5月'!DO4:DO34,$B19)+COUNTIF('5月'!DP4:DP34,$B19)+COUNTIF('5月'!DT4:DT34,$B19)+COUNTIF('5月'!DU4:DU34,$B19)+COUNTIF('5月'!DY4:DY34,$B19)+COUNTIF('5月'!DZ4:DZ34,$B19)+COUNTIF('5月'!ED4:ED34,$B19)+COUNTIF('5月'!EE4:EE34,$B19)+COUNTIF('5月'!EI4:EI34,$B19)+COUNTIF('5月'!EJ4:EJ34,$B19)+COUNTIF('5月'!EN4:EN34,$B19)+COUNTIF('5月'!EO4:EO34,$B19)+COUNTIF('5月'!ES4:ES34,$B19)+COUNTIF('5月'!ET4:ET34,$B19)),0)</f>
        <v>0</v>
      </c>
      <c r="H19" s="76">
        <f>IFERROR(IF($B19="","",COUNTIF('6月'!D4:D34,$B19)+COUNTIF('6月'!E4:E34,$B19)+COUNTIF('6月'!I4:I34,$B19)+COUNTIF('6月'!J4:J34,$B19)+COUNTIF('6月'!N4:N34,$B19)+COUNTIF('6月'!O4:O34,$B19)+COUNTIF('6月'!S4:S34,$B19)+COUNTIF('6月'!T4:T34,$B19)+COUNTIF('6月'!X4:X34,$B19)+COUNTIF('6月'!Y4:Y34,$B19)+COUNTIF('6月'!AC4:AC34,$B19)+COUNTIF('6月'!AD4:AD34,$B19)+COUNTIF('6月'!AH4:AH34,$B19)+COUNTIF('6月'!AI4:AI34,$B19)+COUNTIF('6月'!AM4:AM34,$B19)+COUNTIF('6月'!AN4:AN34,$B19)+COUNTIF('6月'!AR4:AR34,$B19)+COUNTIF('6月'!AS4:AS34,$B19)+COUNTIF('6月'!AW4:AW34,$B19)+COUNTIF('6月'!AX4:AX34,$B19)+COUNTIF('6月'!BB4:BB34,$B19)+COUNTIF('6月'!BC4:BC34,$B19)+COUNTIF('6月'!BG4:BG34,$B19)+COUNTIF('6月'!BH4:BH34,$B19)+COUNTIF('6月'!BL4:BL34,$B19)+COUNTIF('6月'!BM4:BM34,$B19)+COUNTIF('6月'!BQ4:BQ34,$B19)+COUNTIF('6月'!BR4:BR34,$B19)+COUNTIF('6月'!BV4:BV34,$B19)+COUNTIF('6月'!BW4:BW34,$B19)+COUNTIF('6月'!CA4:CA34,$B19)+COUNTIF('6月'!CB4:CB34,$B19)+COUNTIF('6月'!CF4:CF34,$B19)+COUNTIF('6月'!CG4:CG34,$B19)+COUNTIF('6月'!CK4:CK34,$B19)+COUNTIF('6月'!CL4:CL34,$B19)+COUNTIF('6月'!CP4:CP34,$B19)+COUNTIF('6月'!CQ4:CQ34,$B19)+COUNTIF('6月'!CU4:CU34,$B19)+COUNTIF('6月'!CV4:CV34,$B19)+COUNTIF('6月'!CZ4:CZ34,$B19)+COUNTIF('6月'!DA4:DA34,$B19)+COUNTIF('6月'!DE4:DE34,$B19)+COUNTIF('6月'!DF4:DF34,$B19)+COUNTIF('6月'!DJ4:DJ34,$B19)+COUNTIF('6月'!DK4:DK34,$B19)+COUNTIF('6月'!DO4:DO34,$B19)+COUNTIF('6月'!DP4:DP34,$B19)+COUNTIF('6月'!DT4:DT34,$B19)+COUNTIF('6月'!DU4:DU34,$B19)+COUNTIF('6月'!DY4:DY34,$B19)+COUNTIF('6月'!DZ4:DZ34,$B19)+COUNTIF('6月'!ED4:ED34,$B19)+COUNTIF('6月'!EE4:EE34,$B19)+COUNTIF('6月'!EI4:EI34,$B19)+COUNTIF('6月'!EJ4:EJ34,$B19)+COUNTIF('6月'!EN4:EN34,$B19)+COUNTIF('6月'!EO4:EO34,$B19)+COUNTIF('6月'!ES4:ES34,$B19)+COUNTIF('6月'!ET4:ET34,$B19)),0)</f>
        <v>0</v>
      </c>
      <c r="I19" s="76">
        <f>IFERROR(IF($B19="","",COUNTIF('7月'!D4:D34,$B19)+COUNTIF('7月'!E4:E34,$B19)+COUNTIF('7月'!I4:I34,$B19)+COUNTIF('7月'!J4:J34,$B19)+COUNTIF('7月'!N4:N34,$B19)+COUNTIF('7月'!O4:O34,$B19)+COUNTIF('7月'!S4:S34,$B19)+COUNTIF('7月'!T4:T34,$B19)+COUNTIF('7月'!X4:X34,$B19)+COUNTIF('7月'!Y4:Y34,$B19)+COUNTIF('7月'!AC4:AC34,$B19)+COUNTIF('7月'!AD4:AD34,$B19)+COUNTIF('7月'!AH4:AH34,$B19)+COUNTIF('7月'!AI4:AI34,$B19)+COUNTIF('7月'!AM4:AM34,$B19)+COUNTIF('7月'!AN4:AN34,$B19)+COUNTIF('7月'!AR4:AR34,$B19)+COUNTIF('7月'!AS4:AS34,$B19)+COUNTIF('7月'!AW4:AW34,$B19)+COUNTIF('7月'!AX4:AX34,$B19)+COUNTIF('7月'!BB4:BB34,$B19)+COUNTIF('7月'!BC4:BC34,$B19)+COUNTIF('7月'!BG4:BG34,$B19)+COUNTIF('7月'!BH4:BH34,$B19)+COUNTIF('7月'!BL4:BL34,$B19)+COUNTIF('7月'!BM4:BM34,$B19)+COUNTIF('7月'!BQ4:BQ34,$B19)+COUNTIF('7月'!BR4:BR34,$B19)+COUNTIF('7月'!BV4:BV34,$B19)+COUNTIF('7月'!BW4:BW34,$B19)+COUNTIF('7月'!CA4:CA34,$B19)+COUNTIF('7月'!CB4:CB34,$B19)+COUNTIF('7月'!CF4:CF34,$B19)+COUNTIF('7月'!CG4:CG34,$B19)+COUNTIF('7月'!CK4:CK34,$B19)+COUNTIF('7月'!CL4:CL34,$B19)+COUNTIF('7月'!CP4:CP34,$B19)+COUNTIF('7月'!CQ4:CQ34,$B19)+COUNTIF('7月'!CU4:CU34,$B19)+COUNTIF('7月'!CV4:CV34,$B19)+COUNTIF('7月'!CZ4:CZ34,$B19)+COUNTIF('7月'!DA4:DA34,$B19)+COUNTIF('7月'!DE4:DE34,$B19)+COUNTIF('7月'!DF4:DF34,$B19)+COUNTIF('7月'!DJ4:DJ34,$B19)+COUNTIF('7月'!DK4:DK34,$B19)+COUNTIF('7月'!DO4:DO34,$B19)+COUNTIF('7月'!DP4:DP34,$B19)+COUNTIF('7月'!DT4:DT34,$B19)+COUNTIF('7月'!DU4:DU34,$B19)+COUNTIF('7月'!DY4:DY34,$B19)+COUNTIF('7月'!DZ4:DZ34,$B19)+COUNTIF('7月'!ED4:ED34,$B19)+COUNTIF('7月'!EE4:EE34,$B19)+COUNTIF('7月'!EI4:EI34,$B19)+COUNTIF('7月'!EJ4:EJ34,$B19)+COUNTIF('7月'!EN4:EN34,$B19)+COUNTIF('7月'!EO4:EO34,$B19)+COUNTIF('7月'!ES4:ES34,$B19)+COUNTIF('7月'!ET4:ET34,$B19)),0)</f>
        <v>0</v>
      </c>
      <c r="J19" s="76">
        <f>IFERROR(IF($B19="","",COUNTIF('8月'!D4:D34,$B19)+COUNTIF('8月'!E4:E34,$B19)+COUNTIF('8月'!I4:I34,$B19)+COUNTIF('8月'!J4:J34,$B19)+COUNTIF('8月'!N4:N34,$B19)+COUNTIF('8月'!O4:O34,$B19)+COUNTIF('8月'!S4:S34,$B19)+COUNTIF('8月'!T4:T34,$B19)+COUNTIF('8月'!X4:X34,$B19)+COUNTIF('8月'!Y4:Y34,$B19)+COUNTIF('8月'!AC4:AC34,$B19)+COUNTIF('8月'!AD4:AD34,$B19)+COUNTIF('8月'!AH4:AH34,$B19)+COUNTIF('8月'!AI4:AI34,$B19)+COUNTIF('8月'!AM4:AM34,$B19)+COUNTIF('8月'!AN4:AN34,$B19)+COUNTIF('8月'!AR4:AR34,$B19)+COUNTIF('8月'!AS4:AS34,$B19)+COUNTIF('8月'!AW4:AW34,$B19)+COUNTIF('8月'!AX4:AX34,$B19)+COUNTIF('8月'!BB4:BB34,$B19)+COUNTIF('8月'!BC4:BC34,$B19)+COUNTIF('8月'!BG4:BG34,$B19)+COUNTIF('8月'!BH4:BH34,$B19)+COUNTIF('8月'!BL4:BL34,$B19)+COUNTIF('8月'!BM4:BM34,$B19)+COUNTIF('8月'!BQ4:BQ34,$B19)+COUNTIF('8月'!BR4:BR34,$B19)+COUNTIF('8月'!BV4:BV34,$B19)+COUNTIF('8月'!BW4:BW34,$B19)+COUNTIF('8月'!CA4:CA34,$B19)+COUNTIF('8月'!CB4:CB34,$B19)+COUNTIF('8月'!CF4:CF34,$B19)+COUNTIF('8月'!CG4:CG34,$B19)+COUNTIF('8月'!CK4:CK34,$B19)+COUNTIF('8月'!CL4:CL34,$B19)+COUNTIF('8月'!CP4:CP34,$B19)+COUNTIF('8月'!CQ4:CQ34,$B19)+COUNTIF('8月'!CU4:CU34,$B19)+COUNTIF('8月'!CV4:CV34,$B19)+COUNTIF('8月'!CZ4:CZ34,$B19)+COUNTIF('8月'!DA4:DA34,$B19)+COUNTIF('8月'!DE4:DE34,$B19)+COUNTIF('8月'!DF4:DF34,$B19)+COUNTIF('8月'!DJ4:DJ34,$B19)+COUNTIF('8月'!DK4:DK34,$B19)+COUNTIF('8月'!DO4:DO34,$B19)+COUNTIF('8月'!DP4:DP34,$B19)+COUNTIF('8月'!DT4:DT34,$B19)+COUNTIF('8月'!DU4:DU34,$B19)+COUNTIF('8月'!DY4:DY34,$B19)+COUNTIF('8月'!DZ4:DZ34,$B19)+COUNTIF('8月'!ED4:ED34,$B19)+COUNTIF('8月'!EE4:EE34,$B19)+COUNTIF('8月'!EI4:EI34,$B19)+COUNTIF('8月'!EJ4:EJ34,$B19)+COUNTIF('8月'!EN4:EN34,$B19)+COUNTIF('8月'!EO4:EO34,$B19)+COUNTIF('8月'!ES4:ES34,$B19)+COUNTIF('8月'!ET4:ET34,$B19)),0)</f>
        <v>0</v>
      </c>
      <c r="K19" s="76">
        <f>IFERROR(IF($B19="","",COUNTIF('9月'!D4:D34,$B19)+COUNTIF('9月'!E4:E34,$B19)+COUNTIF('9月'!I4:I34,$B19)+COUNTIF('9月'!J4:J34,$B19)+COUNTIF('9月'!N4:N34,$B19)+COUNTIF('9月'!O4:O34,$B19)+COUNTIF('9月'!S4:S34,$B19)+COUNTIF('9月'!T4:T34,$B19)+COUNTIF('9月'!X4:X34,$B19)+COUNTIF('9月'!Y4:Y34,$B19)+COUNTIF('9月'!AC4:AC34,$B19)+COUNTIF('9月'!AD4:AD34,$B19)+COUNTIF('9月'!AH4:AH34,$B19)+COUNTIF('9月'!AI4:AI34,$B19)+COUNTIF('9月'!AM4:AM34,$B19)+COUNTIF('9月'!AN4:AN34,$B19)+COUNTIF('9月'!AR4:AR34,$B19)+COUNTIF('9月'!AS4:AS34,$B19)+COUNTIF('9月'!AW4:AW34,$B19)+COUNTIF('9月'!AX4:AX34,$B19)+COUNTIF('9月'!BB4:BB34,$B19)+COUNTIF('9月'!BC4:BC34,$B19)+COUNTIF('9月'!BG4:BG34,$B19)+COUNTIF('9月'!BH4:BH34,$B19)+COUNTIF('9月'!BL4:BL34,$B19)+COUNTIF('9月'!BM4:BM34,$B19)+COUNTIF('9月'!BQ4:BQ34,$B19)+COUNTIF('9月'!BR4:BR34,$B19)+COUNTIF('9月'!BV4:BV34,$B19)+COUNTIF('9月'!BW4:BW34,$B19)+COUNTIF('9月'!CA4:CA34,$B19)+COUNTIF('9月'!CB4:CB34,$B19)+COUNTIF('9月'!CF4:CF34,$B19)+COUNTIF('9月'!CG4:CG34,$B19)+COUNTIF('9月'!CK4:CK34,$B19)+COUNTIF('9月'!CL4:CL34,$B19)+COUNTIF('9月'!CP4:CP34,$B19)+COUNTIF('9月'!CQ4:CQ34,$B19)+COUNTIF('9月'!CU4:CU34,$B19)+COUNTIF('9月'!CV4:CV34,$B19)+COUNTIF('9月'!CZ4:CZ34,$B19)+COUNTIF('9月'!DA4:DA34,$B19)+COUNTIF('9月'!DE4:DE34,$B19)+COUNTIF('9月'!DF4:DF34,$B19)+COUNTIF('9月'!DJ4:DJ34,$B19)+COUNTIF('9月'!DK4:DK34,$B19)+COUNTIF('9月'!DO4:DO34,$B19)+COUNTIF('9月'!DP4:DP34,$B19)+COUNTIF('9月'!DT4:DT34,$B19)+COUNTIF('9月'!DU4:DU34,$B19)+COUNTIF('9月'!DY4:DY34,$B19)+COUNTIF('9月'!DZ4:DZ34,$B19)+COUNTIF('9月'!ED4:ED34,$B19)+COUNTIF('9月'!EE4:EE34,$B19)+COUNTIF('9月'!EI4:EI34,$B19)+COUNTIF('9月'!EJ4:EJ34,$B19)+COUNTIF('9月'!EN4:EN34,$B19)+COUNTIF('9月'!EO4:EO34,$B19)+COUNTIF('9月'!ES4:ES34,$B19)+COUNTIF('9月'!ET4:ET34,$B19)),0)</f>
        <v>0</v>
      </c>
      <c r="L19" s="76">
        <f>IFERROR(IF($B19="","",COUNTIF('10月'!D4:D34,$B19)+COUNTIF('10月'!E4:E34,$B19)+COUNTIF('10月'!I4:I34,$B19)+COUNTIF('10月'!J4:J34,$B19)+COUNTIF('10月'!N4:N34,$B19)+COUNTIF('10月'!O4:O34,$B19)+COUNTIF('10月'!S4:S34,$B19)+COUNTIF('10月'!T4:T34,$B19)+COUNTIF('10月'!X4:X34,$B19)+COUNTIF('10月'!Y4:Y34,$B19)+COUNTIF('10月'!AC4:AC34,$B19)+COUNTIF('10月'!AD4:AD34,$B19)+COUNTIF('10月'!AH4:AH34,$B19)+COUNTIF('10月'!AI4:AI34,$B19)+COUNTIF('10月'!AM4:AM34,$B19)+COUNTIF('10月'!AN4:AN34,$B19)+COUNTIF('10月'!AR4:AR34,$B19)+COUNTIF('10月'!AS4:AS34,$B19)+COUNTIF('10月'!AW4:AW34,$B19)+COUNTIF('10月'!AX4:AX34,$B19)+COUNTIF('10月'!BB4:BB34,$B19)+COUNTIF('10月'!BC4:BC34,$B19)+COUNTIF('10月'!BG4:BG34,$B19)+COUNTIF('10月'!BH4:BH34,$B19)+COUNTIF('10月'!BL4:BL34,$B19)+COUNTIF('10月'!BM4:BM34,$B19)+COUNTIF('10月'!BQ4:BQ34,$B19)+COUNTIF('10月'!BR4:BR34,$B19)+COUNTIF('10月'!BV4:BV34,$B19)+COUNTIF('10月'!BW4:BW34,$B19)+COUNTIF('10月'!CA4:CA34,$B19)+COUNTIF('10月'!CB4:CB34,$B19)+COUNTIF('10月'!CF4:CF34,$B19)+COUNTIF('10月'!CG4:CG34,$B19)+COUNTIF('10月'!CK4:CK34,$B19)+COUNTIF('10月'!CL4:CL34,$B19)+COUNTIF('10月'!CP4:CP34,$B19)+COUNTIF('10月'!CQ4:CQ34,$B19)+COUNTIF('10月'!CU4:CU34,$B19)+COUNTIF('10月'!CV4:CV34,$B19)+COUNTIF('10月'!CZ4:CZ34,$B19)+COUNTIF('10月'!DA4:DA34,$B19)+COUNTIF('10月'!DE4:DE34,$B19)+COUNTIF('10月'!DF4:DF34,$B19)+COUNTIF('10月'!DJ4:DJ34,$B19)+COUNTIF('10月'!DK4:DK34,$B19)+COUNTIF('10月'!DO4:DO34,$B19)+COUNTIF('10月'!DP4:DP34,$B19)+COUNTIF('10月'!DT4:DT34,$B19)+COUNTIF('10月'!DU4:DU34,$B19)+COUNTIF('10月'!DY4:DY34,$B19)+COUNTIF('10月'!DZ4:DZ34,$B19)+COUNTIF('10月'!ED4:ED34,$B19)+COUNTIF('10月'!EE4:EE34,$B19)+COUNTIF('10月'!EI4:EI34,$B19)+COUNTIF('10月'!EJ4:EJ34,$B19)+COUNTIF('10月'!EN4:EN34,$B19)+COUNTIF('10月'!EO4:EO34,$B19)+COUNTIF('10月'!ES4:ES34,$B19)+COUNTIF('10月'!ET4:ET34,$B19)),0)</f>
        <v>0</v>
      </c>
      <c r="M19" s="76">
        <f>IFERROR(IF($B19="","",COUNTIF('11月'!D4:D34,$B19)+COUNTIF('11月'!E4:E34,$B19)+COUNTIF('11月'!I4:I34,$B19)+COUNTIF('11月'!J4:J34,$B19)+COUNTIF('11月'!N4:N34,$B19)+COUNTIF('11月'!O4:O34,$B19)+COUNTIF('11月'!S4:S34,$B19)+COUNTIF('11月'!T4:T34,$B19)+COUNTIF('11月'!X4:X34,$B19)+COUNTIF('11月'!Y4:Y34,$B19)+COUNTIF('11月'!AC4:AC34,$B19)+COUNTIF('11月'!AD4:AD34,$B19)+COUNTIF('11月'!AH4:AH34,$B19)+COUNTIF('11月'!AI4:AI34,$B19)+COUNTIF('11月'!AM4:AM34,$B19)+COUNTIF('11月'!AN4:AN34,$B19)+COUNTIF('11月'!AR4:AR34,$B19)+COUNTIF('11月'!AS4:AS34,$B19)+COUNTIF('11月'!AW4:AW34,$B19)+COUNTIF('11月'!AX4:AX34,$B19)+COUNTIF('11月'!BB4:BB34,$B19)+COUNTIF('11月'!BC4:BC34,$B19)+COUNTIF('11月'!BG4:BG34,$B19)+COUNTIF('11月'!BH4:BH34,$B19)+COUNTIF('11月'!BL4:BL34,$B19)+COUNTIF('11月'!BM4:BM34,$B19)+COUNTIF('11月'!BQ4:BQ34,$B19)+COUNTIF('11月'!BR4:BR34,$B19)+COUNTIF('11月'!BV4:BV34,$B19)+COUNTIF('11月'!BW4:BW34,$B19)+COUNTIF('11月'!CA4:CA34,$B19)+COUNTIF('11月'!CB4:CB34,$B19)+COUNTIF('11月'!CF4:CF34,$B19)+COUNTIF('11月'!CG4:CG34,$B19)+COUNTIF('11月'!CK4:CK34,$B19)+COUNTIF('11月'!CL4:CL34,$B19)+COUNTIF('11月'!CP4:CP34,$B19)+COUNTIF('11月'!CQ4:CQ34,$B19)+COUNTIF('11月'!CU4:CU34,$B19)+COUNTIF('11月'!CV4:CV34,$B19)+COUNTIF('11月'!CZ4:CZ34,$B19)+COUNTIF('11月'!DA4:DA34,$B19)+COUNTIF('11月'!DE4:DE34,$B19)+COUNTIF('11月'!DF4:DF34,$B19)+COUNTIF('11月'!DJ4:DJ34,$B19)+COUNTIF('11月'!DK4:DK34,$B19)+COUNTIF('11月'!DO4:DO34,$B19)+COUNTIF('11月'!DP4:DP34,$B19)+COUNTIF('11月'!DT4:DT34,$B19)+COUNTIF('11月'!DU4:DU34,$B19)+COUNTIF('11月'!DY4:DY34,$B19)+COUNTIF('11月'!DZ4:DZ34,$B19)+COUNTIF('11月'!ED4:ED34,$B19)+COUNTIF('11月'!EE4:EE34,$B19)+COUNTIF('11月'!EI4:EI34,$B19)+COUNTIF('11月'!EJ4:EJ34,$B19)+COUNTIF('11月'!EN4:EN34,$B19)+COUNTIF('11月'!EO4:EO34,$B19)+COUNTIF('11月'!ES4:ES34,$B19)+COUNTIF('11月'!ET4:ET34,$B19)),0)</f>
        <v>0</v>
      </c>
      <c r="N19" s="76">
        <f>IFERROR(IF($B19="","",COUNTIF('12月'!D4:D34,$B19)+COUNTIF('12月'!E4:E34,$B19)+COUNTIF('12月'!I4:I34,$B19)+COUNTIF('12月'!J4:J34,$B19)+COUNTIF('12月'!N4:N34,$B19)+COUNTIF('12月'!O4:O34,$B19)+COUNTIF('12月'!S4:S34,$B19)+COUNTIF('12月'!T4:T34,$B19)+COUNTIF('12月'!X4:X34,$B19)+COUNTIF('12月'!Y4:Y34,$B19)+COUNTIF('12月'!AC4:AC34,$B19)+COUNTIF('12月'!AD4:AD34,$B19)+COUNTIF('12月'!AH4:AH34,$B19)+COUNTIF('12月'!AI4:AI34,$B19)+COUNTIF('12月'!AM4:AM34,$B19)+COUNTIF('12月'!AN4:AN34,$B19)+COUNTIF('12月'!AR4:AR34,$B19)+COUNTIF('12月'!AS4:AS34,$B19)+COUNTIF('12月'!AW4:AW34,$B19)+COUNTIF('12月'!AX4:AX34,$B19)+COUNTIF('12月'!BB4:BB34,$B19)+COUNTIF('12月'!BC4:BC34,$B19)+COUNTIF('12月'!BG4:BG34,$B19)+COUNTIF('12月'!BH4:BH34,$B19)+COUNTIF('12月'!BL4:BL34,$B19)+COUNTIF('12月'!BM4:BM34,$B19)+COUNTIF('12月'!BQ4:BQ34,$B19)+COUNTIF('12月'!BR4:BR34,$B19)+COUNTIF('12月'!BV4:BV34,$B19)+COUNTIF('12月'!BW4:BW34,$B19)+COUNTIF('12月'!CA4:CA34,$B19)+COUNTIF('12月'!CB4:CB34,$B19)+COUNTIF('12月'!CF4:CF34,$B19)+COUNTIF('12月'!CG4:CG34,$B19)+COUNTIF('12月'!CK4:CK34,$B19)+COUNTIF('12月'!CL4:CL34,$B19)+COUNTIF('12月'!CP4:CP34,$B19)+COUNTIF('12月'!CQ4:CQ34,$B19)+COUNTIF('12月'!CU4:CU34,$B19)+COUNTIF('12月'!CV4:CV34,$B19)+COUNTIF('12月'!CZ4:CZ34,$B19)+COUNTIF('12月'!DA4:DA34,$B19)+COUNTIF('12月'!DE4:DE34,$B19)+COUNTIF('12月'!DF4:DF34,$B19)+COUNTIF('12月'!DJ4:DJ34,$B19)+COUNTIF('12月'!DK4:DK34,$B19)+COUNTIF('12月'!DO4:DO34,$B19)+COUNTIF('12月'!DP4:DP34,$B19)+COUNTIF('12月'!DT4:DT34,$B19)+COUNTIF('12月'!DU4:DU34,$B19)+COUNTIF('12月'!DY4:DY34,$B19)+COUNTIF('12月'!DZ4:DZ34,$B19)+COUNTIF('12月'!ED4:ED34,$B19)+COUNTIF('12月'!EE4:EE34,$B19)+COUNTIF('12月'!EI4:EI34,$B19)+COUNTIF('12月'!EJ4:EJ34,$B19)+COUNTIF('12月'!EN4:EN34,$B19)+COUNTIF('12月'!EO4:EO34,$B19)+COUNTIF('12月'!ES4:ES34,$B19)+COUNTIF('12月'!ET4:ET34,$B19)),0)</f>
        <v>0</v>
      </c>
      <c r="O19" s="78">
        <f t="shared" si="0"/>
        <v>0</v>
      </c>
    </row>
    <row r="20" spans="1:15" ht="19.5" customHeight="1">
      <c r="A20" s="76">
        <v>18</v>
      </c>
      <c r="B20" s="77">
        <f>IFERROR(現場マスタ!$C$21,"")</f>
        <v>0</v>
      </c>
      <c r="C20" s="76">
        <f>IFERROR(IF($B20="","",COUNTIF('1月'!D4:D34,$B20)+COUNTIF('1月'!E4:E34,$B20)+COUNTIF('1月'!I4:I34,$B20)+COUNTIF('1月'!J4:J34,$B20)+COUNTIF('1月'!N4:N34,$B20)+COUNTIF('1月'!O4:O34,$B20)+COUNTIF('1月'!S4:S34,$B20)+COUNTIF('1月'!T4:T34,$B20)+COUNTIF('1月'!X4:X34,$B20)+COUNTIF('1月'!Y4:Y34,$B20)+COUNTIF('1月'!AC4:AC34,$B20)+COUNTIF('1月'!AD4:AD34,$B20)+COUNTIF('1月'!AH4:AH34,$B20)+COUNTIF('1月'!AI4:AI34,$B20)+COUNTIF('1月'!AM4:AM34,$B20)+COUNTIF('1月'!AN4:AN34,$B20)+COUNTIF('1月'!AR4:AR34,$B20)+COUNTIF('1月'!AS4:AS34,$B20)+COUNTIF('1月'!AW4:AW34,$B20)+COUNTIF('1月'!AX4:AX34,$B20)+COUNTIF('1月'!BB4:BB34,$B20)+COUNTIF('1月'!BC4:BC34,$B20)+COUNTIF('1月'!BG4:BG34,$B20)+COUNTIF('1月'!BH4:BH34,$B20)+COUNTIF('1月'!BL4:BL34,$B20)+COUNTIF('1月'!BM4:BM34,$B20)+COUNTIF('1月'!BQ4:BQ34,$B20)+COUNTIF('1月'!BR4:BR34,$B20)+COUNTIF('1月'!BV4:BV34,$B20)+COUNTIF('1月'!BW4:BW34,$B20)+COUNTIF('1月'!CA4:CA34,$B20)+COUNTIF('1月'!CB4:CB34,$B20)+COUNTIF('1月'!CF4:CF34,$B20)+COUNTIF('1月'!CG4:CG34,$B20)+COUNTIF('1月'!CK4:CK34,$B20)+COUNTIF('1月'!CL4:CL34,$B20)+COUNTIF('1月'!CP4:CP34,$B20)+COUNTIF('1月'!CQ4:CQ34,$B20)+COUNTIF('1月'!CU4:CU34,$B20)+COUNTIF('1月'!CV4:CV34,$B20)+COUNTIF('1月'!CZ4:CZ34,$B20)+COUNTIF('1月'!DA4:DA34,$B20)+COUNTIF('1月'!DE4:DE34,$B20)+COUNTIF('1月'!DF4:DF34,$B20)+COUNTIF('1月'!DJ4:DJ34,$B20)+COUNTIF('1月'!DK4:DK34,$B20)+COUNTIF('1月'!DO4:DO34,$B20)+COUNTIF('1月'!DP4:DP34,$B20)+COUNTIF('1月'!DT4:DT34,$B20)+COUNTIF('1月'!DU4:DU34,$B20)+COUNTIF('1月'!DY4:DY34,$B20)+COUNTIF('1月'!DZ4:DZ34,$B20)+COUNTIF('1月'!ED4:ED34,$B20)+COUNTIF('1月'!EE4:EE34,$B20)+COUNTIF('1月'!EI4:EI34,$B20)+COUNTIF('1月'!EJ4:EJ34,$B20)+COUNTIF('1月'!EN4:EN34,$B20)+COUNTIF('1月'!EO4:EO34,$B20)+COUNTIF('1月'!ES4:ES34,$B20)+COUNTIF('1月'!ET4:ET34,$B20)),0)</f>
        <v>0</v>
      </c>
      <c r="D20" s="76">
        <f>IFERROR(IF($B20="","",COUNTIF('2月'!D4:D34,$B20)+COUNTIF('2月'!E4:E34,$B20)+COUNTIF('2月'!I4:I34,$B20)+COUNTIF('2月'!J4:J34,$B20)+COUNTIF('2月'!N4:N34,$B20)+COUNTIF('2月'!O4:O34,$B20)+COUNTIF('2月'!S4:S34,$B20)+COUNTIF('2月'!T4:T34,$B20)+COUNTIF('2月'!X4:X34,$B20)+COUNTIF('2月'!Y4:Y34,$B20)+COUNTIF('2月'!AC4:AC34,$B20)+COUNTIF('2月'!AD4:AD34,$B20)+COUNTIF('2月'!AH4:AH34,$B20)+COUNTIF('2月'!AI4:AI34,$B20)+COUNTIF('2月'!AM4:AM34,$B20)+COUNTIF('2月'!AN4:AN34,$B20)+COUNTIF('2月'!AR4:AR34,$B20)+COUNTIF('2月'!AS4:AS34,$B20)+COUNTIF('2月'!AW4:AW34,$B20)+COUNTIF('2月'!AX4:AX34,$B20)+COUNTIF('2月'!BB4:BB34,$B20)+COUNTIF('2月'!BC4:BC34,$B20)+COUNTIF('2月'!BG4:BG34,$B20)+COUNTIF('2月'!BH4:BH34,$B20)+COUNTIF('2月'!BL4:BL34,$B20)+COUNTIF('2月'!BM4:BM34,$B20)+COUNTIF('2月'!BQ4:BQ34,$B20)+COUNTIF('2月'!BR4:BR34,$B20)+COUNTIF('2月'!BV4:BV34,$B20)+COUNTIF('2月'!BW4:BW34,$B20)+COUNTIF('2月'!CA4:CA34,$B20)+COUNTIF('2月'!CB4:CB34,$B20)+COUNTIF('2月'!CF4:CF34,$B20)+COUNTIF('2月'!CG4:CG34,$B20)+COUNTIF('2月'!CK4:CK34,$B20)+COUNTIF('2月'!CL4:CL34,$B20)+COUNTIF('2月'!CP4:CP34,$B20)+COUNTIF('2月'!CQ4:CQ34,$B20)+COUNTIF('2月'!CU4:CU34,$B20)+COUNTIF('2月'!CV4:CV34,$B20)+COUNTIF('2月'!CZ4:CZ34,$B20)+COUNTIF('2月'!DA4:DA34,$B20)+COUNTIF('2月'!DE4:DE34,$B20)+COUNTIF('2月'!DF4:DF34,$B20)+COUNTIF('2月'!DJ4:DJ34,$B20)+COUNTIF('2月'!DK4:DK34,$B20)+COUNTIF('2月'!DO4:DO34,$B20)+COUNTIF('2月'!DP4:DP34,$B20)+COUNTIF('2月'!DT4:DT34,$B20)+COUNTIF('2月'!DU4:DU34,$B20)+COUNTIF('2月'!DY4:DY34,$B20)+COUNTIF('2月'!DZ4:DZ34,$B20)+COUNTIF('2月'!ED4:ED34,$B20)+COUNTIF('2月'!EE4:EE34,$B20)+COUNTIF('2月'!EI4:EI34,$B20)+COUNTIF('2月'!EJ4:EJ34,$B20)+COUNTIF('2月'!EN4:EN34,$B20)+COUNTIF('2月'!EO4:EO34,$B20)+COUNTIF('2月'!ES4:ES34,$B20)+COUNTIF('2月'!ET4:ET34,$B20)),0)</f>
        <v>0</v>
      </c>
      <c r="E20" s="76">
        <f>IFERROR(IF($B20="","",COUNTIF('3月'!D4:D34,$B20)+COUNTIF('3月'!E4:E34,$B20)+COUNTIF('3月'!I4:I34,$B20)+COUNTIF('3月'!J4:J34,$B20)+COUNTIF('3月'!N4:N34,$B20)+COUNTIF('3月'!O4:O34,$B20)+COUNTIF('3月'!S4:S34,$B20)+COUNTIF('3月'!T4:T34,$B20)+COUNTIF('3月'!X4:X34,$B20)+COUNTIF('3月'!Y4:Y34,$B20)+COUNTIF('3月'!AC4:AC34,$B20)+COUNTIF('3月'!AD4:AD34,$B20)+COUNTIF('3月'!AH4:AH34,$B20)+COUNTIF('3月'!AI4:AI34,$B20)+COUNTIF('3月'!AM4:AM34,$B20)+COUNTIF('3月'!AN4:AN34,$B20)+COUNTIF('3月'!AR4:AR34,$B20)+COUNTIF('3月'!AS4:AS34,$B20)+COUNTIF('3月'!AW4:AW34,$B20)+COUNTIF('3月'!AX4:AX34,$B20)+COUNTIF('3月'!BB4:BB34,$B20)+COUNTIF('3月'!BC4:BC34,$B20)+COUNTIF('3月'!BG4:BG34,$B20)+COUNTIF('3月'!BH4:BH34,$B20)+COUNTIF('3月'!BL4:BL34,$B20)+COUNTIF('3月'!BM4:BM34,$B20)+COUNTIF('3月'!BQ4:BQ34,$B20)+COUNTIF('3月'!BR4:BR34,$B20)+COUNTIF('3月'!BV4:BV34,$B20)+COUNTIF('3月'!BW4:BW34,$B20)+COUNTIF('3月'!CA4:CA34,$B20)+COUNTIF('3月'!CB4:CB34,$B20)+COUNTIF('3月'!CF4:CF34,$B20)+COUNTIF('3月'!CG4:CG34,$B20)+COUNTIF('3月'!CK4:CK34,$B20)+COUNTIF('3月'!CL4:CL34,$B20)+COUNTIF('3月'!CP4:CP34,$B20)+COUNTIF('3月'!CQ4:CQ34,$B20)+COUNTIF('3月'!CU4:CU34,$B20)+COUNTIF('3月'!CV4:CV34,$B20)+COUNTIF('3月'!CZ4:CZ34,$B20)+COUNTIF('3月'!DA4:DA34,$B20)+COUNTIF('3月'!DE4:DE34,$B20)+COUNTIF('3月'!DF4:DF34,$B20)+COUNTIF('3月'!DJ4:DJ34,$B20)+COUNTIF('3月'!DK4:DK34,$B20)+COUNTIF('3月'!DO4:DO34,$B20)+COUNTIF('3月'!DP4:DP34,$B20)+COUNTIF('3月'!DT4:DT34,$B20)+COUNTIF('3月'!DU4:DU34,$B20)+COUNTIF('3月'!DY4:DY34,$B20)+COUNTIF('3月'!DZ4:DZ34,$B20)+COUNTIF('3月'!ED4:ED34,$B20)+COUNTIF('3月'!EE4:EE34,$B20)+COUNTIF('3月'!EI4:EI34,$B20)+COUNTIF('3月'!EJ4:EJ34,$B20)+COUNTIF('3月'!EN4:EN34,$B20)+COUNTIF('3月'!EO4:EO34,$B20)+COUNTIF('3月'!ES4:ES34,$B20)+COUNTIF('3月'!ET4:ET34,$B20)),0)</f>
        <v>0</v>
      </c>
      <c r="F20" s="76">
        <f>IFERROR(IF($B20="","",COUNTIF('4月'!D4:D34,$B20)+COUNTIF('4月'!E4:E34,$B20)+COUNTIF('4月'!I4:I34,$B20)+COUNTIF('4月'!J4:J34,$B20)+COUNTIF('4月'!N4:N34,$B20)+COUNTIF('4月'!O4:O34,$B20)+COUNTIF('4月'!S4:S34,$B20)+COUNTIF('4月'!T4:T34,$B20)+COUNTIF('4月'!X4:X34,$B20)+COUNTIF('4月'!Y4:Y34,$B20)+COUNTIF('4月'!AC4:AC34,$B20)+COUNTIF('4月'!AD4:AD34,$B20)+COUNTIF('4月'!AH4:AH34,$B20)+COUNTIF('4月'!AI4:AI34,$B20)+COUNTIF('4月'!AM4:AM34,$B20)+COUNTIF('4月'!AN4:AN34,$B20)+COUNTIF('4月'!AR4:AR34,$B20)+COUNTIF('4月'!AS4:AS34,$B20)+COUNTIF('4月'!AW4:AW34,$B20)+COUNTIF('4月'!AX4:AX34,$B20)+COUNTIF('4月'!BB4:BB34,$B20)+COUNTIF('4月'!BC4:BC34,$B20)+COUNTIF('4月'!BG4:BG34,$B20)+COUNTIF('4月'!BH4:BH34,$B20)+COUNTIF('4月'!BL4:BL34,$B20)+COUNTIF('4月'!BM4:BM34,$B20)+COUNTIF('4月'!BQ4:BQ34,$B20)+COUNTIF('4月'!BR4:BR34,$B20)+COUNTIF('4月'!BV4:BV34,$B20)+COUNTIF('4月'!BW4:BW34,$B20)+COUNTIF('4月'!CA4:CA34,$B20)+COUNTIF('4月'!CB4:CB34,$B20)+COUNTIF('4月'!CF4:CF34,$B20)+COUNTIF('4月'!CG4:CG34,$B20)+COUNTIF('4月'!CK4:CK34,$B20)+COUNTIF('4月'!CL4:CL34,$B20)+COUNTIF('4月'!CP4:CP34,$B20)+COUNTIF('4月'!CQ4:CQ34,$B20)+COUNTIF('4月'!CU4:CU34,$B20)+COUNTIF('4月'!CV4:CV34,$B20)+COUNTIF('4月'!CZ4:CZ34,$B20)+COUNTIF('4月'!DA4:DA34,$B20)+COUNTIF('4月'!DE4:DE34,$B20)+COUNTIF('4月'!DF4:DF34,$B20)+COUNTIF('4月'!DJ4:DJ34,$B20)+COUNTIF('4月'!DK4:DK34,$B20)+COUNTIF('4月'!DO4:DO34,$B20)+COUNTIF('4月'!DP4:DP34,$B20)+COUNTIF('4月'!DT4:DT34,$B20)+COUNTIF('4月'!DU4:DU34,$B20)+COUNTIF('4月'!DY4:DY34,$B20)+COUNTIF('4月'!DZ4:DZ34,$B20)+COUNTIF('4月'!ED4:ED34,$B20)+COUNTIF('4月'!EE4:EE34,$B20)+COUNTIF('4月'!EI4:EI34,$B20)+COUNTIF('4月'!EJ4:EJ34,$B20)+COUNTIF('4月'!EN4:EN34,$B20)+COUNTIF('4月'!EO4:EO34,$B20)+COUNTIF('4月'!ES4:ES34,$B20)+COUNTIF('4月'!ET4:ET34,$B20)),0)</f>
        <v>0</v>
      </c>
      <c r="G20" s="76">
        <f>IFERROR(IF($B20="","",COUNTIF('5月'!D4:D34,$B20)+COUNTIF('5月'!E4:E34,$B20)+COUNTIF('5月'!I4:I34,$B20)+COUNTIF('5月'!J4:J34,$B20)+COUNTIF('5月'!N4:N34,$B20)+COUNTIF('5月'!O4:O34,$B20)+COUNTIF('5月'!S4:S34,$B20)+COUNTIF('5月'!T4:T34,$B20)+COUNTIF('5月'!X4:X34,$B20)+COUNTIF('5月'!Y4:Y34,$B20)+COUNTIF('5月'!AC4:AC34,$B20)+COUNTIF('5月'!AD4:AD34,$B20)+COUNTIF('5月'!AH4:AH34,$B20)+COUNTIF('5月'!AI4:AI34,$B20)+COUNTIF('5月'!AM4:AM34,$B20)+COUNTIF('5月'!AN4:AN34,$B20)+COUNTIF('5月'!AR4:AR34,$B20)+COUNTIF('5月'!AS4:AS34,$B20)+COUNTIF('5月'!AW4:AW34,$B20)+COUNTIF('5月'!AX4:AX34,$B20)+COUNTIF('5月'!BB4:BB34,$B20)+COUNTIF('5月'!BC4:BC34,$B20)+COUNTIF('5月'!BG4:BG34,$B20)+COUNTIF('5月'!BH4:BH34,$B20)+COUNTIF('5月'!BL4:BL34,$B20)+COUNTIF('5月'!BM4:BM34,$B20)+COUNTIF('5月'!BQ4:BQ34,$B20)+COUNTIF('5月'!BR4:BR34,$B20)+COUNTIF('5月'!BV4:BV34,$B20)+COUNTIF('5月'!BW4:BW34,$B20)+COUNTIF('5月'!CA4:CA34,$B20)+COUNTIF('5月'!CB4:CB34,$B20)+COUNTIF('5月'!CF4:CF34,$B20)+COUNTIF('5月'!CG4:CG34,$B20)+COUNTIF('5月'!CK4:CK34,$B20)+COUNTIF('5月'!CL4:CL34,$B20)+COUNTIF('5月'!CP4:CP34,$B20)+COUNTIF('5月'!CQ4:CQ34,$B20)+COUNTIF('5月'!CU4:CU34,$B20)+COUNTIF('5月'!CV4:CV34,$B20)+COUNTIF('5月'!CZ4:CZ34,$B20)+COUNTIF('5月'!DA4:DA34,$B20)+COUNTIF('5月'!DE4:DE34,$B20)+COUNTIF('5月'!DF4:DF34,$B20)+COUNTIF('5月'!DJ4:DJ34,$B20)+COUNTIF('5月'!DK4:DK34,$B20)+COUNTIF('5月'!DO4:DO34,$B20)+COUNTIF('5月'!DP4:DP34,$B20)+COUNTIF('5月'!DT4:DT34,$B20)+COUNTIF('5月'!DU4:DU34,$B20)+COUNTIF('5月'!DY4:DY34,$B20)+COUNTIF('5月'!DZ4:DZ34,$B20)+COUNTIF('5月'!ED4:ED34,$B20)+COUNTIF('5月'!EE4:EE34,$B20)+COUNTIF('5月'!EI4:EI34,$B20)+COUNTIF('5月'!EJ4:EJ34,$B20)+COUNTIF('5月'!EN4:EN34,$B20)+COUNTIF('5月'!EO4:EO34,$B20)+COUNTIF('5月'!ES4:ES34,$B20)+COUNTIF('5月'!ET4:ET34,$B20)),0)</f>
        <v>0</v>
      </c>
      <c r="H20" s="76">
        <f>IFERROR(IF($B20="","",COUNTIF('6月'!D4:D34,$B20)+COUNTIF('6月'!E4:E34,$B20)+COUNTIF('6月'!I4:I34,$B20)+COUNTIF('6月'!J4:J34,$B20)+COUNTIF('6月'!N4:N34,$B20)+COUNTIF('6月'!O4:O34,$B20)+COUNTIF('6月'!S4:S34,$B20)+COUNTIF('6月'!T4:T34,$B20)+COUNTIF('6月'!X4:X34,$B20)+COUNTIF('6月'!Y4:Y34,$B20)+COUNTIF('6月'!AC4:AC34,$B20)+COUNTIF('6月'!AD4:AD34,$B20)+COUNTIF('6月'!AH4:AH34,$B20)+COUNTIF('6月'!AI4:AI34,$B20)+COUNTIF('6月'!AM4:AM34,$B20)+COUNTIF('6月'!AN4:AN34,$B20)+COUNTIF('6月'!AR4:AR34,$B20)+COUNTIF('6月'!AS4:AS34,$B20)+COUNTIF('6月'!AW4:AW34,$B20)+COUNTIF('6月'!AX4:AX34,$B20)+COUNTIF('6月'!BB4:BB34,$B20)+COUNTIF('6月'!BC4:BC34,$B20)+COUNTIF('6月'!BG4:BG34,$B20)+COUNTIF('6月'!BH4:BH34,$B20)+COUNTIF('6月'!BL4:BL34,$B20)+COUNTIF('6月'!BM4:BM34,$B20)+COUNTIF('6月'!BQ4:BQ34,$B20)+COUNTIF('6月'!BR4:BR34,$B20)+COUNTIF('6月'!BV4:BV34,$B20)+COUNTIF('6月'!BW4:BW34,$B20)+COUNTIF('6月'!CA4:CA34,$B20)+COUNTIF('6月'!CB4:CB34,$B20)+COUNTIF('6月'!CF4:CF34,$B20)+COUNTIF('6月'!CG4:CG34,$B20)+COUNTIF('6月'!CK4:CK34,$B20)+COUNTIF('6月'!CL4:CL34,$B20)+COUNTIF('6月'!CP4:CP34,$B20)+COUNTIF('6月'!CQ4:CQ34,$B20)+COUNTIF('6月'!CU4:CU34,$B20)+COUNTIF('6月'!CV4:CV34,$B20)+COUNTIF('6月'!CZ4:CZ34,$B20)+COUNTIF('6月'!DA4:DA34,$B20)+COUNTIF('6月'!DE4:DE34,$B20)+COUNTIF('6月'!DF4:DF34,$B20)+COUNTIF('6月'!DJ4:DJ34,$B20)+COUNTIF('6月'!DK4:DK34,$B20)+COUNTIF('6月'!DO4:DO34,$B20)+COUNTIF('6月'!DP4:DP34,$B20)+COUNTIF('6月'!DT4:DT34,$B20)+COUNTIF('6月'!DU4:DU34,$B20)+COUNTIF('6月'!DY4:DY34,$B20)+COUNTIF('6月'!DZ4:DZ34,$B20)+COUNTIF('6月'!ED4:ED34,$B20)+COUNTIF('6月'!EE4:EE34,$B20)+COUNTIF('6月'!EI4:EI34,$B20)+COUNTIF('6月'!EJ4:EJ34,$B20)+COUNTIF('6月'!EN4:EN34,$B20)+COUNTIF('6月'!EO4:EO34,$B20)+COUNTIF('6月'!ES4:ES34,$B20)+COUNTIF('6月'!ET4:ET34,$B20)),0)</f>
        <v>0</v>
      </c>
      <c r="I20" s="76">
        <f>IFERROR(IF($B20="","",COUNTIF('7月'!D4:D34,$B20)+COUNTIF('7月'!E4:E34,$B20)+COUNTIF('7月'!I4:I34,$B20)+COUNTIF('7月'!J4:J34,$B20)+COUNTIF('7月'!N4:N34,$B20)+COUNTIF('7月'!O4:O34,$B20)+COUNTIF('7月'!S4:S34,$B20)+COUNTIF('7月'!T4:T34,$B20)+COUNTIF('7月'!X4:X34,$B20)+COUNTIF('7月'!Y4:Y34,$B20)+COUNTIF('7月'!AC4:AC34,$B20)+COUNTIF('7月'!AD4:AD34,$B20)+COUNTIF('7月'!AH4:AH34,$B20)+COUNTIF('7月'!AI4:AI34,$B20)+COUNTIF('7月'!AM4:AM34,$B20)+COUNTIF('7月'!AN4:AN34,$B20)+COUNTIF('7月'!AR4:AR34,$B20)+COUNTIF('7月'!AS4:AS34,$B20)+COUNTIF('7月'!AW4:AW34,$B20)+COUNTIF('7月'!AX4:AX34,$B20)+COUNTIF('7月'!BB4:BB34,$B20)+COUNTIF('7月'!BC4:BC34,$B20)+COUNTIF('7月'!BG4:BG34,$B20)+COUNTIF('7月'!BH4:BH34,$B20)+COUNTIF('7月'!BL4:BL34,$B20)+COUNTIF('7月'!BM4:BM34,$B20)+COUNTIF('7月'!BQ4:BQ34,$B20)+COUNTIF('7月'!BR4:BR34,$B20)+COUNTIF('7月'!BV4:BV34,$B20)+COUNTIF('7月'!BW4:BW34,$B20)+COUNTIF('7月'!CA4:CA34,$B20)+COUNTIF('7月'!CB4:CB34,$B20)+COUNTIF('7月'!CF4:CF34,$B20)+COUNTIF('7月'!CG4:CG34,$B20)+COUNTIF('7月'!CK4:CK34,$B20)+COUNTIF('7月'!CL4:CL34,$B20)+COUNTIF('7月'!CP4:CP34,$B20)+COUNTIF('7月'!CQ4:CQ34,$B20)+COUNTIF('7月'!CU4:CU34,$B20)+COUNTIF('7月'!CV4:CV34,$B20)+COUNTIF('7月'!CZ4:CZ34,$B20)+COUNTIF('7月'!DA4:DA34,$B20)+COUNTIF('7月'!DE4:DE34,$B20)+COUNTIF('7月'!DF4:DF34,$B20)+COUNTIF('7月'!DJ4:DJ34,$B20)+COUNTIF('7月'!DK4:DK34,$B20)+COUNTIF('7月'!DO4:DO34,$B20)+COUNTIF('7月'!DP4:DP34,$B20)+COUNTIF('7月'!DT4:DT34,$B20)+COUNTIF('7月'!DU4:DU34,$B20)+COUNTIF('7月'!DY4:DY34,$B20)+COUNTIF('7月'!DZ4:DZ34,$B20)+COUNTIF('7月'!ED4:ED34,$B20)+COUNTIF('7月'!EE4:EE34,$B20)+COUNTIF('7月'!EI4:EI34,$B20)+COUNTIF('7月'!EJ4:EJ34,$B20)+COUNTIF('7月'!EN4:EN34,$B20)+COUNTIF('7月'!EO4:EO34,$B20)+COUNTIF('7月'!ES4:ES34,$B20)+COUNTIF('7月'!ET4:ET34,$B20)),0)</f>
        <v>0</v>
      </c>
      <c r="J20" s="76">
        <f>IFERROR(IF($B20="","",COUNTIF('8月'!D4:D34,$B20)+COUNTIF('8月'!E4:E34,$B20)+COUNTIF('8月'!I4:I34,$B20)+COUNTIF('8月'!J4:J34,$B20)+COUNTIF('8月'!N4:N34,$B20)+COUNTIF('8月'!O4:O34,$B20)+COUNTIF('8月'!S4:S34,$B20)+COUNTIF('8月'!T4:T34,$B20)+COUNTIF('8月'!X4:X34,$B20)+COUNTIF('8月'!Y4:Y34,$B20)+COUNTIF('8月'!AC4:AC34,$B20)+COUNTIF('8月'!AD4:AD34,$B20)+COUNTIF('8月'!AH4:AH34,$B20)+COUNTIF('8月'!AI4:AI34,$B20)+COUNTIF('8月'!AM4:AM34,$B20)+COUNTIF('8月'!AN4:AN34,$B20)+COUNTIF('8月'!AR4:AR34,$B20)+COUNTIF('8月'!AS4:AS34,$B20)+COUNTIF('8月'!AW4:AW34,$B20)+COUNTIF('8月'!AX4:AX34,$B20)+COUNTIF('8月'!BB4:BB34,$B20)+COUNTIF('8月'!BC4:BC34,$B20)+COUNTIF('8月'!BG4:BG34,$B20)+COUNTIF('8月'!BH4:BH34,$B20)+COUNTIF('8月'!BL4:BL34,$B20)+COUNTIF('8月'!BM4:BM34,$B20)+COUNTIF('8月'!BQ4:BQ34,$B20)+COUNTIF('8月'!BR4:BR34,$B20)+COUNTIF('8月'!BV4:BV34,$B20)+COUNTIF('8月'!BW4:BW34,$B20)+COUNTIF('8月'!CA4:CA34,$B20)+COUNTIF('8月'!CB4:CB34,$B20)+COUNTIF('8月'!CF4:CF34,$B20)+COUNTIF('8月'!CG4:CG34,$B20)+COUNTIF('8月'!CK4:CK34,$B20)+COUNTIF('8月'!CL4:CL34,$B20)+COUNTIF('8月'!CP4:CP34,$B20)+COUNTIF('8月'!CQ4:CQ34,$B20)+COUNTIF('8月'!CU4:CU34,$B20)+COUNTIF('8月'!CV4:CV34,$B20)+COUNTIF('8月'!CZ4:CZ34,$B20)+COUNTIF('8月'!DA4:DA34,$B20)+COUNTIF('8月'!DE4:DE34,$B20)+COUNTIF('8月'!DF4:DF34,$B20)+COUNTIF('8月'!DJ4:DJ34,$B20)+COUNTIF('8月'!DK4:DK34,$B20)+COUNTIF('8月'!DO4:DO34,$B20)+COUNTIF('8月'!DP4:DP34,$B20)+COUNTIF('8月'!DT4:DT34,$B20)+COUNTIF('8月'!DU4:DU34,$B20)+COUNTIF('8月'!DY4:DY34,$B20)+COUNTIF('8月'!DZ4:DZ34,$B20)+COUNTIF('8月'!ED4:ED34,$B20)+COUNTIF('8月'!EE4:EE34,$B20)+COUNTIF('8月'!EI4:EI34,$B20)+COUNTIF('8月'!EJ4:EJ34,$B20)+COUNTIF('8月'!EN4:EN34,$B20)+COUNTIF('8月'!EO4:EO34,$B20)+COUNTIF('8月'!ES4:ES34,$B20)+COUNTIF('8月'!ET4:ET34,$B20)),0)</f>
        <v>0</v>
      </c>
      <c r="K20" s="76">
        <f>IFERROR(IF($B20="","",COUNTIF('9月'!D4:D34,$B20)+COUNTIF('9月'!E4:E34,$B20)+COUNTIF('9月'!I4:I34,$B20)+COUNTIF('9月'!J4:J34,$B20)+COUNTIF('9月'!N4:N34,$B20)+COUNTIF('9月'!O4:O34,$B20)+COUNTIF('9月'!S4:S34,$B20)+COUNTIF('9月'!T4:T34,$B20)+COUNTIF('9月'!X4:X34,$B20)+COUNTIF('9月'!Y4:Y34,$B20)+COUNTIF('9月'!AC4:AC34,$B20)+COUNTIF('9月'!AD4:AD34,$B20)+COUNTIF('9月'!AH4:AH34,$B20)+COUNTIF('9月'!AI4:AI34,$B20)+COUNTIF('9月'!AM4:AM34,$B20)+COUNTIF('9月'!AN4:AN34,$B20)+COUNTIF('9月'!AR4:AR34,$B20)+COUNTIF('9月'!AS4:AS34,$B20)+COUNTIF('9月'!AW4:AW34,$B20)+COUNTIF('9月'!AX4:AX34,$B20)+COUNTIF('9月'!BB4:BB34,$B20)+COUNTIF('9月'!BC4:BC34,$B20)+COUNTIF('9月'!BG4:BG34,$B20)+COUNTIF('9月'!BH4:BH34,$B20)+COUNTIF('9月'!BL4:BL34,$B20)+COUNTIF('9月'!BM4:BM34,$B20)+COUNTIF('9月'!BQ4:BQ34,$B20)+COUNTIF('9月'!BR4:BR34,$B20)+COUNTIF('9月'!BV4:BV34,$B20)+COUNTIF('9月'!BW4:BW34,$B20)+COUNTIF('9月'!CA4:CA34,$B20)+COUNTIF('9月'!CB4:CB34,$B20)+COUNTIF('9月'!CF4:CF34,$B20)+COUNTIF('9月'!CG4:CG34,$B20)+COUNTIF('9月'!CK4:CK34,$B20)+COUNTIF('9月'!CL4:CL34,$B20)+COUNTIF('9月'!CP4:CP34,$B20)+COUNTIF('9月'!CQ4:CQ34,$B20)+COUNTIF('9月'!CU4:CU34,$B20)+COUNTIF('9月'!CV4:CV34,$B20)+COUNTIF('9月'!CZ4:CZ34,$B20)+COUNTIF('9月'!DA4:DA34,$B20)+COUNTIF('9月'!DE4:DE34,$B20)+COUNTIF('9月'!DF4:DF34,$B20)+COUNTIF('9月'!DJ4:DJ34,$B20)+COUNTIF('9月'!DK4:DK34,$B20)+COUNTIF('9月'!DO4:DO34,$B20)+COUNTIF('9月'!DP4:DP34,$B20)+COUNTIF('9月'!DT4:DT34,$B20)+COUNTIF('9月'!DU4:DU34,$B20)+COUNTIF('9月'!DY4:DY34,$B20)+COUNTIF('9月'!DZ4:DZ34,$B20)+COUNTIF('9月'!ED4:ED34,$B20)+COUNTIF('9月'!EE4:EE34,$B20)+COUNTIF('9月'!EI4:EI34,$B20)+COUNTIF('9月'!EJ4:EJ34,$B20)+COUNTIF('9月'!EN4:EN34,$B20)+COUNTIF('9月'!EO4:EO34,$B20)+COUNTIF('9月'!ES4:ES34,$B20)+COUNTIF('9月'!ET4:ET34,$B20)),0)</f>
        <v>0</v>
      </c>
      <c r="L20" s="76">
        <f>IFERROR(IF($B20="","",COUNTIF('10月'!D4:D34,$B20)+COUNTIF('10月'!E4:E34,$B20)+COUNTIF('10月'!I4:I34,$B20)+COUNTIF('10月'!J4:J34,$B20)+COUNTIF('10月'!N4:N34,$B20)+COUNTIF('10月'!O4:O34,$B20)+COUNTIF('10月'!S4:S34,$B20)+COUNTIF('10月'!T4:T34,$B20)+COUNTIF('10月'!X4:X34,$B20)+COUNTIF('10月'!Y4:Y34,$B20)+COUNTIF('10月'!AC4:AC34,$B20)+COUNTIF('10月'!AD4:AD34,$B20)+COUNTIF('10月'!AH4:AH34,$B20)+COUNTIF('10月'!AI4:AI34,$B20)+COUNTIF('10月'!AM4:AM34,$B20)+COUNTIF('10月'!AN4:AN34,$B20)+COUNTIF('10月'!AR4:AR34,$B20)+COUNTIF('10月'!AS4:AS34,$B20)+COUNTIF('10月'!AW4:AW34,$B20)+COUNTIF('10月'!AX4:AX34,$B20)+COUNTIF('10月'!BB4:BB34,$B20)+COUNTIF('10月'!BC4:BC34,$B20)+COUNTIF('10月'!BG4:BG34,$B20)+COUNTIF('10月'!BH4:BH34,$B20)+COUNTIF('10月'!BL4:BL34,$B20)+COUNTIF('10月'!BM4:BM34,$B20)+COUNTIF('10月'!BQ4:BQ34,$B20)+COUNTIF('10月'!BR4:BR34,$B20)+COUNTIF('10月'!BV4:BV34,$B20)+COUNTIF('10月'!BW4:BW34,$B20)+COUNTIF('10月'!CA4:CA34,$B20)+COUNTIF('10月'!CB4:CB34,$B20)+COUNTIF('10月'!CF4:CF34,$B20)+COUNTIF('10月'!CG4:CG34,$B20)+COUNTIF('10月'!CK4:CK34,$B20)+COUNTIF('10月'!CL4:CL34,$B20)+COUNTIF('10月'!CP4:CP34,$B20)+COUNTIF('10月'!CQ4:CQ34,$B20)+COUNTIF('10月'!CU4:CU34,$B20)+COUNTIF('10月'!CV4:CV34,$B20)+COUNTIF('10月'!CZ4:CZ34,$B20)+COUNTIF('10月'!DA4:DA34,$B20)+COUNTIF('10月'!DE4:DE34,$B20)+COUNTIF('10月'!DF4:DF34,$B20)+COUNTIF('10月'!DJ4:DJ34,$B20)+COUNTIF('10月'!DK4:DK34,$B20)+COUNTIF('10月'!DO4:DO34,$B20)+COUNTIF('10月'!DP4:DP34,$B20)+COUNTIF('10月'!DT4:DT34,$B20)+COUNTIF('10月'!DU4:DU34,$B20)+COUNTIF('10月'!DY4:DY34,$B20)+COUNTIF('10月'!DZ4:DZ34,$B20)+COUNTIF('10月'!ED4:ED34,$B20)+COUNTIF('10月'!EE4:EE34,$B20)+COUNTIF('10月'!EI4:EI34,$B20)+COUNTIF('10月'!EJ4:EJ34,$B20)+COUNTIF('10月'!EN4:EN34,$B20)+COUNTIF('10月'!EO4:EO34,$B20)+COUNTIF('10月'!ES4:ES34,$B20)+COUNTIF('10月'!ET4:ET34,$B20)),0)</f>
        <v>0</v>
      </c>
      <c r="M20" s="76">
        <f>IFERROR(IF($B20="","",COUNTIF('11月'!D4:D34,$B20)+COUNTIF('11月'!E4:E34,$B20)+COUNTIF('11月'!I4:I34,$B20)+COUNTIF('11月'!J4:J34,$B20)+COUNTIF('11月'!N4:N34,$B20)+COUNTIF('11月'!O4:O34,$B20)+COUNTIF('11月'!S4:S34,$B20)+COUNTIF('11月'!T4:T34,$B20)+COUNTIF('11月'!X4:X34,$B20)+COUNTIF('11月'!Y4:Y34,$B20)+COUNTIF('11月'!AC4:AC34,$B20)+COUNTIF('11月'!AD4:AD34,$B20)+COUNTIF('11月'!AH4:AH34,$B20)+COUNTIF('11月'!AI4:AI34,$B20)+COUNTIF('11月'!AM4:AM34,$B20)+COUNTIF('11月'!AN4:AN34,$B20)+COUNTIF('11月'!AR4:AR34,$B20)+COUNTIF('11月'!AS4:AS34,$B20)+COUNTIF('11月'!AW4:AW34,$B20)+COUNTIF('11月'!AX4:AX34,$B20)+COUNTIF('11月'!BB4:BB34,$B20)+COUNTIF('11月'!BC4:BC34,$B20)+COUNTIF('11月'!BG4:BG34,$B20)+COUNTIF('11月'!BH4:BH34,$B20)+COUNTIF('11月'!BL4:BL34,$B20)+COUNTIF('11月'!BM4:BM34,$B20)+COUNTIF('11月'!BQ4:BQ34,$B20)+COUNTIF('11月'!BR4:BR34,$B20)+COUNTIF('11月'!BV4:BV34,$B20)+COUNTIF('11月'!BW4:BW34,$B20)+COUNTIF('11月'!CA4:CA34,$B20)+COUNTIF('11月'!CB4:CB34,$B20)+COUNTIF('11月'!CF4:CF34,$B20)+COUNTIF('11月'!CG4:CG34,$B20)+COUNTIF('11月'!CK4:CK34,$B20)+COUNTIF('11月'!CL4:CL34,$B20)+COUNTIF('11月'!CP4:CP34,$B20)+COUNTIF('11月'!CQ4:CQ34,$B20)+COUNTIF('11月'!CU4:CU34,$B20)+COUNTIF('11月'!CV4:CV34,$B20)+COUNTIF('11月'!CZ4:CZ34,$B20)+COUNTIF('11月'!DA4:DA34,$B20)+COUNTIF('11月'!DE4:DE34,$B20)+COUNTIF('11月'!DF4:DF34,$B20)+COUNTIF('11月'!DJ4:DJ34,$B20)+COUNTIF('11月'!DK4:DK34,$B20)+COUNTIF('11月'!DO4:DO34,$B20)+COUNTIF('11月'!DP4:DP34,$B20)+COUNTIF('11月'!DT4:DT34,$B20)+COUNTIF('11月'!DU4:DU34,$B20)+COUNTIF('11月'!DY4:DY34,$B20)+COUNTIF('11月'!DZ4:DZ34,$B20)+COUNTIF('11月'!ED4:ED34,$B20)+COUNTIF('11月'!EE4:EE34,$B20)+COUNTIF('11月'!EI4:EI34,$B20)+COUNTIF('11月'!EJ4:EJ34,$B20)+COUNTIF('11月'!EN4:EN34,$B20)+COUNTIF('11月'!EO4:EO34,$B20)+COUNTIF('11月'!ES4:ES34,$B20)+COUNTIF('11月'!ET4:ET34,$B20)),0)</f>
        <v>0</v>
      </c>
      <c r="N20" s="76">
        <f>IFERROR(IF($B20="","",COUNTIF('12月'!D4:D34,$B20)+COUNTIF('12月'!E4:E34,$B20)+COUNTIF('12月'!I4:I34,$B20)+COUNTIF('12月'!J4:J34,$B20)+COUNTIF('12月'!N4:N34,$B20)+COUNTIF('12月'!O4:O34,$B20)+COUNTIF('12月'!S4:S34,$B20)+COUNTIF('12月'!T4:T34,$B20)+COUNTIF('12月'!X4:X34,$B20)+COUNTIF('12月'!Y4:Y34,$B20)+COUNTIF('12月'!AC4:AC34,$B20)+COUNTIF('12月'!AD4:AD34,$B20)+COUNTIF('12月'!AH4:AH34,$B20)+COUNTIF('12月'!AI4:AI34,$B20)+COUNTIF('12月'!AM4:AM34,$B20)+COUNTIF('12月'!AN4:AN34,$B20)+COUNTIF('12月'!AR4:AR34,$B20)+COUNTIF('12月'!AS4:AS34,$B20)+COUNTIF('12月'!AW4:AW34,$B20)+COUNTIF('12月'!AX4:AX34,$B20)+COUNTIF('12月'!BB4:BB34,$B20)+COUNTIF('12月'!BC4:BC34,$B20)+COUNTIF('12月'!BG4:BG34,$B20)+COUNTIF('12月'!BH4:BH34,$B20)+COUNTIF('12月'!BL4:BL34,$B20)+COUNTIF('12月'!BM4:BM34,$B20)+COUNTIF('12月'!BQ4:BQ34,$B20)+COUNTIF('12月'!BR4:BR34,$B20)+COUNTIF('12月'!BV4:BV34,$B20)+COUNTIF('12月'!BW4:BW34,$B20)+COUNTIF('12月'!CA4:CA34,$B20)+COUNTIF('12月'!CB4:CB34,$B20)+COUNTIF('12月'!CF4:CF34,$B20)+COUNTIF('12月'!CG4:CG34,$B20)+COUNTIF('12月'!CK4:CK34,$B20)+COUNTIF('12月'!CL4:CL34,$B20)+COUNTIF('12月'!CP4:CP34,$B20)+COUNTIF('12月'!CQ4:CQ34,$B20)+COUNTIF('12月'!CU4:CU34,$B20)+COUNTIF('12月'!CV4:CV34,$B20)+COUNTIF('12月'!CZ4:CZ34,$B20)+COUNTIF('12月'!DA4:DA34,$B20)+COUNTIF('12月'!DE4:DE34,$B20)+COUNTIF('12月'!DF4:DF34,$B20)+COUNTIF('12月'!DJ4:DJ34,$B20)+COUNTIF('12月'!DK4:DK34,$B20)+COUNTIF('12月'!DO4:DO34,$B20)+COUNTIF('12月'!DP4:DP34,$B20)+COUNTIF('12月'!DT4:DT34,$B20)+COUNTIF('12月'!DU4:DU34,$B20)+COUNTIF('12月'!DY4:DY34,$B20)+COUNTIF('12月'!DZ4:DZ34,$B20)+COUNTIF('12月'!ED4:ED34,$B20)+COUNTIF('12月'!EE4:EE34,$B20)+COUNTIF('12月'!EI4:EI34,$B20)+COUNTIF('12月'!EJ4:EJ34,$B20)+COUNTIF('12月'!EN4:EN34,$B20)+COUNTIF('12月'!EO4:EO34,$B20)+COUNTIF('12月'!ES4:ES34,$B20)+COUNTIF('12月'!ET4:ET34,$B20)),0)</f>
        <v>0</v>
      </c>
      <c r="O20" s="78">
        <f t="shared" si="0"/>
        <v>0</v>
      </c>
    </row>
    <row r="21" spans="1:15" ht="19.5" customHeight="1">
      <c r="A21" s="76">
        <v>19</v>
      </c>
      <c r="B21" s="77">
        <f>IFERROR(現場マスタ!$C$22,"")</f>
        <v>0</v>
      </c>
      <c r="C21" s="76">
        <f>IFERROR(IF($B21="","",COUNTIF('1月'!D4:D34,$B21)+COUNTIF('1月'!E4:E34,$B21)+COUNTIF('1月'!I4:I34,$B21)+COUNTIF('1月'!J4:J34,$B21)+COUNTIF('1月'!N4:N34,$B21)+COUNTIF('1月'!O4:O34,$B21)+COUNTIF('1月'!S4:S34,$B21)+COUNTIF('1月'!T4:T34,$B21)+COUNTIF('1月'!X4:X34,$B21)+COUNTIF('1月'!Y4:Y34,$B21)+COUNTIF('1月'!AC4:AC34,$B21)+COUNTIF('1月'!AD4:AD34,$B21)+COUNTIF('1月'!AH4:AH34,$B21)+COUNTIF('1月'!AI4:AI34,$B21)+COUNTIF('1月'!AM4:AM34,$B21)+COUNTIF('1月'!AN4:AN34,$B21)+COUNTIF('1月'!AR4:AR34,$B21)+COUNTIF('1月'!AS4:AS34,$B21)+COUNTIF('1月'!AW4:AW34,$B21)+COUNTIF('1月'!AX4:AX34,$B21)+COUNTIF('1月'!BB4:BB34,$B21)+COUNTIF('1月'!BC4:BC34,$B21)+COUNTIF('1月'!BG4:BG34,$B21)+COUNTIF('1月'!BH4:BH34,$B21)+COUNTIF('1月'!BL4:BL34,$B21)+COUNTIF('1月'!BM4:BM34,$B21)+COUNTIF('1月'!BQ4:BQ34,$B21)+COUNTIF('1月'!BR4:BR34,$B21)+COUNTIF('1月'!BV4:BV34,$B21)+COUNTIF('1月'!BW4:BW34,$B21)+COUNTIF('1月'!CA4:CA34,$B21)+COUNTIF('1月'!CB4:CB34,$B21)+COUNTIF('1月'!CF4:CF34,$B21)+COUNTIF('1月'!CG4:CG34,$B21)+COUNTIF('1月'!CK4:CK34,$B21)+COUNTIF('1月'!CL4:CL34,$B21)+COUNTIF('1月'!CP4:CP34,$B21)+COUNTIF('1月'!CQ4:CQ34,$B21)+COUNTIF('1月'!CU4:CU34,$B21)+COUNTIF('1月'!CV4:CV34,$B21)+COUNTIF('1月'!CZ4:CZ34,$B21)+COUNTIF('1月'!DA4:DA34,$B21)+COUNTIF('1月'!DE4:DE34,$B21)+COUNTIF('1月'!DF4:DF34,$B21)+COUNTIF('1月'!DJ4:DJ34,$B21)+COUNTIF('1月'!DK4:DK34,$B21)+COUNTIF('1月'!DO4:DO34,$B21)+COUNTIF('1月'!DP4:DP34,$B21)+COUNTIF('1月'!DT4:DT34,$B21)+COUNTIF('1月'!DU4:DU34,$B21)+COUNTIF('1月'!DY4:DY34,$B21)+COUNTIF('1月'!DZ4:DZ34,$B21)+COUNTIF('1月'!ED4:ED34,$B21)+COUNTIF('1月'!EE4:EE34,$B21)+COUNTIF('1月'!EI4:EI34,$B21)+COUNTIF('1月'!EJ4:EJ34,$B21)+COUNTIF('1月'!EN4:EN34,$B21)+COUNTIF('1月'!EO4:EO34,$B21)+COUNTIF('1月'!ES4:ES34,$B21)+COUNTIF('1月'!ET4:ET34,$B21)),0)</f>
        <v>0</v>
      </c>
      <c r="D21" s="76">
        <f>IFERROR(IF($B21="","",COUNTIF('2月'!D4:D34,$B21)+COUNTIF('2月'!E4:E34,$B21)+COUNTIF('2月'!I4:I34,$B21)+COUNTIF('2月'!J4:J34,$B21)+COUNTIF('2月'!N4:N34,$B21)+COUNTIF('2月'!O4:O34,$B21)+COUNTIF('2月'!S4:S34,$B21)+COUNTIF('2月'!T4:T34,$B21)+COUNTIF('2月'!X4:X34,$B21)+COUNTIF('2月'!Y4:Y34,$B21)+COUNTIF('2月'!AC4:AC34,$B21)+COUNTIF('2月'!AD4:AD34,$B21)+COUNTIF('2月'!AH4:AH34,$B21)+COUNTIF('2月'!AI4:AI34,$B21)+COUNTIF('2月'!AM4:AM34,$B21)+COUNTIF('2月'!AN4:AN34,$B21)+COUNTIF('2月'!AR4:AR34,$B21)+COUNTIF('2月'!AS4:AS34,$B21)+COUNTIF('2月'!AW4:AW34,$B21)+COUNTIF('2月'!AX4:AX34,$B21)+COUNTIF('2月'!BB4:BB34,$B21)+COUNTIF('2月'!BC4:BC34,$B21)+COUNTIF('2月'!BG4:BG34,$B21)+COUNTIF('2月'!BH4:BH34,$B21)+COUNTIF('2月'!BL4:BL34,$B21)+COUNTIF('2月'!BM4:BM34,$B21)+COUNTIF('2月'!BQ4:BQ34,$B21)+COUNTIF('2月'!BR4:BR34,$B21)+COUNTIF('2月'!BV4:BV34,$B21)+COUNTIF('2月'!BW4:BW34,$B21)+COUNTIF('2月'!CA4:CA34,$B21)+COUNTIF('2月'!CB4:CB34,$B21)+COUNTIF('2月'!CF4:CF34,$B21)+COUNTIF('2月'!CG4:CG34,$B21)+COUNTIF('2月'!CK4:CK34,$B21)+COUNTIF('2月'!CL4:CL34,$B21)+COUNTIF('2月'!CP4:CP34,$B21)+COUNTIF('2月'!CQ4:CQ34,$B21)+COUNTIF('2月'!CU4:CU34,$B21)+COUNTIF('2月'!CV4:CV34,$B21)+COUNTIF('2月'!CZ4:CZ34,$B21)+COUNTIF('2月'!DA4:DA34,$B21)+COUNTIF('2月'!DE4:DE34,$B21)+COUNTIF('2月'!DF4:DF34,$B21)+COUNTIF('2月'!DJ4:DJ34,$B21)+COUNTIF('2月'!DK4:DK34,$B21)+COUNTIF('2月'!DO4:DO34,$B21)+COUNTIF('2月'!DP4:DP34,$B21)+COUNTIF('2月'!DT4:DT34,$B21)+COUNTIF('2月'!DU4:DU34,$B21)+COUNTIF('2月'!DY4:DY34,$B21)+COUNTIF('2月'!DZ4:DZ34,$B21)+COUNTIF('2月'!ED4:ED34,$B21)+COUNTIF('2月'!EE4:EE34,$B21)+COUNTIF('2月'!EI4:EI34,$B21)+COUNTIF('2月'!EJ4:EJ34,$B21)+COUNTIF('2月'!EN4:EN34,$B21)+COUNTIF('2月'!EO4:EO34,$B21)+COUNTIF('2月'!ES4:ES34,$B21)+COUNTIF('2月'!ET4:ET34,$B21)),0)</f>
        <v>0</v>
      </c>
      <c r="E21" s="76">
        <f>IFERROR(IF($B21="","",COUNTIF('3月'!D4:D34,$B21)+COUNTIF('3月'!E4:E34,$B21)+COUNTIF('3月'!I4:I34,$B21)+COUNTIF('3月'!J4:J34,$B21)+COUNTIF('3月'!N4:N34,$B21)+COUNTIF('3月'!O4:O34,$B21)+COUNTIF('3月'!S4:S34,$B21)+COUNTIF('3月'!T4:T34,$B21)+COUNTIF('3月'!X4:X34,$B21)+COUNTIF('3月'!Y4:Y34,$B21)+COUNTIF('3月'!AC4:AC34,$B21)+COUNTIF('3月'!AD4:AD34,$B21)+COUNTIF('3月'!AH4:AH34,$B21)+COUNTIF('3月'!AI4:AI34,$B21)+COUNTIF('3月'!AM4:AM34,$B21)+COUNTIF('3月'!AN4:AN34,$B21)+COUNTIF('3月'!AR4:AR34,$B21)+COUNTIF('3月'!AS4:AS34,$B21)+COUNTIF('3月'!AW4:AW34,$B21)+COUNTIF('3月'!AX4:AX34,$B21)+COUNTIF('3月'!BB4:BB34,$B21)+COUNTIF('3月'!BC4:BC34,$B21)+COUNTIF('3月'!BG4:BG34,$B21)+COUNTIF('3月'!BH4:BH34,$B21)+COUNTIF('3月'!BL4:BL34,$B21)+COUNTIF('3月'!BM4:BM34,$B21)+COUNTIF('3月'!BQ4:BQ34,$B21)+COUNTIF('3月'!BR4:BR34,$B21)+COUNTIF('3月'!BV4:BV34,$B21)+COUNTIF('3月'!BW4:BW34,$B21)+COUNTIF('3月'!CA4:CA34,$B21)+COUNTIF('3月'!CB4:CB34,$B21)+COUNTIF('3月'!CF4:CF34,$B21)+COUNTIF('3月'!CG4:CG34,$B21)+COUNTIF('3月'!CK4:CK34,$B21)+COUNTIF('3月'!CL4:CL34,$B21)+COUNTIF('3月'!CP4:CP34,$B21)+COUNTIF('3月'!CQ4:CQ34,$B21)+COUNTIF('3月'!CU4:CU34,$B21)+COUNTIF('3月'!CV4:CV34,$B21)+COUNTIF('3月'!CZ4:CZ34,$B21)+COUNTIF('3月'!DA4:DA34,$B21)+COUNTIF('3月'!DE4:DE34,$B21)+COUNTIF('3月'!DF4:DF34,$B21)+COUNTIF('3月'!DJ4:DJ34,$B21)+COUNTIF('3月'!DK4:DK34,$B21)+COUNTIF('3月'!DO4:DO34,$B21)+COUNTIF('3月'!DP4:DP34,$B21)+COUNTIF('3月'!DT4:DT34,$B21)+COUNTIF('3月'!DU4:DU34,$B21)+COUNTIF('3月'!DY4:DY34,$B21)+COUNTIF('3月'!DZ4:DZ34,$B21)+COUNTIF('3月'!ED4:ED34,$B21)+COUNTIF('3月'!EE4:EE34,$B21)+COUNTIF('3月'!EI4:EI34,$B21)+COUNTIF('3月'!EJ4:EJ34,$B21)+COUNTIF('3月'!EN4:EN34,$B21)+COUNTIF('3月'!EO4:EO34,$B21)+COUNTIF('3月'!ES4:ES34,$B21)+COUNTIF('3月'!ET4:ET34,$B21)),0)</f>
        <v>0</v>
      </c>
      <c r="F21" s="76">
        <f>IFERROR(IF($B21="","",COUNTIF('4月'!D4:D34,$B21)+COUNTIF('4月'!E4:E34,$B21)+COUNTIF('4月'!I4:I34,$B21)+COUNTIF('4月'!J4:J34,$B21)+COUNTIF('4月'!N4:N34,$B21)+COUNTIF('4月'!O4:O34,$B21)+COUNTIF('4月'!S4:S34,$B21)+COUNTIF('4月'!T4:T34,$B21)+COUNTIF('4月'!X4:X34,$B21)+COUNTIF('4月'!Y4:Y34,$B21)+COUNTIF('4月'!AC4:AC34,$B21)+COUNTIF('4月'!AD4:AD34,$B21)+COUNTIF('4月'!AH4:AH34,$B21)+COUNTIF('4月'!AI4:AI34,$B21)+COUNTIF('4月'!AM4:AM34,$B21)+COUNTIF('4月'!AN4:AN34,$B21)+COUNTIF('4月'!AR4:AR34,$B21)+COUNTIF('4月'!AS4:AS34,$B21)+COUNTIF('4月'!AW4:AW34,$B21)+COUNTIF('4月'!AX4:AX34,$B21)+COUNTIF('4月'!BB4:BB34,$B21)+COUNTIF('4月'!BC4:BC34,$B21)+COUNTIF('4月'!BG4:BG34,$B21)+COUNTIF('4月'!BH4:BH34,$B21)+COUNTIF('4月'!BL4:BL34,$B21)+COUNTIF('4月'!BM4:BM34,$B21)+COUNTIF('4月'!BQ4:BQ34,$B21)+COUNTIF('4月'!BR4:BR34,$B21)+COUNTIF('4月'!BV4:BV34,$B21)+COUNTIF('4月'!BW4:BW34,$B21)+COUNTIF('4月'!CA4:CA34,$B21)+COUNTIF('4月'!CB4:CB34,$B21)+COUNTIF('4月'!CF4:CF34,$B21)+COUNTIF('4月'!CG4:CG34,$B21)+COUNTIF('4月'!CK4:CK34,$B21)+COUNTIF('4月'!CL4:CL34,$B21)+COUNTIF('4月'!CP4:CP34,$B21)+COUNTIF('4月'!CQ4:CQ34,$B21)+COUNTIF('4月'!CU4:CU34,$B21)+COUNTIF('4月'!CV4:CV34,$B21)+COUNTIF('4月'!CZ4:CZ34,$B21)+COUNTIF('4月'!DA4:DA34,$B21)+COUNTIF('4月'!DE4:DE34,$B21)+COUNTIF('4月'!DF4:DF34,$B21)+COUNTIF('4月'!DJ4:DJ34,$B21)+COUNTIF('4月'!DK4:DK34,$B21)+COUNTIF('4月'!DO4:DO34,$B21)+COUNTIF('4月'!DP4:DP34,$B21)+COUNTIF('4月'!DT4:DT34,$B21)+COUNTIF('4月'!DU4:DU34,$B21)+COUNTIF('4月'!DY4:DY34,$B21)+COUNTIF('4月'!DZ4:DZ34,$B21)+COUNTIF('4月'!ED4:ED34,$B21)+COUNTIF('4月'!EE4:EE34,$B21)+COUNTIF('4月'!EI4:EI34,$B21)+COUNTIF('4月'!EJ4:EJ34,$B21)+COUNTIF('4月'!EN4:EN34,$B21)+COUNTIF('4月'!EO4:EO34,$B21)+COUNTIF('4月'!ES4:ES34,$B21)+COUNTIF('4月'!ET4:ET34,$B21)),0)</f>
        <v>0</v>
      </c>
      <c r="G21" s="76">
        <f>IFERROR(IF($B21="","",COUNTIF('5月'!D4:D34,$B21)+COUNTIF('5月'!E4:E34,$B21)+COUNTIF('5月'!I4:I34,$B21)+COUNTIF('5月'!J4:J34,$B21)+COUNTIF('5月'!N4:N34,$B21)+COUNTIF('5月'!O4:O34,$B21)+COUNTIF('5月'!S4:S34,$B21)+COUNTIF('5月'!T4:T34,$B21)+COUNTIF('5月'!X4:X34,$B21)+COUNTIF('5月'!Y4:Y34,$B21)+COUNTIF('5月'!AC4:AC34,$B21)+COUNTIF('5月'!AD4:AD34,$B21)+COUNTIF('5月'!AH4:AH34,$B21)+COUNTIF('5月'!AI4:AI34,$B21)+COUNTIF('5月'!AM4:AM34,$B21)+COUNTIF('5月'!AN4:AN34,$B21)+COUNTIF('5月'!AR4:AR34,$B21)+COUNTIF('5月'!AS4:AS34,$B21)+COUNTIF('5月'!AW4:AW34,$B21)+COUNTIF('5月'!AX4:AX34,$B21)+COUNTIF('5月'!BB4:BB34,$B21)+COUNTIF('5月'!BC4:BC34,$B21)+COUNTIF('5月'!BG4:BG34,$B21)+COUNTIF('5月'!BH4:BH34,$B21)+COUNTIF('5月'!BL4:BL34,$B21)+COUNTIF('5月'!BM4:BM34,$B21)+COUNTIF('5月'!BQ4:BQ34,$B21)+COUNTIF('5月'!BR4:BR34,$B21)+COUNTIF('5月'!BV4:BV34,$B21)+COUNTIF('5月'!BW4:BW34,$B21)+COUNTIF('5月'!CA4:CA34,$B21)+COUNTIF('5月'!CB4:CB34,$B21)+COUNTIF('5月'!CF4:CF34,$B21)+COUNTIF('5月'!CG4:CG34,$B21)+COUNTIF('5月'!CK4:CK34,$B21)+COUNTIF('5月'!CL4:CL34,$B21)+COUNTIF('5月'!CP4:CP34,$B21)+COUNTIF('5月'!CQ4:CQ34,$B21)+COUNTIF('5月'!CU4:CU34,$B21)+COUNTIF('5月'!CV4:CV34,$B21)+COUNTIF('5月'!CZ4:CZ34,$B21)+COUNTIF('5月'!DA4:DA34,$B21)+COUNTIF('5月'!DE4:DE34,$B21)+COUNTIF('5月'!DF4:DF34,$B21)+COUNTIF('5月'!DJ4:DJ34,$B21)+COUNTIF('5月'!DK4:DK34,$B21)+COUNTIF('5月'!DO4:DO34,$B21)+COUNTIF('5月'!DP4:DP34,$B21)+COUNTIF('5月'!DT4:DT34,$B21)+COUNTIF('5月'!DU4:DU34,$B21)+COUNTIF('5月'!DY4:DY34,$B21)+COUNTIF('5月'!DZ4:DZ34,$B21)+COUNTIF('5月'!ED4:ED34,$B21)+COUNTIF('5月'!EE4:EE34,$B21)+COUNTIF('5月'!EI4:EI34,$B21)+COUNTIF('5月'!EJ4:EJ34,$B21)+COUNTIF('5月'!EN4:EN34,$B21)+COUNTIF('5月'!EO4:EO34,$B21)+COUNTIF('5月'!ES4:ES34,$B21)+COUNTIF('5月'!ET4:ET34,$B21)),0)</f>
        <v>0</v>
      </c>
      <c r="H21" s="76">
        <f>IFERROR(IF($B21="","",COUNTIF('6月'!D4:D34,$B21)+COUNTIF('6月'!E4:E34,$B21)+COUNTIF('6月'!I4:I34,$B21)+COUNTIF('6月'!J4:J34,$B21)+COUNTIF('6月'!N4:N34,$B21)+COUNTIF('6月'!O4:O34,$B21)+COUNTIF('6月'!S4:S34,$B21)+COUNTIF('6月'!T4:T34,$B21)+COUNTIF('6月'!X4:X34,$B21)+COUNTIF('6月'!Y4:Y34,$B21)+COUNTIF('6月'!AC4:AC34,$B21)+COUNTIF('6月'!AD4:AD34,$B21)+COUNTIF('6月'!AH4:AH34,$B21)+COUNTIF('6月'!AI4:AI34,$B21)+COUNTIF('6月'!AM4:AM34,$B21)+COUNTIF('6月'!AN4:AN34,$B21)+COUNTIF('6月'!AR4:AR34,$B21)+COUNTIF('6月'!AS4:AS34,$B21)+COUNTIF('6月'!AW4:AW34,$B21)+COUNTIF('6月'!AX4:AX34,$B21)+COUNTIF('6月'!BB4:BB34,$B21)+COUNTIF('6月'!BC4:BC34,$B21)+COUNTIF('6月'!BG4:BG34,$B21)+COUNTIF('6月'!BH4:BH34,$B21)+COUNTIF('6月'!BL4:BL34,$B21)+COUNTIF('6月'!BM4:BM34,$B21)+COUNTIF('6月'!BQ4:BQ34,$B21)+COUNTIF('6月'!BR4:BR34,$B21)+COUNTIF('6月'!BV4:BV34,$B21)+COUNTIF('6月'!BW4:BW34,$B21)+COUNTIF('6月'!CA4:CA34,$B21)+COUNTIF('6月'!CB4:CB34,$B21)+COUNTIF('6月'!CF4:CF34,$B21)+COUNTIF('6月'!CG4:CG34,$B21)+COUNTIF('6月'!CK4:CK34,$B21)+COUNTIF('6月'!CL4:CL34,$B21)+COUNTIF('6月'!CP4:CP34,$B21)+COUNTIF('6月'!CQ4:CQ34,$B21)+COUNTIF('6月'!CU4:CU34,$B21)+COUNTIF('6月'!CV4:CV34,$B21)+COUNTIF('6月'!CZ4:CZ34,$B21)+COUNTIF('6月'!DA4:DA34,$B21)+COUNTIF('6月'!DE4:DE34,$B21)+COUNTIF('6月'!DF4:DF34,$B21)+COUNTIF('6月'!DJ4:DJ34,$B21)+COUNTIF('6月'!DK4:DK34,$B21)+COUNTIF('6月'!DO4:DO34,$B21)+COUNTIF('6月'!DP4:DP34,$B21)+COUNTIF('6月'!DT4:DT34,$B21)+COUNTIF('6月'!DU4:DU34,$B21)+COUNTIF('6月'!DY4:DY34,$B21)+COUNTIF('6月'!DZ4:DZ34,$B21)+COUNTIF('6月'!ED4:ED34,$B21)+COUNTIF('6月'!EE4:EE34,$B21)+COUNTIF('6月'!EI4:EI34,$B21)+COUNTIF('6月'!EJ4:EJ34,$B21)+COUNTIF('6月'!EN4:EN34,$B21)+COUNTIF('6月'!EO4:EO34,$B21)+COUNTIF('6月'!ES4:ES34,$B21)+COUNTIF('6月'!ET4:ET34,$B21)),0)</f>
        <v>0</v>
      </c>
      <c r="I21" s="76">
        <f>IFERROR(IF($B21="","",COUNTIF('7月'!D4:D34,$B21)+COUNTIF('7月'!E4:E34,$B21)+COUNTIF('7月'!I4:I34,$B21)+COUNTIF('7月'!J4:J34,$B21)+COUNTIF('7月'!N4:N34,$B21)+COUNTIF('7月'!O4:O34,$B21)+COUNTIF('7月'!S4:S34,$B21)+COUNTIF('7月'!T4:T34,$B21)+COUNTIF('7月'!X4:X34,$B21)+COUNTIF('7月'!Y4:Y34,$B21)+COUNTIF('7月'!AC4:AC34,$B21)+COUNTIF('7月'!AD4:AD34,$B21)+COUNTIF('7月'!AH4:AH34,$B21)+COUNTIF('7月'!AI4:AI34,$B21)+COUNTIF('7月'!AM4:AM34,$B21)+COUNTIF('7月'!AN4:AN34,$B21)+COUNTIF('7月'!AR4:AR34,$B21)+COUNTIF('7月'!AS4:AS34,$B21)+COUNTIF('7月'!AW4:AW34,$B21)+COUNTIF('7月'!AX4:AX34,$B21)+COUNTIF('7月'!BB4:BB34,$B21)+COUNTIF('7月'!BC4:BC34,$B21)+COUNTIF('7月'!BG4:BG34,$B21)+COUNTIF('7月'!BH4:BH34,$B21)+COUNTIF('7月'!BL4:BL34,$B21)+COUNTIF('7月'!BM4:BM34,$B21)+COUNTIF('7月'!BQ4:BQ34,$B21)+COUNTIF('7月'!BR4:BR34,$B21)+COUNTIF('7月'!BV4:BV34,$B21)+COUNTIF('7月'!BW4:BW34,$B21)+COUNTIF('7月'!CA4:CA34,$B21)+COUNTIF('7月'!CB4:CB34,$B21)+COUNTIF('7月'!CF4:CF34,$B21)+COUNTIF('7月'!CG4:CG34,$B21)+COUNTIF('7月'!CK4:CK34,$B21)+COUNTIF('7月'!CL4:CL34,$B21)+COUNTIF('7月'!CP4:CP34,$B21)+COUNTIF('7月'!CQ4:CQ34,$B21)+COUNTIF('7月'!CU4:CU34,$B21)+COUNTIF('7月'!CV4:CV34,$B21)+COUNTIF('7月'!CZ4:CZ34,$B21)+COUNTIF('7月'!DA4:DA34,$B21)+COUNTIF('7月'!DE4:DE34,$B21)+COUNTIF('7月'!DF4:DF34,$B21)+COUNTIF('7月'!DJ4:DJ34,$B21)+COUNTIF('7月'!DK4:DK34,$B21)+COUNTIF('7月'!DO4:DO34,$B21)+COUNTIF('7月'!DP4:DP34,$B21)+COUNTIF('7月'!DT4:DT34,$B21)+COUNTIF('7月'!DU4:DU34,$B21)+COUNTIF('7月'!DY4:DY34,$B21)+COUNTIF('7月'!DZ4:DZ34,$B21)+COUNTIF('7月'!ED4:ED34,$B21)+COUNTIF('7月'!EE4:EE34,$B21)+COUNTIF('7月'!EI4:EI34,$B21)+COUNTIF('7月'!EJ4:EJ34,$B21)+COUNTIF('7月'!EN4:EN34,$B21)+COUNTIF('7月'!EO4:EO34,$B21)+COUNTIF('7月'!ES4:ES34,$B21)+COUNTIF('7月'!ET4:ET34,$B21)),0)</f>
        <v>0</v>
      </c>
      <c r="J21" s="76">
        <f>IFERROR(IF($B21="","",COUNTIF('8月'!D4:D34,$B21)+COUNTIF('8月'!E4:E34,$B21)+COUNTIF('8月'!I4:I34,$B21)+COUNTIF('8月'!J4:J34,$B21)+COUNTIF('8月'!N4:N34,$B21)+COUNTIF('8月'!O4:O34,$B21)+COUNTIF('8月'!S4:S34,$B21)+COUNTIF('8月'!T4:T34,$B21)+COUNTIF('8月'!X4:X34,$B21)+COUNTIF('8月'!Y4:Y34,$B21)+COUNTIF('8月'!AC4:AC34,$B21)+COUNTIF('8月'!AD4:AD34,$B21)+COUNTIF('8月'!AH4:AH34,$B21)+COUNTIF('8月'!AI4:AI34,$B21)+COUNTIF('8月'!AM4:AM34,$B21)+COUNTIF('8月'!AN4:AN34,$B21)+COUNTIF('8月'!AR4:AR34,$B21)+COUNTIF('8月'!AS4:AS34,$B21)+COUNTIF('8月'!AW4:AW34,$B21)+COUNTIF('8月'!AX4:AX34,$B21)+COUNTIF('8月'!BB4:BB34,$B21)+COUNTIF('8月'!BC4:BC34,$B21)+COUNTIF('8月'!BG4:BG34,$B21)+COUNTIF('8月'!BH4:BH34,$B21)+COUNTIF('8月'!BL4:BL34,$B21)+COUNTIF('8月'!BM4:BM34,$B21)+COUNTIF('8月'!BQ4:BQ34,$B21)+COUNTIF('8月'!BR4:BR34,$B21)+COUNTIF('8月'!BV4:BV34,$B21)+COUNTIF('8月'!BW4:BW34,$B21)+COUNTIF('8月'!CA4:CA34,$B21)+COUNTIF('8月'!CB4:CB34,$B21)+COUNTIF('8月'!CF4:CF34,$B21)+COUNTIF('8月'!CG4:CG34,$B21)+COUNTIF('8月'!CK4:CK34,$B21)+COUNTIF('8月'!CL4:CL34,$B21)+COUNTIF('8月'!CP4:CP34,$B21)+COUNTIF('8月'!CQ4:CQ34,$B21)+COUNTIF('8月'!CU4:CU34,$B21)+COUNTIF('8月'!CV4:CV34,$B21)+COUNTIF('8月'!CZ4:CZ34,$B21)+COUNTIF('8月'!DA4:DA34,$B21)+COUNTIF('8月'!DE4:DE34,$B21)+COUNTIF('8月'!DF4:DF34,$B21)+COUNTIF('8月'!DJ4:DJ34,$B21)+COUNTIF('8月'!DK4:DK34,$B21)+COUNTIF('8月'!DO4:DO34,$B21)+COUNTIF('8月'!DP4:DP34,$B21)+COUNTIF('8月'!DT4:DT34,$B21)+COUNTIF('8月'!DU4:DU34,$B21)+COUNTIF('8月'!DY4:DY34,$B21)+COUNTIF('8月'!DZ4:DZ34,$B21)+COUNTIF('8月'!ED4:ED34,$B21)+COUNTIF('8月'!EE4:EE34,$B21)+COUNTIF('8月'!EI4:EI34,$B21)+COUNTIF('8月'!EJ4:EJ34,$B21)+COUNTIF('8月'!EN4:EN34,$B21)+COUNTIF('8月'!EO4:EO34,$B21)+COUNTIF('8月'!ES4:ES34,$B21)+COUNTIF('8月'!ET4:ET34,$B21)),0)</f>
        <v>0</v>
      </c>
      <c r="K21" s="76">
        <f>IFERROR(IF($B21="","",COUNTIF('9月'!D4:D34,$B21)+COUNTIF('9月'!E4:E34,$B21)+COUNTIF('9月'!I4:I34,$B21)+COUNTIF('9月'!J4:J34,$B21)+COUNTIF('9月'!N4:N34,$B21)+COUNTIF('9月'!O4:O34,$B21)+COUNTIF('9月'!S4:S34,$B21)+COUNTIF('9月'!T4:T34,$B21)+COUNTIF('9月'!X4:X34,$B21)+COUNTIF('9月'!Y4:Y34,$B21)+COUNTIF('9月'!AC4:AC34,$B21)+COUNTIF('9月'!AD4:AD34,$B21)+COUNTIF('9月'!AH4:AH34,$B21)+COUNTIF('9月'!AI4:AI34,$B21)+COUNTIF('9月'!AM4:AM34,$B21)+COUNTIF('9月'!AN4:AN34,$B21)+COUNTIF('9月'!AR4:AR34,$B21)+COUNTIF('9月'!AS4:AS34,$B21)+COUNTIF('9月'!AW4:AW34,$B21)+COUNTIF('9月'!AX4:AX34,$B21)+COUNTIF('9月'!BB4:BB34,$B21)+COUNTIF('9月'!BC4:BC34,$B21)+COUNTIF('9月'!BG4:BG34,$B21)+COUNTIF('9月'!BH4:BH34,$B21)+COUNTIF('9月'!BL4:BL34,$B21)+COUNTIF('9月'!BM4:BM34,$B21)+COUNTIF('9月'!BQ4:BQ34,$B21)+COUNTIF('9月'!BR4:BR34,$B21)+COUNTIF('9月'!BV4:BV34,$B21)+COUNTIF('9月'!BW4:BW34,$B21)+COUNTIF('9月'!CA4:CA34,$B21)+COUNTIF('9月'!CB4:CB34,$B21)+COUNTIF('9月'!CF4:CF34,$B21)+COUNTIF('9月'!CG4:CG34,$B21)+COUNTIF('9月'!CK4:CK34,$B21)+COUNTIF('9月'!CL4:CL34,$B21)+COUNTIF('9月'!CP4:CP34,$B21)+COUNTIF('9月'!CQ4:CQ34,$B21)+COUNTIF('9月'!CU4:CU34,$B21)+COUNTIF('9月'!CV4:CV34,$B21)+COUNTIF('9月'!CZ4:CZ34,$B21)+COUNTIF('9月'!DA4:DA34,$B21)+COUNTIF('9月'!DE4:DE34,$B21)+COUNTIF('9月'!DF4:DF34,$B21)+COUNTIF('9月'!DJ4:DJ34,$B21)+COUNTIF('9月'!DK4:DK34,$B21)+COUNTIF('9月'!DO4:DO34,$B21)+COUNTIF('9月'!DP4:DP34,$B21)+COUNTIF('9月'!DT4:DT34,$B21)+COUNTIF('9月'!DU4:DU34,$B21)+COUNTIF('9月'!DY4:DY34,$B21)+COUNTIF('9月'!DZ4:DZ34,$B21)+COUNTIF('9月'!ED4:ED34,$B21)+COUNTIF('9月'!EE4:EE34,$B21)+COUNTIF('9月'!EI4:EI34,$B21)+COUNTIF('9月'!EJ4:EJ34,$B21)+COUNTIF('9月'!EN4:EN34,$B21)+COUNTIF('9月'!EO4:EO34,$B21)+COUNTIF('9月'!ES4:ES34,$B21)+COUNTIF('9月'!ET4:ET34,$B21)),0)</f>
        <v>0</v>
      </c>
      <c r="L21" s="76">
        <f>IFERROR(IF($B21="","",COUNTIF('10月'!D4:D34,$B21)+COUNTIF('10月'!E4:E34,$B21)+COUNTIF('10月'!I4:I34,$B21)+COUNTIF('10月'!J4:J34,$B21)+COUNTIF('10月'!N4:N34,$B21)+COUNTIF('10月'!O4:O34,$B21)+COUNTIF('10月'!S4:S34,$B21)+COUNTIF('10月'!T4:T34,$B21)+COUNTIF('10月'!X4:X34,$B21)+COUNTIF('10月'!Y4:Y34,$B21)+COUNTIF('10月'!AC4:AC34,$B21)+COUNTIF('10月'!AD4:AD34,$B21)+COUNTIF('10月'!AH4:AH34,$B21)+COUNTIF('10月'!AI4:AI34,$B21)+COUNTIF('10月'!AM4:AM34,$B21)+COUNTIF('10月'!AN4:AN34,$B21)+COUNTIF('10月'!AR4:AR34,$B21)+COUNTIF('10月'!AS4:AS34,$B21)+COUNTIF('10月'!AW4:AW34,$B21)+COUNTIF('10月'!AX4:AX34,$B21)+COUNTIF('10月'!BB4:BB34,$B21)+COUNTIF('10月'!BC4:BC34,$B21)+COUNTIF('10月'!BG4:BG34,$B21)+COUNTIF('10月'!BH4:BH34,$B21)+COUNTIF('10月'!BL4:BL34,$B21)+COUNTIF('10月'!BM4:BM34,$B21)+COUNTIF('10月'!BQ4:BQ34,$B21)+COUNTIF('10月'!BR4:BR34,$B21)+COUNTIF('10月'!BV4:BV34,$B21)+COUNTIF('10月'!BW4:BW34,$B21)+COUNTIF('10月'!CA4:CA34,$B21)+COUNTIF('10月'!CB4:CB34,$B21)+COUNTIF('10月'!CF4:CF34,$B21)+COUNTIF('10月'!CG4:CG34,$B21)+COUNTIF('10月'!CK4:CK34,$B21)+COUNTIF('10月'!CL4:CL34,$B21)+COUNTIF('10月'!CP4:CP34,$B21)+COUNTIF('10月'!CQ4:CQ34,$B21)+COUNTIF('10月'!CU4:CU34,$B21)+COUNTIF('10月'!CV4:CV34,$B21)+COUNTIF('10月'!CZ4:CZ34,$B21)+COUNTIF('10月'!DA4:DA34,$B21)+COUNTIF('10月'!DE4:DE34,$B21)+COUNTIF('10月'!DF4:DF34,$B21)+COUNTIF('10月'!DJ4:DJ34,$B21)+COUNTIF('10月'!DK4:DK34,$B21)+COUNTIF('10月'!DO4:DO34,$B21)+COUNTIF('10月'!DP4:DP34,$B21)+COUNTIF('10月'!DT4:DT34,$B21)+COUNTIF('10月'!DU4:DU34,$B21)+COUNTIF('10月'!DY4:DY34,$B21)+COUNTIF('10月'!DZ4:DZ34,$B21)+COUNTIF('10月'!ED4:ED34,$B21)+COUNTIF('10月'!EE4:EE34,$B21)+COUNTIF('10月'!EI4:EI34,$B21)+COUNTIF('10月'!EJ4:EJ34,$B21)+COUNTIF('10月'!EN4:EN34,$B21)+COUNTIF('10月'!EO4:EO34,$B21)+COUNTIF('10月'!ES4:ES34,$B21)+COUNTIF('10月'!ET4:ET34,$B21)),0)</f>
        <v>0</v>
      </c>
      <c r="M21" s="76">
        <f>IFERROR(IF($B21="","",COUNTIF('11月'!D4:D34,$B21)+COUNTIF('11月'!E4:E34,$B21)+COUNTIF('11月'!I4:I34,$B21)+COUNTIF('11月'!J4:J34,$B21)+COUNTIF('11月'!N4:N34,$B21)+COUNTIF('11月'!O4:O34,$B21)+COUNTIF('11月'!S4:S34,$B21)+COUNTIF('11月'!T4:T34,$B21)+COUNTIF('11月'!X4:X34,$B21)+COUNTIF('11月'!Y4:Y34,$B21)+COUNTIF('11月'!AC4:AC34,$B21)+COUNTIF('11月'!AD4:AD34,$B21)+COUNTIF('11月'!AH4:AH34,$B21)+COUNTIF('11月'!AI4:AI34,$B21)+COUNTIF('11月'!AM4:AM34,$B21)+COUNTIF('11月'!AN4:AN34,$B21)+COUNTIF('11月'!AR4:AR34,$B21)+COUNTIF('11月'!AS4:AS34,$B21)+COUNTIF('11月'!AW4:AW34,$B21)+COUNTIF('11月'!AX4:AX34,$B21)+COUNTIF('11月'!BB4:BB34,$B21)+COUNTIF('11月'!BC4:BC34,$B21)+COUNTIF('11月'!BG4:BG34,$B21)+COUNTIF('11月'!BH4:BH34,$B21)+COUNTIF('11月'!BL4:BL34,$B21)+COUNTIF('11月'!BM4:BM34,$B21)+COUNTIF('11月'!BQ4:BQ34,$B21)+COUNTIF('11月'!BR4:BR34,$B21)+COUNTIF('11月'!BV4:BV34,$B21)+COUNTIF('11月'!BW4:BW34,$B21)+COUNTIF('11月'!CA4:CA34,$B21)+COUNTIF('11月'!CB4:CB34,$B21)+COUNTIF('11月'!CF4:CF34,$B21)+COUNTIF('11月'!CG4:CG34,$B21)+COUNTIF('11月'!CK4:CK34,$B21)+COUNTIF('11月'!CL4:CL34,$B21)+COUNTIF('11月'!CP4:CP34,$B21)+COUNTIF('11月'!CQ4:CQ34,$B21)+COUNTIF('11月'!CU4:CU34,$B21)+COUNTIF('11月'!CV4:CV34,$B21)+COUNTIF('11月'!CZ4:CZ34,$B21)+COUNTIF('11月'!DA4:DA34,$B21)+COUNTIF('11月'!DE4:DE34,$B21)+COUNTIF('11月'!DF4:DF34,$B21)+COUNTIF('11月'!DJ4:DJ34,$B21)+COUNTIF('11月'!DK4:DK34,$B21)+COUNTIF('11月'!DO4:DO34,$B21)+COUNTIF('11月'!DP4:DP34,$B21)+COUNTIF('11月'!DT4:DT34,$B21)+COUNTIF('11月'!DU4:DU34,$B21)+COUNTIF('11月'!DY4:DY34,$B21)+COUNTIF('11月'!DZ4:DZ34,$B21)+COUNTIF('11月'!ED4:ED34,$B21)+COUNTIF('11月'!EE4:EE34,$B21)+COUNTIF('11月'!EI4:EI34,$B21)+COUNTIF('11月'!EJ4:EJ34,$B21)+COUNTIF('11月'!EN4:EN34,$B21)+COUNTIF('11月'!EO4:EO34,$B21)+COUNTIF('11月'!ES4:ES34,$B21)+COUNTIF('11月'!ET4:ET34,$B21)),0)</f>
        <v>0</v>
      </c>
      <c r="N21" s="76">
        <f>IFERROR(IF($B21="","",COUNTIF('12月'!D4:D34,$B21)+COUNTIF('12月'!E4:E34,$B21)+COUNTIF('12月'!I4:I34,$B21)+COUNTIF('12月'!J4:J34,$B21)+COUNTIF('12月'!N4:N34,$B21)+COUNTIF('12月'!O4:O34,$B21)+COUNTIF('12月'!S4:S34,$B21)+COUNTIF('12月'!T4:T34,$B21)+COUNTIF('12月'!X4:X34,$B21)+COUNTIF('12月'!Y4:Y34,$B21)+COUNTIF('12月'!AC4:AC34,$B21)+COUNTIF('12月'!AD4:AD34,$B21)+COUNTIF('12月'!AH4:AH34,$B21)+COUNTIF('12月'!AI4:AI34,$B21)+COUNTIF('12月'!AM4:AM34,$B21)+COUNTIF('12月'!AN4:AN34,$B21)+COUNTIF('12月'!AR4:AR34,$B21)+COUNTIF('12月'!AS4:AS34,$B21)+COUNTIF('12月'!AW4:AW34,$B21)+COUNTIF('12月'!AX4:AX34,$B21)+COUNTIF('12月'!BB4:BB34,$B21)+COUNTIF('12月'!BC4:BC34,$B21)+COUNTIF('12月'!BG4:BG34,$B21)+COUNTIF('12月'!BH4:BH34,$B21)+COUNTIF('12月'!BL4:BL34,$B21)+COUNTIF('12月'!BM4:BM34,$B21)+COUNTIF('12月'!BQ4:BQ34,$B21)+COUNTIF('12月'!BR4:BR34,$B21)+COUNTIF('12月'!BV4:BV34,$B21)+COUNTIF('12月'!BW4:BW34,$B21)+COUNTIF('12月'!CA4:CA34,$B21)+COUNTIF('12月'!CB4:CB34,$B21)+COUNTIF('12月'!CF4:CF34,$B21)+COUNTIF('12月'!CG4:CG34,$B21)+COUNTIF('12月'!CK4:CK34,$B21)+COUNTIF('12月'!CL4:CL34,$B21)+COUNTIF('12月'!CP4:CP34,$B21)+COUNTIF('12月'!CQ4:CQ34,$B21)+COUNTIF('12月'!CU4:CU34,$B21)+COUNTIF('12月'!CV4:CV34,$B21)+COUNTIF('12月'!CZ4:CZ34,$B21)+COUNTIF('12月'!DA4:DA34,$B21)+COUNTIF('12月'!DE4:DE34,$B21)+COUNTIF('12月'!DF4:DF34,$B21)+COUNTIF('12月'!DJ4:DJ34,$B21)+COUNTIF('12月'!DK4:DK34,$B21)+COUNTIF('12月'!DO4:DO34,$B21)+COUNTIF('12月'!DP4:DP34,$B21)+COUNTIF('12月'!DT4:DT34,$B21)+COUNTIF('12月'!DU4:DU34,$B21)+COUNTIF('12月'!DY4:DY34,$B21)+COUNTIF('12月'!DZ4:DZ34,$B21)+COUNTIF('12月'!ED4:ED34,$B21)+COUNTIF('12月'!EE4:EE34,$B21)+COUNTIF('12月'!EI4:EI34,$B21)+COUNTIF('12月'!EJ4:EJ34,$B21)+COUNTIF('12月'!EN4:EN34,$B21)+COUNTIF('12月'!EO4:EO34,$B21)+COUNTIF('12月'!ES4:ES34,$B21)+COUNTIF('12月'!ET4:ET34,$B21)),0)</f>
        <v>0</v>
      </c>
      <c r="O21" s="78">
        <f t="shared" si="0"/>
        <v>0</v>
      </c>
    </row>
    <row r="22" spans="1:15" ht="19.5" customHeight="1">
      <c r="A22" s="76">
        <v>20</v>
      </c>
      <c r="B22" s="77">
        <f>IFERROR(現場マスタ!$C$23,"")</f>
        <v>0</v>
      </c>
      <c r="C22" s="76">
        <f>IFERROR(IF($B22="","",COUNTIF('1月'!D4:D34,$B22)+COUNTIF('1月'!E4:E34,$B22)+COUNTIF('1月'!I4:I34,$B22)+COUNTIF('1月'!J4:J34,$B22)+COUNTIF('1月'!N4:N34,$B22)+COUNTIF('1月'!O4:O34,$B22)+COUNTIF('1月'!S4:S34,$B22)+COUNTIF('1月'!T4:T34,$B22)+COUNTIF('1月'!X4:X34,$B22)+COUNTIF('1月'!Y4:Y34,$B22)+COUNTIF('1月'!AC4:AC34,$B22)+COUNTIF('1月'!AD4:AD34,$B22)+COUNTIF('1月'!AH4:AH34,$B22)+COUNTIF('1月'!AI4:AI34,$B22)+COUNTIF('1月'!AM4:AM34,$B22)+COUNTIF('1月'!AN4:AN34,$B22)+COUNTIF('1月'!AR4:AR34,$B22)+COUNTIF('1月'!AS4:AS34,$B22)+COUNTIF('1月'!AW4:AW34,$B22)+COUNTIF('1月'!AX4:AX34,$B22)+COUNTIF('1月'!BB4:BB34,$B22)+COUNTIF('1月'!BC4:BC34,$B22)+COUNTIF('1月'!BG4:BG34,$B22)+COUNTIF('1月'!BH4:BH34,$B22)+COUNTIF('1月'!BL4:BL34,$B22)+COUNTIF('1月'!BM4:BM34,$B22)+COUNTIF('1月'!BQ4:BQ34,$B22)+COUNTIF('1月'!BR4:BR34,$B22)+COUNTIF('1月'!BV4:BV34,$B22)+COUNTIF('1月'!BW4:BW34,$B22)+COUNTIF('1月'!CA4:CA34,$B22)+COUNTIF('1月'!CB4:CB34,$B22)+COUNTIF('1月'!CF4:CF34,$B22)+COUNTIF('1月'!CG4:CG34,$B22)+COUNTIF('1月'!CK4:CK34,$B22)+COUNTIF('1月'!CL4:CL34,$B22)+COUNTIF('1月'!CP4:CP34,$B22)+COUNTIF('1月'!CQ4:CQ34,$B22)+COUNTIF('1月'!CU4:CU34,$B22)+COUNTIF('1月'!CV4:CV34,$B22)+COUNTIF('1月'!CZ4:CZ34,$B22)+COUNTIF('1月'!DA4:DA34,$B22)+COUNTIF('1月'!DE4:DE34,$B22)+COUNTIF('1月'!DF4:DF34,$B22)+COUNTIF('1月'!DJ4:DJ34,$B22)+COUNTIF('1月'!DK4:DK34,$B22)+COUNTIF('1月'!DO4:DO34,$B22)+COUNTIF('1月'!DP4:DP34,$B22)+COUNTIF('1月'!DT4:DT34,$B22)+COUNTIF('1月'!DU4:DU34,$B22)+COUNTIF('1月'!DY4:DY34,$B22)+COUNTIF('1月'!DZ4:DZ34,$B22)+COUNTIF('1月'!ED4:ED34,$B22)+COUNTIF('1月'!EE4:EE34,$B22)+COUNTIF('1月'!EI4:EI34,$B22)+COUNTIF('1月'!EJ4:EJ34,$B22)+COUNTIF('1月'!EN4:EN34,$B22)+COUNTIF('1月'!EO4:EO34,$B22)+COUNTIF('1月'!ES4:ES34,$B22)+COUNTIF('1月'!ET4:ET34,$B22)),0)</f>
        <v>0</v>
      </c>
      <c r="D22" s="76">
        <f>IFERROR(IF($B22="","",COUNTIF('2月'!D4:D34,$B22)+COUNTIF('2月'!E4:E34,$B22)+COUNTIF('2月'!I4:I34,$B22)+COUNTIF('2月'!J4:J34,$B22)+COUNTIF('2月'!N4:N34,$B22)+COUNTIF('2月'!O4:O34,$B22)+COUNTIF('2月'!S4:S34,$B22)+COUNTIF('2月'!T4:T34,$B22)+COUNTIF('2月'!X4:X34,$B22)+COUNTIF('2月'!Y4:Y34,$B22)+COUNTIF('2月'!AC4:AC34,$B22)+COUNTIF('2月'!AD4:AD34,$B22)+COUNTIF('2月'!AH4:AH34,$B22)+COUNTIF('2月'!AI4:AI34,$B22)+COUNTIF('2月'!AM4:AM34,$B22)+COUNTIF('2月'!AN4:AN34,$B22)+COUNTIF('2月'!AR4:AR34,$B22)+COUNTIF('2月'!AS4:AS34,$B22)+COUNTIF('2月'!AW4:AW34,$B22)+COUNTIF('2月'!AX4:AX34,$B22)+COUNTIF('2月'!BB4:BB34,$B22)+COUNTIF('2月'!BC4:BC34,$B22)+COUNTIF('2月'!BG4:BG34,$B22)+COUNTIF('2月'!BH4:BH34,$B22)+COUNTIF('2月'!BL4:BL34,$B22)+COUNTIF('2月'!BM4:BM34,$B22)+COUNTIF('2月'!BQ4:BQ34,$B22)+COUNTIF('2月'!BR4:BR34,$B22)+COUNTIF('2月'!BV4:BV34,$B22)+COUNTIF('2月'!BW4:BW34,$B22)+COUNTIF('2月'!CA4:CA34,$B22)+COUNTIF('2月'!CB4:CB34,$B22)+COUNTIF('2月'!CF4:CF34,$B22)+COUNTIF('2月'!CG4:CG34,$B22)+COUNTIF('2月'!CK4:CK34,$B22)+COUNTIF('2月'!CL4:CL34,$B22)+COUNTIF('2月'!CP4:CP34,$B22)+COUNTIF('2月'!CQ4:CQ34,$B22)+COUNTIF('2月'!CU4:CU34,$B22)+COUNTIF('2月'!CV4:CV34,$B22)+COUNTIF('2月'!CZ4:CZ34,$B22)+COUNTIF('2月'!DA4:DA34,$B22)+COUNTIF('2月'!DE4:DE34,$B22)+COUNTIF('2月'!DF4:DF34,$B22)+COUNTIF('2月'!DJ4:DJ34,$B22)+COUNTIF('2月'!DK4:DK34,$B22)+COUNTIF('2月'!DO4:DO34,$B22)+COUNTIF('2月'!DP4:DP34,$B22)+COUNTIF('2月'!DT4:DT34,$B22)+COUNTIF('2月'!DU4:DU34,$B22)+COUNTIF('2月'!DY4:DY34,$B22)+COUNTIF('2月'!DZ4:DZ34,$B22)+COUNTIF('2月'!ED4:ED34,$B22)+COUNTIF('2月'!EE4:EE34,$B22)+COUNTIF('2月'!EI4:EI34,$B22)+COUNTIF('2月'!EJ4:EJ34,$B22)+COUNTIF('2月'!EN4:EN34,$B22)+COUNTIF('2月'!EO4:EO34,$B22)+COUNTIF('2月'!ES4:ES34,$B22)+COUNTIF('2月'!ET4:ET34,$B22)),0)</f>
        <v>0</v>
      </c>
      <c r="E22" s="76">
        <f>IFERROR(IF($B22="","",COUNTIF('3月'!D4:D34,$B22)+COUNTIF('3月'!E4:E34,$B22)+COUNTIF('3月'!I4:I34,$B22)+COUNTIF('3月'!J4:J34,$B22)+COUNTIF('3月'!N4:N34,$B22)+COUNTIF('3月'!O4:O34,$B22)+COUNTIF('3月'!S4:S34,$B22)+COUNTIF('3月'!T4:T34,$B22)+COUNTIF('3月'!X4:X34,$B22)+COUNTIF('3月'!Y4:Y34,$B22)+COUNTIF('3月'!AC4:AC34,$B22)+COUNTIF('3月'!AD4:AD34,$B22)+COUNTIF('3月'!AH4:AH34,$B22)+COUNTIF('3月'!AI4:AI34,$B22)+COUNTIF('3月'!AM4:AM34,$B22)+COUNTIF('3月'!AN4:AN34,$B22)+COUNTIF('3月'!AR4:AR34,$B22)+COUNTIF('3月'!AS4:AS34,$B22)+COUNTIF('3月'!AW4:AW34,$B22)+COUNTIF('3月'!AX4:AX34,$B22)+COUNTIF('3月'!BB4:BB34,$B22)+COUNTIF('3月'!BC4:BC34,$B22)+COUNTIF('3月'!BG4:BG34,$B22)+COUNTIF('3月'!BH4:BH34,$B22)+COUNTIF('3月'!BL4:BL34,$B22)+COUNTIF('3月'!BM4:BM34,$B22)+COUNTIF('3月'!BQ4:BQ34,$B22)+COUNTIF('3月'!BR4:BR34,$B22)+COUNTIF('3月'!BV4:BV34,$B22)+COUNTIF('3月'!BW4:BW34,$B22)+COUNTIF('3月'!CA4:CA34,$B22)+COUNTIF('3月'!CB4:CB34,$B22)+COUNTIF('3月'!CF4:CF34,$B22)+COUNTIF('3月'!CG4:CG34,$B22)+COUNTIF('3月'!CK4:CK34,$B22)+COUNTIF('3月'!CL4:CL34,$B22)+COUNTIF('3月'!CP4:CP34,$B22)+COUNTIF('3月'!CQ4:CQ34,$B22)+COUNTIF('3月'!CU4:CU34,$B22)+COUNTIF('3月'!CV4:CV34,$B22)+COUNTIF('3月'!CZ4:CZ34,$B22)+COUNTIF('3月'!DA4:DA34,$B22)+COUNTIF('3月'!DE4:DE34,$B22)+COUNTIF('3月'!DF4:DF34,$B22)+COUNTIF('3月'!DJ4:DJ34,$B22)+COUNTIF('3月'!DK4:DK34,$B22)+COUNTIF('3月'!DO4:DO34,$B22)+COUNTIF('3月'!DP4:DP34,$B22)+COUNTIF('3月'!DT4:DT34,$B22)+COUNTIF('3月'!DU4:DU34,$B22)+COUNTIF('3月'!DY4:DY34,$B22)+COUNTIF('3月'!DZ4:DZ34,$B22)+COUNTIF('3月'!ED4:ED34,$B22)+COUNTIF('3月'!EE4:EE34,$B22)+COUNTIF('3月'!EI4:EI34,$B22)+COUNTIF('3月'!EJ4:EJ34,$B22)+COUNTIF('3月'!EN4:EN34,$B22)+COUNTIF('3月'!EO4:EO34,$B22)+COUNTIF('3月'!ES4:ES34,$B22)+COUNTIF('3月'!ET4:ET34,$B22)),0)</f>
        <v>0</v>
      </c>
      <c r="F22" s="76">
        <f>IFERROR(IF($B22="","",COUNTIF('4月'!D4:D34,$B22)+COUNTIF('4月'!E4:E34,$B22)+COUNTIF('4月'!I4:I34,$B22)+COUNTIF('4月'!J4:J34,$B22)+COUNTIF('4月'!N4:N34,$B22)+COUNTIF('4月'!O4:O34,$B22)+COUNTIF('4月'!S4:S34,$B22)+COUNTIF('4月'!T4:T34,$B22)+COUNTIF('4月'!X4:X34,$B22)+COUNTIF('4月'!Y4:Y34,$B22)+COUNTIF('4月'!AC4:AC34,$B22)+COUNTIF('4月'!AD4:AD34,$B22)+COUNTIF('4月'!AH4:AH34,$B22)+COUNTIF('4月'!AI4:AI34,$B22)+COUNTIF('4月'!AM4:AM34,$B22)+COUNTIF('4月'!AN4:AN34,$B22)+COUNTIF('4月'!AR4:AR34,$B22)+COUNTIF('4月'!AS4:AS34,$B22)+COUNTIF('4月'!AW4:AW34,$B22)+COUNTIF('4月'!AX4:AX34,$B22)+COUNTIF('4月'!BB4:BB34,$B22)+COUNTIF('4月'!BC4:BC34,$B22)+COUNTIF('4月'!BG4:BG34,$B22)+COUNTIF('4月'!BH4:BH34,$B22)+COUNTIF('4月'!BL4:BL34,$B22)+COUNTIF('4月'!BM4:BM34,$B22)+COUNTIF('4月'!BQ4:BQ34,$B22)+COUNTIF('4月'!BR4:BR34,$B22)+COUNTIF('4月'!BV4:BV34,$B22)+COUNTIF('4月'!BW4:BW34,$B22)+COUNTIF('4月'!CA4:CA34,$B22)+COUNTIF('4月'!CB4:CB34,$B22)+COUNTIF('4月'!CF4:CF34,$B22)+COUNTIF('4月'!CG4:CG34,$B22)+COUNTIF('4月'!CK4:CK34,$B22)+COUNTIF('4月'!CL4:CL34,$B22)+COUNTIF('4月'!CP4:CP34,$B22)+COUNTIF('4月'!CQ4:CQ34,$B22)+COUNTIF('4月'!CU4:CU34,$B22)+COUNTIF('4月'!CV4:CV34,$B22)+COUNTIF('4月'!CZ4:CZ34,$B22)+COUNTIF('4月'!DA4:DA34,$B22)+COUNTIF('4月'!DE4:DE34,$B22)+COUNTIF('4月'!DF4:DF34,$B22)+COUNTIF('4月'!DJ4:DJ34,$B22)+COUNTIF('4月'!DK4:DK34,$B22)+COUNTIF('4月'!DO4:DO34,$B22)+COUNTIF('4月'!DP4:DP34,$B22)+COUNTIF('4月'!DT4:DT34,$B22)+COUNTIF('4月'!DU4:DU34,$B22)+COUNTIF('4月'!DY4:DY34,$B22)+COUNTIF('4月'!DZ4:DZ34,$B22)+COUNTIF('4月'!ED4:ED34,$B22)+COUNTIF('4月'!EE4:EE34,$B22)+COUNTIF('4月'!EI4:EI34,$B22)+COUNTIF('4月'!EJ4:EJ34,$B22)+COUNTIF('4月'!EN4:EN34,$B22)+COUNTIF('4月'!EO4:EO34,$B22)+COUNTIF('4月'!ES4:ES34,$B22)+COUNTIF('4月'!ET4:ET34,$B22)),0)</f>
        <v>0</v>
      </c>
      <c r="G22" s="76">
        <f>IFERROR(IF($B22="","",COUNTIF('5月'!D4:D34,$B22)+COUNTIF('5月'!E4:E34,$B22)+COUNTIF('5月'!I4:I34,$B22)+COUNTIF('5月'!J4:J34,$B22)+COUNTIF('5月'!N4:N34,$B22)+COUNTIF('5月'!O4:O34,$B22)+COUNTIF('5月'!S4:S34,$B22)+COUNTIF('5月'!T4:T34,$B22)+COUNTIF('5月'!X4:X34,$B22)+COUNTIF('5月'!Y4:Y34,$B22)+COUNTIF('5月'!AC4:AC34,$B22)+COUNTIF('5月'!AD4:AD34,$B22)+COUNTIF('5月'!AH4:AH34,$B22)+COUNTIF('5月'!AI4:AI34,$B22)+COUNTIF('5月'!AM4:AM34,$B22)+COUNTIF('5月'!AN4:AN34,$B22)+COUNTIF('5月'!AR4:AR34,$B22)+COUNTIF('5月'!AS4:AS34,$B22)+COUNTIF('5月'!AW4:AW34,$B22)+COUNTIF('5月'!AX4:AX34,$B22)+COUNTIF('5月'!BB4:BB34,$B22)+COUNTIF('5月'!BC4:BC34,$B22)+COUNTIF('5月'!BG4:BG34,$B22)+COUNTIF('5月'!BH4:BH34,$B22)+COUNTIF('5月'!BL4:BL34,$B22)+COUNTIF('5月'!BM4:BM34,$B22)+COUNTIF('5月'!BQ4:BQ34,$B22)+COUNTIF('5月'!BR4:BR34,$B22)+COUNTIF('5月'!BV4:BV34,$B22)+COUNTIF('5月'!BW4:BW34,$B22)+COUNTIF('5月'!CA4:CA34,$B22)+COUNTIF('5月'!CB4:CB34,$B22)+COUNTIF('5月'!CF4:CF34,$B22)+COUNTIF('5月'!CG4:CG34,$B22)+COUNTIF('5月'!CK4:CK34,$B22)+COUNTIF('5月'!CL4:CL34,$B22)+COUNTIF('5月'!CP4:CP34,$B22)+COUNTIF('5月'!CQ4:CQ34,$B22)+COUNTIF('5月'!CU4:CU34,$B22)+COUNTIF('5月'!CV4:CV34,$B22)+COUNTIF('5月'!CZ4:CZ34,$B22)+COUNTIF('5月'!DA4:DA34,$B22)+COUNTIF('5月'!DE4:DE34,$B22)+COUNTIF('5月'!DF4:DF34,$B22)+COUNTIF('5月'!DJ4:DJ34,$B22)+COUNTIF('5月'!DK4:DK34,$B22)+COUNTIF('5月'!DO4:DO34,$B22)+COUNTIF('5月'!DP4:DP34,$B22)+COUNTIF('5月'!DT4:DT34,$B22)+COUNTIF('5月'!DU4:DU34,$B22)+COUNTIF('5月'!DY4:DY34,$B22)+COUNTIF('5月'!DZ4:DZ34,$B22)+COUNTIF('5月'!ED4:ED34,$B22)+COUNTIF('5月'!EE4:EE34,$B22)+COUNTIF('5月'!EI4:EI34,$B22)+COUNTIF('5月'!EJ4:EJ34,$B22)+COUNTIF('5月'!EN4:EN34,$B22)+COUNTIF('5月'!EO4:EO34,$B22)+COUNTIF('5月'!ES4:ES34,$B22)+COUNTIF('5月'!ET4:ET34,$B22)),0)</f>
        <v>0</v>
      </c>
      <c r="H22" s="76">
        <f>IFERROR(IF($B22="","",COUNTIF('6月'!D4:D34,$B22)+COUNTIF('6月'!E4:E34,$B22)+COUNTIF('6月'!I4:I34,$B22)+COUNTIF('6月'!J4:J34,$B22)+COUNTIF('6月'!N4:N34,$B22)+COUNTIF('6月'!O4:O34,$B22)+COUNTIF('6月'!S4:S34,$B22)+COUNTIF('6月'!T4:T34,$B22)+COUNTIF('6月'!X4:X34,$B22)+COUNTIF('6月'!Y4:Y34,$B22)+COUNTIF('6月'!AC4:AC34,$B22)+COUNTIF('6月'!AD4:AD34,$B22)+COUNTIF('6月'!AH4:AH34,$B22)+COUNTIF('6月'!AI4:AI34,$B22)+COUNTIF('6月'!AM4:AM34,$B22)+COUNTIF('6月'!AN4:AN34,$B22)+COUNTIF('6月'!AR4:AR34,$B22)+COUNTIF('6月'!AS4:AS34,$B22)+COUNTIF('6月'!AW4:AW34,$B22)+COUNTIF('6月'!AX4:AX34,$B22)+COUNTIF('6月'!BB4:BB34,$B22)+COUNTIF('6月'!BC4:BC34,$B22)+COUNTIF('6月'!BG4:BG34,$B22)+COUNTIF('6月'!BH4:BH34,$B22)+COUNTIF('6月'!BL4:BL34,$B22)+COUNTIF('6月'!BM4:BM34,$B22)+COUNTIF('6月'!BQ4:BQ34,$B22)+COUNTIF('6月'!BR4:BR34,$B22)+COUNTIF('6月'!BV4:BV34,$B22)+COUNTIF('6月'!BW4:BW34,$B22)+COUNTIF('6月'!CA4:CA34,$B22)+COUNTIF('6月'!CB4:CB34,$B22)+COUNTIF('6月'!CF4:CF34,$B22)+COUNTIF('6月'!CG4:CG34,$B22)+COUNTIF('6月'!CK4:CK34,$B22)+COUNTIF('6月'!CL4:CL34,$B22)+COUNTIF('6月'!CP4:CP34,$B22)+COUNTIF('6月'!CQ4:CQ34,$B22)+COUNTIF('6月'!CU4:CU34,$B22)+COUNTIF('6月'!CV4:CV34,$B22)+COUNTIF('6月'!CZ4:CZ34,$B22)+COUNTIF('6月'!DA4:DA34,$B22)+COUNTIF('6月'!DE4:DE34,$B22)+COUNTIF('6月'!DF4:DF34,$B22)+COUNTIF('6月'!DJ4:DJ34,$B22)+COUNTIF('6月'!DK4:DK34,$B22)+COUNTIF('6月'!DO4:DO34,$B22)+COUNTIF('6月'!DP4:DP34,$B22)+COUNTIF('6月'!DT4:DT34,$B22)+COUNTIF('6月'!DU4:DU34,$B22)+COUNTIF('6月'!DY4:DY34,$B22)+COUNTIF('6月'!DZ4:DZ34,$B22)+COUNTIF('6月'!ED4:ED34,$B22)+COUNTIF('6月'!EE4:EE34,$B22)+COUNTIF('6月'!EI4:EI34,$B22)+COUNTIF('6月'!EJ4:EJ34,$B22)+COUNTIF('6月'!EN4:EN34,$B22)+COUNTIF('6月'!EO4:EO34,$B22)+COUNTIF('6月'!ES4:ES34,$B22)+COUNTIF('6月'!ET4:ET34,$B22)),0)</f>
        <v>0</v>
      </c>
      <c r="I22" s="76">
        <f>IFERROR(IF($B22="","",COUNTIF('7月'!D4:D34,$B22)+COUNTIF('7月'!E4:E34,$B22)+COUNTIF('7月'!I4:I34,$B22)+COUNTIF('7月'!J4:J34,$B22)+COUNTIF('7月'!N4:N34,$B22)+COUNTIF('7月'!O4:O34,$B22)+COUNTIF('7月'!S4:S34,$B22)+COUNTIF('7月'!T4:T34,$B22)+COUNTIF('7月'!X4:X34,$B22)+COUNTIF('7月'!Y4:Y34,$B22)+COUNTIF('7月'!AC4:AC34,$B22)+COUNTIF('7月'!AD4:AD34,$B22)+COUNTIF('7月'!AH4:AH34,$B22)+COUNTIF('7月'!AI4:AI34,$B22)+COUNTIF('7月'!AM4:AM34,$B22)+COUNTIF('7月'!AN4:AN34,$B22)+COUNTIF('7月'!AR4:AR34,$B22)+COUNTIF('7月'!AS4:AS34,$B22)+COUNTIF('7月'!AW4:AW34,$B22)+COUNTIF('7月'!AX4:AX34,$B22)+COUNTIF('7月'!BB4:BB34,$B22)+COUNTIF('7月'!BC4:BC34,$B22)+COUNTIF('7月'!BG4:BG34,$B22)+COUNTIF('7月'!BH4:BH34,$B22)+COUNTIF('7月'!BL4:BL34,$B22)+COUNTIF('7月'!BM4:BM34,$B22)+COUNTIF('7月'!BQ4:BQ34,$B22)+COUNTIF('7月'!BR4:BR34,$B22)+COUNTIF('7月'!BV4:BV34,$B22)+COUNTIF('7月'!BW4:BW34,$B22)+COUNTIF('7月'!CA4:CA34,$B22)+COUNTIF('7月'!CB4:CB34,$B22)+COUNTIF('7月'!CF4:CF34,$B22)+COUNTIF('7月'!CG4:CG34,$B22)+COUNTIF('7月'!CK4:CK34,$B22)+COUNTIF('7月'!CL4:CL34,$B22)+COUNTIF('7月'!CP4:CP34,$B22)+COUNTIF('7月'!CQ4:CQ34,$B22)+COUNTIF('7月'!CU4:CU34,$B22)+COUNTIF('7月'!CV4:CV34,$B22)+COUNTIF('7月'!CZ4:CZ34,$B22)+COUNTIF('7月'!DA4:DA34,$B22)+COUNTIF('7月'!DE4:DE34,$B22)+COUNTIF('7月'!DF4:DF34,$B22)+COUNTIF('7月'!DJ4:DJ34,$B22)+COUNTIF('7月'!DK4:DK34,$B22)+COUNTIF('7月'!DO4:DO34,$B22)+COUNTIF('7月'!DP4:DP34,$B22)+COUNTIF('7月'!DT4:DT34,$B22)+COUNTIF('7月'!DU4:DU34,$B22)+COUNTIF('7月'!DY4:DY34,$B22)+COUNTIF('7月'!DZ4:DZ34,$B22)+COUNTIF('7月'!ED4:ED34,$B22)+COUNTIF('7月'!EE4:EE34,$B22)+COUNTIF('7月'!EI4:EI34,$B22)+COUNTIF('7月'!EJ4:EJ34,$B22)+COUNTIF('7月'!EN4:EN34,$B22)+COUNTIF('7月'!EO4:EO34,$B22)+COUNTIF('7月'!ES4:ES34,$B22)+COUNTIF('7月'!ET4:ET34,$B22)),0)</f>
        <v>0</v>
      </c>
      <c r="J22" s="76">
        <f>IFERROR(IF($B22="","",COUNTIF('8月'!D4:D34,$B22)+COUNTIF('8月'!E4:E34,$B22)+COUNTIF('8月'!I4:I34,$B22)+COUNTIF('8月'!J4:J34,$B22)+COUNTIF('8月'!N4:N34,$B22)+COUNTIF('8月'!O4:O34,$B22)+COUNTIF('8月'!S4:S34,$B22)+COUNTIF('8月'!T4:T34,$B22)+COUNTIF('8月'!X4:X34,$B22)+COUNTIF('8月'!Y4:Y34,$B22)+COUNTIF('8月'!AC4:AC34,$B22)+COUNTIF('8月'!AD4:AD34,$B22)+COUNTIF('8月'!AH4:AH34,$B22)+COUNTIF('8月'!AI4:AI34,$B22)+COUNTIF('8月'!AM4:AM34,$B22)+COUNTIF('8月'!AN4:AN34,$B22)+COUNTIF('8月'!AR4:AR34,$B22)+COUNTIF('8月'!AS4:AS34,$B22)+COUNTIF('8月'!AW4:AW34,$B22)+COUNTIF('8月'!AX4:AX34,$B22)+COUNTIF('8月'!BB4:BB34,$B22)+COUNTIF('8月'!BC4:BC34,$B22)+COUNTIF('8月'!BG4:BG34,$B22)+COUNTIF('8月'!BH4:BH34,$B22)+COUNTIF('8月'!BL4:BL34,$B22)+COUNTIF('8月'!BM4:BM34,$B22)+COUNTIF('8月'!BQ4:BQ34,$B22)+COUNTIF('8月'!BR4:BR34,$B22)+COUNTIF('8月'!BV4:BV34,$B22)+COUNTIF('8月'!BW4:BW34,$B22)+COUNTIF('8月'!CA4:CA34,$B22)+COUNTIF('8月'!CB4:CB34,$B22)+COUNTIF('8月'!CF4:CF34,$B22)+COUNTIF('8月'!CG4:CG34,$B22)+COUNTIF('8月'!CK4:CK34,$B22)+COUNTIF('8月'!CL4:CL34,$B22)+COUNTIF('8月'!CP4:CP34,$B22)+COUNTIF('8月'!CQ4:CQ34,$B22)+COUNTIF('8月'!CU4:CU34,$B22)+COUNTIF('8月'!CV4:CV34,$B22)+COUNTIF('8月'!CZ4:CZ34,$B22)+COUNTIF('8月'!DA4:DA34,$B22)+COUNTIF('8月'!DE4:DE34,$B22)+COUNTIF('8月'!DF4:DF34,$B22)+COUNTIF('8月'!DJ4:DJ34,$B22)+COUNTIF('8月'!DK4:DK34,$B22)+COUNTIF('8月'!DO4:DO34,$B22)+COUNTIF('8月'!DP4:DP34,$B22)+COUNTIF('8月'!DT4:DT34,$B22)+COUNTIF('8月'!DU4:DU34,$B22)+COUNTIF('8月'!DY4:DY34,$B22)+COUNTIF('8月'!DZ4:DZ34,$B22)+COUNTIF('8月'!ED4:ED34,$B22)+COUNTIF('8月'!EE4:EE34,$B22)+COUNTIF('8月'!EI4:EI34,$B22)+COUNTIF('8月'!EJ4:EJ34,$B22)+COUNTIF('8月'!EN4:EN34,$B22)+COUNTIF('8月'!EO4:EO34,$B22)+COUNTIF('8月'!ES4:ES34,$B22)+COUNTIF('8月'!ET4:ET34,$B22)),0)</f>
        <v>0</v>
      </c>
      <c r="K22" s="76">
        <f>IFERROR(IF($B22="","",COUNTIF('9月'!D4:D34,$B22)+COUNTIF('9月'!E4:E34,$B22)+COUNTIF('9月'!I4:I34,$B22)+COUNTIF('9月'!J4:J34,$B22)+COUNTIF('9月'!N4:N34,$B22)+COUNTIF('9月'!O4:O34,$B22)+COUNTIF('9月'!S4:S34,$B22)+COUNTIF('9月'!T4:T34,$B22)+COUNTIF('9月'!X4:X34,$B22)+COUNTIF('9月'!Y4:Y34,$B22)+COUNTIF('9月'!AC4:AC34,$B22)+COUNTIF('9月'!AD4:AD34,$B22)+COUNTIF('9月'!AH4:AH34,$B22)+COUNTIF('9月'!AI4:AI34,$B22)+COUNTIF('9月'!AM4:AM34,$B22)+COUNTIF('9月'!AN4:AN34,$B22)+COUNTIF('9月'!AR4:AR34,$B22)+COUNTIF('9月'!AS4:AS34,$B22)+COUNTIF('9月'!AW4:AW34,$B22)+COUNTIF('9月'!AX4:AX34,$B22)+COUNTIF('9月'!BB4:BB34,$B22)+COUNTIF('9月'!BC4:BC34,$B22)+COUNTIF('9月'!BG4:BG34,$B22)+COUNTIF('9月'!BH4:BH34,$B22)+COUNTIF('9月'!BL4:BL34,$B22)+COUNTIF('9月'!BM4:BM34,$B22)+COUNTIF('9月'!BQ4:BQ34,$B22)+COUNTIF('9月'!BR4:BR34,$B22)+COUNTIF('9月'!BV4:BV34,$B22)+COUNTIF('9月'!BW4:BW34,$B22)+COUNTIF('9月'!CA4:CA34,$B22)+COUNTIF('9月'!CB4:CB34,$B22)+COUNTIF('9月'!CF4:CF34,$B22)+COUNTIF('9月'!CG4:CG34,$B22)+COUNTIF('9月'!CK4:CK34,$B22)+COUNTIF('9月'!CL4:CL34,$B22)+COUNTIF('9月'!CP4:CP34,$B22)+COUNTIF('9月'!CQ4:CQ34,$B22)+COUNTIF('9月'!CU4:CU34,$B22)+COUNTIF('9月'!CV4:CV34,$B22)+COUNTIF('9月'!CZ4:CZ34,$B22)+COUNTIF('9月'!DA4:DA34,$B22)+COUNTIF('9月'!DE4:DE34,$B22)+COUNTIF('9月'!DF4:DF34,$B22)+COUNTIF('9月'!DJ4:DJ34,$B22)+COUNTIF('9月'!DK4:DK34,$B22)+COUNTIF('9月'!DO4:DO34,$B22)+COUNTIF('9月'!DP4:DP34,$B22)+COUNTIF('9月'!DT4:DT34,$B22)+COUNTIF('9月'!DU4:DU34,$B22)+COUNTIF('9月'!DY4:DY34,$B22)+COUNTIF('9月'!DZ4:DZ34,$B22)+COUNTIF('9月'!ED4:ED34,$B22)+COUNTIF('9月'!EE4:EE34,$B22)+COUNTIF('9月'!EI4:EI34,$B22)+COUNTIF('9月'!EJ4:EJ34,$B22)+COUNTIF('9月'!EN4:EN34,$B22)+COUNTIF('9月'!EO4:EO34,$B22)+COUNTIF('9月'!ES4:ES34,$B22)+COUNTIF('9月'!ET4:ET34,$B22)),0)</f>
        <v>0</v>
      </c>
      <c r="L22" s="76">
        <f>IFERROR(IF($B22="","",COUNTIF('10月'!D4:D34,$B22)+COUNTIF('10月'!E4:E34,$B22)+COUNTIF('10月'!I4:I34,$B22)+COUNTIF('10月'!J4:J34,$B22)+COUNTIF('10月'!N4:N34,$B22)+COUNTIF('10月'!O4:O34,$B22)+COUNTIF('10月'!S4:S34,$B22)+COUNTIF('10月'!T4:T34,$B22)+COUNTIF('10月'!X4:X34,$B22)+COUNTIF('10月'!Y4:Y34,$B22)+COUNTIF('10月'!AC4:AC34,$B22)+COUNTIF('10月'!AD4:AD34,$B22)+COUNTIF('10月'!AH4:AH34,$B22)+COUNTIF('10月'!AI4:AI34,$B22)+COUNTIF('10月'!AM4:AM34,$B22)+COUNTIF('10月'!AN4:AN34,$B22)+COUNTIF('10月'!AR4:AR34,$B22)+COUNTIF('10月'!AS4:AS34,$B22)+COUNTIF('10月'!AW4:AW34,$B22)+COUNTIF('10月'!AX4:AX34,$B22)+COUNTIF('10月'!BB4:BB34,$B22)+COUNTIF('10月'!BC4:BC34,$B22)+COUNTIF('10月'!BG4:BG34,$B22)+COUNTIF('10月'!BH4:BH34,$B22)+COUNTIF('10月'!BL4:BL34,$B22)+COUNTIF('10月'!BM4:BM34,$B22)+COUNTIF('10月'!BQ4:BQ34,$B22)+COUNTIF('10月'!BR4:BR34,$B22)+COUNTIF('10月'!BV4:BV34,$B22)+COUNTIF('10月'!BW4:BW34,$B22)+COUNTIF('10月'!CA4:CA34,$B22)+COUNTIF('10月'!CB4:CB34,$B22)+COUNTIF('10月'!CF4:CF34,$B22)+COUNTIF('10月'!CG4:CG34,$B22)+COUNTIF('10月'!CK4:CK34,$B22)+COUNTIF('10月'!CL4:CL34,$B22)+COUNTIF('10月'!CP4:CP34,$B22)+COUNTIF('10月'!CQ4:CQ34,$B22)+COUNTIF('10月'!CU4:CU34,$B22)+COUNTIF('10月'!CV4:CV34,$B22)+COUNTIF('10月'!CZ4:CZ34,$B22)+COUNTIF('10月'!DA4:DA34,$B22)+COUNTIF('10月'!DE4:DE34,$B22)+COUNTIF('10月'!DF4:DF34,$B22)+COUNTIF('10月'!DJ4:DJ34,$B22)+COUNTIF('10月'!DK4:DK34,$B22)+COUNTIF('10月'!DO4:DO34,$B22)+COUNTIF('10月'!DP4:DP34,$B22)+COUNTIF('10月'!DT4:DT34,$B22)+COUNTIF('10月'!DU4:DU34,$B22)+COUNTIF('10月'!DY4:DY34,$B22)+COUNTIF('10月'!DZ4:DZ34,$B22)+COUNTIF('10月'!ED4:ED34,$B22)+COUNTIF('10月'!EE4:EE34,$B22)+COUNTIF('10月'!EI4:EI34,$B22)+COUNTIF('10月'!EJ4:EJ34,$B22)+COUNTIF('10月'!EN4:EN34,$B22)+COUNTIF('10月'!EO4:EO34,$B22)+COUNTIF('10月'!ES4:ES34,$B22)+COUNTIF('10月'!ET4:ET34,$B22)),0)</f>
        <v>0</v>
      </c>
      <c r="M22" s="76">
        <f>IFERROR(IF($B22="","",COUNTIF('11月'!D4:D34,$B22)+COUNTIF('11月'!E4:E34,$B22)+COUNTIF('11月'!I4:I34,$B22)+COUNTIF('11月'!J4:J34,$B22)+COUNTIF('11月'!N4:N34,$B22)+COUNTIF('11月'!O4:O34,$B22)+COUNTIF('11月'!S4:S34,$B22)+COUNTIF('11月'!T4:T34,$B22)+COUNTIF('11月'!X4:X34,$B22)+COUNTIF('11月'!Y4:Y34,$B22)+COUNTIF('11月'!AC4:AC34,$B22)+COUNTIF('11月'!AD4:AD34,$B22)+COUNTIF('11月'!AH4:AH34,$B22)+COUNTIF('11月'!AI4:AI34,$B22)+COUNTIF('11月'!AM4:AM34,$B22)+COUNTIF('11月'!AN4:AN34,$B22)+COUNTIF('11月'!AR4:AR34,$B22)+COUNTIF('11月'!AS4:AS34,$B22)+COUNTIF('11月'!AW4:AW34,$B22)+COUNTIF('11月'!AX4:AX34,$B22)+COUNTIF('11月'!BB4:BB34,$B22)+COUNTIF('11月'!BC4:BC34,$B22)+COUNTIF('11月'!BG4:BG34,$B22)+COUNTIF('11月'!BH4:BH34,$B22)+COUNTIF('11月'!BL4:BL34,$B22)+COUNTIF('11月'!BM4:BM34,$B22)+COUNTIF('11月'!BQ4:BQ34,$B22)+COUNTIF('11月'!BR4:BR34,$B22)+COUNTIF('11月'!BV4:BV34,$B22)+COUNTIF('11月'!BW4:BW34,$B22)+COUNTIF('11月'!CA4:CA34,$B22)+COUNTIF('11月'!CB4:CB34,$B22)+COUNTIF('11月'!CF4:CF34,$B22)+COUNTIF('11月'!CG4:CG34,$B22)+COUNTIF('11月'!CK4:CK34,$B22)+COUNTIF('11月'!CL4:CL34,$B22)+COUNTIF('11月'!CP4:CP34,$B22)+COUNTIF('11月'!CQ4:CQ34,$B22)+COUNTIF('11月'!CU4:CU34,$B22)+COUNTIF('11月'!CV4:CV34,$B22)+COUNTIF('11月'!CZ4:CZ34,$B22)+COUNTIF('11月'!DA4:DA34,$B22)+COUNTIF('11月'!DE4:DE34,$B22)+COUNTIF('11月'!DF4:DF34,$B22)+COUNTIF('11月'!DJ4:DJ34,$B22)+COUNTIF('11月'!DK4:DK34,$B22)+COUNTIF('11月'!DO4:DO34,$B22)+COUNTIF('11月'!DP4:DP34,$B22)+COUNTIF('11月'!DT4:DT34,$B22)+COUNTIF('11月'!DU4:DU34,$B22)+COUNTIF('11月'!DY4:DY34,$B22)+COUNTIF('11月'!DZ4:DZ34,$B22)+COUNTIF('11月'!ED4:ED34,$B22)+COUNTIF('11月'!EE4:EE34,$B22)+COUNTIF('11月'!EI4:EI34,$B22)+COUNTIF('11月'!EJ4:EJ34,$B22)+COUNTIF('11月'!EN4:EN34,$B22)+COUNTIF('11月'!EO4:EO34,$B22)+COUNTIF('11月'!ES4:ES34,$B22)+COUNTIF('11月'!ET4:ET34,$B22)),0)</f>
        <v>0</v>
      </c>
      <c r="N22" s="76">
        <f>IFERROR(IF($B22="","",COUNTIF('12月'!D4:D34,$B22)+COUNTIF('12月'!E4:E34,$B22)+COUNTIF('12月'!I4:I34,$B22)+COUNTIF('12月'!J4:J34,$B22)+COUNTIF('12月'!N4:N34,$B22)+COUNTIF('12月'!O4:O34,$B22)+COUNTIF('12月'!S4:S34,$B22)+COUNTIF('12月'!T4:T34,$B22)+COUNTIF('12月'!X4:X34,$B22)+COUNTIF('12月'!Y4:Y34,$B22)+COUNTIF('12月'!AC4:AC34,$B22)+COUNTIF('12月'!AD4:AD34,$B22)+COUNTIF('12月'!AH4:AH34,$B22)+COUNTIF('12月'!AI4:AI34,$B22)+COUNTIF('12月'!AM4:AM34,$B22)+COUNTIF('12月'!AN4:AN34,$B22)+COUNTIF('12月'!AR4:AR34,$B22)+COUNTIF('12月'!AS4:AS34,$B22)+COUNTIF('12月'!AW4:AW34,$B22)+COUNTIF('12月'!AX4:AX34,$B22)+COUNTIF('12月'!BB4:BB34,$B22)+COUNTIF('12月'!BC4:BC34,$B22)+COUNTIF('12月'!BG4:BG34,$B22)+COUNTIF('12月'!BH4:BH34,$B22)+COUNTIF('12月'!BL4:BL34,$B22)+COUNTIF('12月'!BM4:BM34,$B22)+COUNTIF('12月'!BQ4:BQ34,$B22)+COUNTIF('12月'!BR4:BR34,$B22)+COUNTIF('12月'!BV4:BV34,$B22)+COUNTIF('12月'!BW4:BW34,$B22)+COUNTIF('12月'!CA4:CA34,$B22)+COUNTIF('12月'!CB4:CB34,$B22)+COUNTIF('12月'!CF4:CF34,$B22)+COUNTIF('12月'!CG4:CG34,$B22)+COUNTIF('12月'!CK4:CK34,$B22)+COUNTIF('12月'!CL4:CL34,$B22)+COUNTIF('12月'!CP4:CP34,$B22)+COUNTIF('12月'!CQ4:CQ34,$B22)+COUNTIF('12月'!CU4:CU34,$B22)+COUNTIF('12月'!CV4:CV34,$B22)+COUNTIF('12月'!CZ4:CZ34,$B22)+COUNTIF('12月'!DA4:DA34,$B22)+COUNTIF('12月'!DE4:DE34,$B22)+COUNTIF('12月'!DF4:DF34,$B22)+COUNTIF('12月'!DJ4:DJ34,$B22)+COUNTIF('12月'!DK4:DK34,$B22)+COUNTIF('12月'!DO4:DO34,$B22)+COUNTIF('12月'!DP4:DP34,$B22)+COUNTIF('12月'!DT4:DT34,$B22)+COUNTIF('12月'!DU4:DU34,$B22)+COUNTIF('12月'!DY4:DY34,$B22)+COUNTIF('12月'!DZ4:DZ34,$B22)+COUNTIF('12月'!ED4:ED34,$B22)+COUNTIF('12月'!EE4:EE34,$B22)+COUNTIF('12月'!EI4:EI34,$B22)+COUNTIF('12月'!EJ4:EJ34,$B22)+COUNTIF('12月'!EN4:EN34,$B22)+COUNTIF('12月'!EO4:EO34,$B22)+COUNTIF('12月'!ES4:ES34,$B22)+COUNTIF('12月'!ET4:ET34,$B22)),0)</f>
        <v>0</v>
      </c>
      <c r="O22" s="78">
        <f t="shared" si="0"/>
        <v>0</v>
      </c>
    </row>
    <row r="23" spans="1:15" ht="19.5" customHeight="1">
      <c r="A23" s="76">
        <v>21</v>
      </c>
      <c r="B23" s="77">
        <f>IFERROR(現場マスタ!$C$24,"")</f>
        <v>0</v>
      </c>
      <c r="C23" s="76">
        <f>IFERROR(IF($B23="","",COUNTIF('1月'!D4:D34,$B23)+COUNTIF('1月'!E4:E34,$B23)+COUNTIF('1月'!I4:I34,$B23)+COUNTIF('1月'!J4:J34,$B23)+COUNTIF('1月'!N4:N34,$B23)+COUNTIF('1月'!O4:O34,$B23)+COUNTIF('1月'!S4:S34,$B23)+COUNTIF('1月'!T4:T34,$B23)+COUNTIF('1月'!X4:X34,$B23)+COUNTIF('1月'!Y4:Y34,$B23)+COUNTIF('1月'!AC4:AC34,$B23)+COUNTIF('1月'!AD4:AD34,$B23)+COUNTIF('1月'!AH4:AH34,$B23)+COUNTIF('1月'!AI4:AI34,$B23)+COUNTIF('1月'!AM4:AM34,$B23)+COUNTIF('1月'!AN4:AN34,$B23)+COUNTIF('1月'!AR4:AR34,$B23)+COUNTIF('1月'!AS4:AS34,$B23)+COUNTIF('1月'!AW4:AW34,$B23)+COUNTIF('1月'!AX4:AX34,$B23)+COUNTIF('1月'!BB4:BB34,$B23)+COUNTIF('1月'!BC4:BC34,$B23)+COUNTIF('1月'!BG4:BG34,$B23)+COUNTIF('1月'!BH4:BH34,$B23)+COUNTIF('1月'!BL4:BL34,$B23)+COUNTIF('1月'!BM4:BM34,$B23)+COUNTIF('1月'!BQ4:BQ34,$B23)+COUNTIF('1月'!BR4:BR34,$B23)+COUNTIF('1月'!BV4:BV34,$B23)+COUNTIF('1月'!BW4:BW34,$B23)+COUNTIF('1月'!CA4:CA34,$B23)+COUNTIF('1月'!CB4:CB34,$B23)+COUNTIF('1月'!CF4:CF34,$B23)+COUNTIF('1月'!CG4:CG34,$B23)+COUNTIF('1月'!CK4:CK34,$B23)+COUNTIF('1月'!CL4:CL34,$B23)+COUNTIF('1月'!CP4:CP34,$B23)+COUNTIF('1月'!CQ4:CQ34,$B23)+COUNTIF('1月'!CU4:CU34,$B23)+COUNTIF('1月'!CV4:CV34,$B23)+COUNTIF('1月'!CZ4:CZ34,$B23)+COUNTIF('1月'!DA4:DA34,$B23)+COUNTIF('1月'!DE4:DE34,$B23)+COUNTIF('1月'!DF4:DF34,$B23)+COUNTIF('1月'!DJ4:DJ34,$B23)+COUNTIF('1月'!DK4:DK34,$B23)+COUNTIF('1月'!DO4:DO34,$B23)+COUNTIF('1月'!DP4:DP34,$B23)+COUNTIF('1月'!DT4:DT34,$B23)+COUNTIF('1月'!DU4:DU34,$B23)+COUNTIF('1月'!DY4:DY34,$B23)+COUNTIF('1月'!DZ4:DZ34,$B23)+COUNTIF('1月'!ED4:ED34,$B23)+COUNTIF('1月'!EE4:EE34,$B23)+COUNTIF('1月'!EI4:EI34,$B23)+COUNTIF('1月'!EJ4:EJ34,$B23)+COUNTIF('1月'!EN4:EN34,$B23)+COUNTIF('1月'!EO4:EO34,$B23)+COUNTIF('1月'!ES4:ES34,$B23)+COUNTIF('1月'!ET4:ET34,$B23)),0)</f>
        <v>0</v>
      </c>
      <c r="D23" s="76">
        <f>IFERROR(IF($B23="","",COUNTIF('2月'!D4:D34,$B23)+COUNTIF('2月'!E4:E34,$B23)+COUNTIF('2月'!I4:I34,$B23)+COUNTIF('2月'!J4:J34,$B23)+COUNTIF('2月'!N4:N34,$B23)+COUNTIF('2月'!O4:O34,$B23)+COUNTIF('2月'!S4:S34,$B23)+COUNTIF('2月'!T4:T34,$B23)+COUNTIF('2月'!X4:X34,$B23)+COUNTIF('2月'!Y4:Y34,$B23)+COUNTIF('2月'!AC4:AC34,$B23)+COUNTIF('2月'!AD4:AD34,$B23)+COUNTIF('2月'!AH4:AH34,$B23)+COUNTIF('2月'!AI4:AI34,$B23)+COUNTIF('2月'!AM4:AM34,$B23)+COUNTIF('2月'!AN4:AN34,$B23)+COUNTIF('2月'!AR4:AR34,$B23)+COUNTIF('2月'!AS4:AS34,$B23)+COUNTIF('2月'!AW4:AW34,$B23)+COUNTIF('2月'!AX4:AX34,$B23)+COUNTIF('2月'!BB4:BB34,$B23)+COUNTIF('2月'!BC4:BC34,$B23)+COUNTIF('2月'!BG4:BG34,$B23)+COUNTIF('2月'!BH4:BH34,$B23)+COUNTIF('2月'!BL4:BL34,$B23)+COUNTIF('2月'!BM4:BM34,$B23)+COUNTIF('2月'!BQ4:BQ34,$B23)+COUNTIF('2月'!BR4:BR34,$B23)+COUNTIF('2月'!BV4:BV34,$B23)+COUNTIF('2月'!BW4:BW34,$B23)+COUNTIF('2月'!CA4:CA34,$B23)+COUNTIF('2月'!CB4:CB34,$B23)+COUNTIF('2月'!CF4:CF34,$B23)+COUNTIF('2月'!CG4:CG34,$B23)+COUNTIF('2月'!CK4:CK34,$B23)+COUNTIF('2月'!CL4:CL34,$B23)+COUNTIF('2月'!CP4:CP34,$B23)+COUNTIF('2月'!CQ4:CQ34,$B23)+COUNTIF('2月'!CU4:CU34,$B23)+COUNTIF('2月'!CV4:CV34,$B23)+COUNTIF('2月'!CZ4:CZ34,$B23)+COUNTIF('2月'!DA4:DA34,$B23)+COUNTIF('2月'!DE4:DE34,$B23)+COUNTIF('2月'!DF4:DF34,$B23)+COUNTIF('2月'!DJ4:DJ34,$B23)+COUNTIF('2月'!DK4:DK34,$B23)+COUNTIF('2月'!DO4:DO34,$B23)+COUNTIF('2月'!DP4:DP34,$B23)+COUNTIF('2月'!DT4:DT34,$B23)+COUNTIF('2月'!DU4:DU34,$B23)+COUNTIF('2月'!DY4:DY34,$B23)+COUNTIF('2月'!DZ4:DZ34,$B23)+COUNTIF('2月'!ED4:ED34,$B23)+COUNTIF('2月'!EE4:EE34,$B23)+COUNTIF('2月'!EI4:EI34,$B23)+COUNTIF('2月'!EJ4:EJ34,$B23)+COUNTIF('2月'!EN4:EN34,$B23)+COUNTIF('2月'!EO4:EO34,$B23)+COUNTIF('2月'!ES4:ES34,$B23)+COUNTIF('2月'!ET4:ET34,$B23)),0)</f>
        <v>0</v>
      </c>
      <c r="E23" s="76">
        <f>IFERROR(IF($B23="","",COUNTIF('3月'!D4:D34,$B23)+COUNTIF('3月'!E4:E34,$B23)+COUNTIF('3月'!I4:I34,$B23)+COUNTIF('3月'!J4:J34,$B23)+COUNTIF('3月'!N4:N34,$B23)+COUNTIF('3月'!O4:O34,$B23)+COUNTIF('3月'!S4:S34,$B23)+COUNTIF('3月'!T4:T34,$B23)+COUNTIF('3月'!X4:X34,$B23)+COUNTIF('3月'!Y4:Y34,$B23)+COUNTIF('3月'!AC4:AC34,$B23)+COUNTIF('3月'!AD4:AD34,$B23)+COUNTIF('3月'!AH4:AH34,$B23)+COUNTIF('3月'!AI4:AI34,$B23)+COUNTIF('3月'!AM4:AM34,$B23)+COUNTIF('3月'!AN4:AN34,$B23)+COUNTIF('3月'!AR4:AR34,$B23)+COUNTIF('3月'!AS4:AS34,$B23)+COUNTIF('3月'!AW4:AW34,$B23)+COUNTIF('3月'!AX4:AX34,$B23)+COUNTIF('3月'!BB4:BB34,$B23)+COUNTIF('3月'!BC4:BC34,$B23)+COUNTIF('3月'!BG4:BG34,$B23)+COUNTIF('3月'!BH4:BH34,$B23)+COUNTIF('3月'!BL4:BL34,$B23)+COUNTIF('3月'!BM4:BM34,$B23)+COUNTIF('3月'!BQ4:BQ34,$B23)+COUNTIF('3月'!BR4:BR34,$B23)+COUNTIF('3月'!BV4:BV34,$B23)+COUNTIF('3月'!BW4:BW34,$B23)+COUNTIF('3月'!CA4:CA34,$B23)+COUNTIF('3月'!CB4:CB34,$B23)+COUNTIF('3月'!CF4:CF34,$B23)+COUNTIF('3月'!CG4:CG34,$B23)+COUNTIF('3月'!CK4:CK34,$B23)+COUNTIF('3月'!CL4:CL34,$B23)+COUNTIF('3月'!CP4:CP34,$B23)+COUNTIF('3月'!CQ4:CQ34,$B23)+COUNTIF('3月'!CU4:CU34,$B23)+COUNTIF('3月'!CV4:CV34,$B23)+COUNTIF('3月'!CZ4:CZ34,$B23)+COUNTIF('3月'!DA4:DA34,$B23)+COUNTIF('3月'!DE4:DE34,$B23)+COUNTIF('3月'!DF4:DF34,$B23)+COUNTIF('3月'!DJ4:DJ34,$B23)+COUNTIF('3月'!DK4:DK34,$B23)+COUNTIF('3月'!DO4:DO34,$B23)+COUNTIF('3月'!DP4:DP34,$B23)+COUNTIF('3月'!DT4:DT34,$B23)+COUNTIF('3月'!DU4:DU34,$B23)+COUNTIF('3月'!DY4:DY34,$B23)+COUNTIF('3月'!DZ4:DZ34,$B23)+COUNTIF('3月'!ED4:ED34,$B23)+COUNTIF('3月'!EE4:EE34,$B23)+COUNTIF('3月'!EI4:EI34,$B23)+COUNTIF('3月'!EJ4:EJ34,$B23)+COUNTIF('3月'!EN4:EN34,$B23)+COUNTIF('3月'!EO4:EO34,$B23)+COUNTIF('3月'!ES4:ES34,$B23)+COUNTIF('3月'!ET4:ET34,$B23)),0)</f>
        <v>0</v>
      </c>
      <c r="F23" s="76">
        <f>IFERROR(IF($B23="","",COUNTIF('4月'!D4:D34,$B23)+COUNTIF('4月'!E4:E34,$B23)+COUNTIF('4月'!I4:I34,$B23)+COUNTIF('4月'!J4:J34,$B23)+COUNTIF('4月'!N4:N34,$B23)+COUNTIF('4月'!O4:O34,$B23)+COUNTIF('4月'!S4:S34,$B23)+COUNTIF('4月'!T4:T34,$B23)+COUNTIF('4月'!X4:X34,$B23)+COUNTIF('4月'!Y4:Y34,$B23)+COUNTIF('4月'!AC4:AC34,$B23)+COUNTIF('4月'!AD4:AD34,$B23)+COUNTIF('4月'!AH4:AH34,$B23)+COUNTIF('4月'!AI4:AI34,$B23)+COUNTIF('4月'!AM4:AM34,$B23)+COUNTIF('4月'!AN4:AN34,$B23)+COUNTIF('4月'!AR4:AR34,$B23)+COUNTIF('4月'!AS4:AS34,$B23)+COUNTIF('4月'!AW4:AW34,$B23)+COUNTIF('4月'!AX4:AX34,$B23)+COUNTIF('4月'!BB4:BB34,$B23)+COUNTIF('4月'!BC4:BC34,$B23)+COUNTIF('4月'!BG4:BG34,$B23)+COUNTIF('4月'!BH4:BH34,$B23)+COUNTIF('4月'!BL4:BL34,$B23)+COUNTIF('4月'!BM4:BM34,$B23)+COUNTIF('4月'!BQ4:BQ34,$B23)+COUNTIF('4月'!BR4:BR34,$B23)+COUNTIF('4月'!BV4:BV34,$B23)+COUNTIF('4月'!BW4:BW34,$B23)+COUNTIF('4月'!CA4:CA34,$B23)+COUNTIF('4月'!CB4:CB34,$B23)+COUNTIF('4月'!CF4:CF34,$B23)+COUNTIF('4月'!CG4:CG34,$B23)+COUNTIF('4月'!CK4:CK34,$B23)+COUNTIF('4月'!CL4:CL34,$B23)+COUNTIF('4月'!CP4:CP34,$B23)+COUNTIF('4月'!CQ4:CQ34,$B23)+COUNTIF('4月'!CU4:CU34,$B23)+COUNTIF('4月'!CV4:CV34,$B23)+COUNTIF('4月'!CZ4:CZ34,$B23)+COUNTIF('4月'!DA4:DA34,$B23)+COUNTIF('4月'!DE4:DE34,$B23)+COUNTIF('4月'!DF4:DF34,$B23)+COUNTIF('4月'!DJ4:DJ34,$B23)+COUNTIF('4月'!DK4:DK34,$B23)+COUNTIF('4月'!DO4:DO34,$B23)+COUNTIF('4月'!DP4:DP34,$B23)+COUNTIF('4月'!DT4:DT34,$B23)+COUNTIF('4月'!DU4:DU34,$B23)+COUNTIF('4月'!DY4:DY34,$B23)+COUNTIF('4月'!DZ4:DZ34,$B23)+COUNTIF('4月'!ED4:ED34,$B23)+COUNTIF('4月'!EE4:EE34,$B23)+COUNTIF('4月'!EI4:EI34,$B23)+COUNTIF('4月'!EJ4:EJ34,$B23)+COUNTIF('4月'!EN4:EN34,$B23)+COUNTIF('4月'!EO4:EO34,$B23)+COUNTIF('4月'!ES4:ES34,$B23)+COUNTIF('4月'!ET4:ET34,$B23)),0)</f>
        <v>0</v>
      </c>
      <c r="G23" s="76">
        <f>IFERROR(IF($B23="","",COUNTIF('5月'!D4:D34,$B23)+COUNTIF('5月'!E4:E34,$B23)+COUNTIF('5月'!I4:I34,$B23)+COUNTIF('5月'!J4:J34,$B23)+COUNTIF('5月'!N4:N34,$B23)+COUNTIF('5月'!O4:O34,$B23)+COUNTIF('5月'!S4:S34,$B23)+COUNTIF('5月'!T4:T34,$B23)+COUNTIF('5月'!X4:X34,$B23)+COUNTIF('5月'!Y4:Y34,$B23)+COUNTIF('5月'!AC4:AC34,$B23)+COUNTIF('5月'!AD4:AD34,$B23)+COUNTIF('5月'!AH4:AH34,$B23)+COUNTIF('5月'!AI4:AI34,$B23)+COUNTIF('5月'!AM4:AM34,$B23)+COUNTIF('5月'!AN4:AN34,$B23)+COUNTIF('5月'!AR4:AR34,$B23)+COUNTIF('5月'!AS4:AS34,$B23)+COUNTIF('5月'!AW4:AW34,$B23)+COUNTIF('5月'!AX4:AX34,$B23)+COUNTIF('5月'!BB4:BB34,$B23)+COUNTIF('5月'!BC4:BC34,$B23)+COUNTIF('5月'!BG4:BG34,$B23)+COUNTIF('5月'!BH4:BH34,$B23)+COUNTIF('5月'!BL4:BL34,$B23)+COUNTIF('5月'!BM4:BM34,$B23)+COUNTIF('5月'!BQ4:BQ34,$B23)+COUNTIF('5月'!BR4:BR34,$B23)+COUNTIF('5月'!BV4:BV34,$B23)+COUNTIF('5月'!BW4:BW34,$B23)+COUNTIF('5月'!CA4:CA34,$B23)+COUNTIF('5月'!CB4:CB34,$B23)+COUNTIF('5月'!CF4:CF34,$B23)+COUNTIF('5月'!CG4:CG34,$B23)+COUNTIF('5月'!CK4:CK34,$B23)+COUNTIF('5月'!CL4:CL34,$B23)+COUNTIF('5月'!CP4:CP34,$B23)+COUNTIF('5月'!CQ4:CQ34,$B23)+COUNTIF('5月'!CU4:CU34,$B23)+COUNTIF('5月'!CV4:CV34,$B23)+COUNTIF('5月'!CZ4:CZ34,$B23)+COUNTIF('5月'!DA4:DA34,$B23)+COUNTIF('5月'!DE4:DE34,$B23)+COUNTIF('5月'!DF4:DF34,$B23)+COUNTIF('5月'!DJ4:DJ34,$B23)+COUNTIF('5月'!DK4:DK34,$B23)+COUNTIF('5月'!DO4:DO34,$B23)+COUNTIF('5月'!DP4:DP34,$B23)+COUNTIF('5月'!DT4:DT34,$B23)+COUNTIF('5月'!DU4:DU34,$B23)+COUNTIF('5月'!DY4:DY34,$B23)+COUNTIF('5月'!DZ4:DZ34,$B23)+COUNTIF('5月'!ED4:ED34,$B23)+COUNTIF('5月'!EE4:EE34,$B23)+COUNTIF('5月'!EI4:EI34,$B23)+COUNTIF('5月'!EJ4:EJ34,$B23)+COUNTIF('5月'!EN4:EN34,$B23)+COUNTIF('5月'!EO4:EO34,$B23)+COUNTIF('5月'!ES4:ES34,$B23)+COUNTIF('5月'!ET4:ET34,$B23)),0)</f>
        <v>0</v>
      </c>
      <c r="H23" s="76">
        <f>IFERROR(IF($B23="","",COUNTIF('6月'!D4:D34,$B23)+COUNTIF('6月'!E4:E34,$B23)+COUNTIF('6月'!I4:I34,$B23)+COUNTIF('6月'!J4:J34,$B23)+COUNTIF('6月'!N4:N34,$B23)+COUNTIF('6月'!O4:O34,$B23)+COUNTIF('6月'!S4:S34,$B23)+COUNTIF('6月'!T4:T34,$B23)+COUNTIF('6月'!X4:X34,$B23)+COUNTIF('6月'!Y4:Y34,$B23)+COUNTIF('6月'!AC4:AC34,$B23)+COUNTIF('6月'!AD4:AD34,$B23)+COUNTIF('6月'!AH4:AH34,$B23)+COUNTIF('6月'!AI4:AI34,$B23)+COUNTIF('6月'!AM4:AM34,$B23)+COUNTIF('6月'!AN4:AN34,$B23)+COUNTIF('6月'!AR4:AR34,$B23)+COUNTIF('6月'!AS4:AS34,$B23)+COUNTIF('6月'!AW4:AW34,$B23)+COUNTIF('6月'!AX4:AX34,$B23)+COUNTIF('6月'!BB4:BB34,$B23)+COUNTIF('6月'!BC4:BC34,$B23)+COUNTIF('6月'!BG4:BG34,$B23)+COUNTIF('6月'!BH4:BH34,$B23)+COUNTIF('6月'!BL4:BL34,$B23)+COUNTIF('6月'!BM4:BM34,$B23)+COUNTIF('6月'!BQ4:BQ34,$B23)+COUNTIF('6月'!BR4:BR34,$B23)+COUNTIF('6月'!BV4:BV34,$B23)+COUNTIF('6月'!BW4:BW34,$B23)+COUNTIF('6月'!CA4:CA34,$B23)+COUNTIF('6月'!CB4:CB34,$B23)+COUNTIF('6月'!CF4:CF34,$B23)+COUNTIF('6月'!CG4:CG34,$B23)+COUNTIF('6月'!CK4:CK34,$B23)+COUNTIF('6月'!CL4:CL34,$B23)+COUNTIF('6月'!CP4:CP34,$B23)+COUNTIF('6月'!CQ4:CQ34,$B23)+COUNTIF('6月'!CU4:CU34,$B23)+COUNTIF('6月'!CV4:CV34,$B23)+COUNTIF('6月'!CZ4:CZ34,$B23)+COUNTIF('6月'!DA4:DA34,$B23)+COUNTIF('6月'!DE4:DE34,$B23)+COUNTIF('6月'!DF4:DF34,$B23)+COUNTIF('6月'!DJ4:DJ34,$B23)+COUNTIF('6月'!DK4:DK34,$B23)+COUNTIF('6月'!DO4:DO34,$B23)+COUNTIF('6月'!DP4:DP34,$B23)+COUNTIF('6月'!DT4:DT34,$B23)+COUNTIF('6月'!DU4:DU34,$B23)+COUNTIF('6月'!DY4:DY34,$B23)+COUNTIF('6月'!DZ4:DZ34,$B23)+COUNTIF('6月'!ED4:ED34,$B23)+COUNTIF('6月'!EE4:EE34,$B23)+COUNTIF('6月'!EI4:EI34,$B23)+COUNTIF('6月'!EJ4:EJ34,$B23)+COUNTIF('6月'!EN4:EN34,$B23)+COUNTIF('6月'!EO4:EO34,$B23)+COUNTIF('6月'!ES4:ES34,$B23)+COUNTIF('6月'!ET4:ET34,$B23)),0)</f>
        <v>0</v>
      </c>
      <c r="I23" s="76">
        <f>IFERROR(IF($B23="","",COUNTIF('7月'!D4:D34,$B23)+COUNTIF('7月'!E4:E34,$B23)+COUNTIF('7月'!I4:I34,$B23)+COUNTIF('7月'!J4:J34,$B23)+COUNTIF('7月'!N4:N34,$B23)+COUNTIF('7月'!O4:O34,$B23)+COUNTIF('7月'!S4:S34,$B23)+COUNTIF('7月'!T4:T34,$B23)+COUNTIF('7月'!X4:X34,$B23)+COUNTIF('7月'!Y4:Y34,$B23)+COUNTIF('7月'!AC4:AC34,$B23)+COUNTIF('7月'!AD4:AD34,$B23)+COUNTIF('7月'!AH4:AH34,$B23)+COUNTIF('7月'!AI4:AI34,$B23)+COUNTIF('7月'!AM4:AM34,$B23)+COUNTIF('7月'!AN4:AN34,$B23)+COUNTIF('7月'!AR4:AR34,$B23)+COUNTIF('7月'!AS4:AS34,$B23)+COUNTIF('7月'!AW4:AW34,$B23)+COUNTIF('7月'!AX4:AX34,$B23)+COUNTIF('7月'!BB4:BB34,$B23)+COUNTIF('7月'!BC4:BC34,$B23)+COUNTIF('7月'!BG4:BG34,$B23)+COUNTIF('7月'!BH4:BH34,$B23)+COUNTIF('7月'!BL4:BL34,$B23)+COUNTIF('7月'!BM4:BM34,$B23)+COUNTIF('7月'!BQ4:BQ34,$B23)+COUNTIF('7月'!BR4:BR34,$B23)+COUNTIF('7月'!BV4:BV34,$B23)+COUNTIF('7月'!BW4:BW34,$B23)+COUNTIF('7月'!CA4:CA34,$B23)+COUNTIF('7月'!CB4:CB34,$B23)+COUNTIF('7月'!CF4:CF34,$B23)+COUNTIF('7月'!CG4:CG34,$B23)+COUNTIF('7月'!CK4:CK34,$B23)+COUNTIF('7月'!CL4:CL34,$B23)+COUNTIF('7月'!CP4:CP34,$B23)+COUNTIF('7月'!CQ4:CQ34,$B23)+COUNTIF('7月'!CU4:CU34,$B23)+COUNTIF('7月'!CV4:CV34,$B23)+COUNTIF('7月'!CZ4:CZ34,$B23)+COUNTIF('7月'!DA4:DA34,$B23)+COUNTIF('7月'!DE4:DE34,$B23)+COUNTIF('7月'!DF4:DF34,$B23)+COUNTIF('7月'!DJ4:DJ34,$B23)+COUNTIF('7月'!DK4:DK34,$B23)+COUNTIF('7月'!DO4:DO34,$B23)+COUNTIF('7月'!DP4:DP34,$B23)+COUNTIF('7月'!DT4:DT34,$B23)+COUNTIF('7月'!DU4:DU34,$B23)+COUNTIF('7月'!DY4:DY34,$B23)+COUNTIF('7月'!DZ4:DZ34,$B23)+COUNTIF('7月'!ED4:ED34,$B23)+COUNTIF('7月'!EE4:EE34,$B23)+COUNTIF('7月'!EI4:EI34,$B23)+COUNTIF('7月'!EJ4:EJ34,$B23)+COUNTIF('7月'!EN4:EN34,$B23)+COUNTIF('7月'!EO4:EO34,$B23)+COUNTIF('7月'!ES4:ES34,$B23)+COUNTIF('7月'!ET4:ET34,$B23)),0)</f>
        <v>0</v>
      </c>
      <c r="J23" s="76">
        <f>IFERROR(IF($B23="","",COUNTIF('8月'!D4:D34,$B23)+COUNTIF('8月'!E4:E34,$B23)+COUNTIF('8月'!I4:I34,$B23)+COUNTIF('8月'!J4:J34,$B23)+COUNTIF('8月'!N4:N34,$B23)+COUNTIF('8月'!O4:O34,$B23)+COUNTIF('8月'!S4:S34,$B23)+COUNTIF('8月'!T4:T34,$B23)+COUNTIF('8月'!X4:X34,$B23)+COUNTIF('8月'!Y4:Y34,$B23)+COUNTIF('8月'!AC4:AC34,$B23)+COUNTIF('8月'!AD4:AD34,$B23)+COUNTIF('8月'!AH4:AH34,$B23)+COUNTIF('8月'!AI4:AI34,$B23)+COUNTIF('8月'!AM4:AM34,$B23)+COUNTIF('8月'!AN4:AN34,$B23)+COUNTIF('8月'!AR4:AR34,$B23)+COUNTIF('8月'!AS4:AS34,$B23)+COUNTIF('8月'!AW4:AW34,$B23)+COUNTIF('8月'!AX4:AX34,$B23)+COUNTIF('8月'!BB4:BB34,$B23)+COUNTIF('8月'!BC4:BC34,$B23)+COUNTIF('8月'!BG4:BG34,$B23)+COUNTIF('8月'!BH4:BH34,$B23)+COUNTIF('8月'!BL4:BL34,$B23)+COUNTIF('8月'!BM4:BM34,$B23)+COUNTIF('8月'!BQ4:BQ34,$B23)+COUNTIF('8月'!BR4:BR34,$B23)+COUNTIF('8月'!BV4:BV34,$B23)+COUNTIF('8月'!BW4:BW34,$B23)+COUNTIF('8月'!CA4:CA34,$B23)+COUNTIF('8月'!CB4:CB34,$B23)+COUNTIF('8月'!CF4:CF34,$B23)+COUNTIF('8月'!CG4:CG34,$B23)+COUNTIF('8月'!CK4:CK34,$B23)+COUNTIF('8月'!CL4:CL34,$B23)+COUNTIF('8月'!CP4:CP34,$B23)+COUNTIF('8月'!CQ4:CQ34,$B23)+COUNTIF('8月'!CU4:CU34,$B23)+COUNTIF('8月'!CV4:CV34,$B23)+COUNTIF('8月'!CZ4:CZ34,$B23)+COUNTIF('8月'!DA4:DA34,$B23)+COUNTIF('8月'!DE4:DE34,$B23)+COUNTIF('8月'!DF4:DF34,$B23)+COUNTIF('8月'!DJ4:DJ34,$B23)+COUNTIF('8月'!DK4:DK34,$B23)+COUNTIF('8月'!DO4:DO34,$B23)+COUNTIF('8月'!DP4:DP34,$B23)+COUNTIF('8月'!DT4:DT34,$B23)+COUNTIF('8月'!DU4:DU34,$B23)+COUNTIF('8月'!DY4:DY34,$B23)+COUNTIF('8月'!DZ4:DZ34,$B23)+COUNTIF('8月'!ED4:ED34,$B23)+COUNTIF('8月'!EE4:EE34,$B23)+COUNTIF('8月'!EI4:EI34,$B23)+COUNTIF('8月'!EJ4:EJ34,$B23)+COUNTIF('8月'!EN4:EN34,$B23)+COUNTIF('8月'!EO4:EO34,$B23)+COUNTIF('8月'!ES4:ES34,$B23)+COUNTIF('8月'!ET4:ET34,$B23)),0)</f>
        <v>0</v>
      </c>
      <c r="K23" s="76">
        <f>IFERROR(IF($B23="","",COUNTIF('9月'!D4:D34,$B23)+COUNTIF('9月'!E4:E34,$B23)+COUNTIF('9月'!I4:I34,$B23)+COUNTIF('9月'!J4:J34,$B23)+COUNTIF('9月'!N4:N34,$B23)+COUNTIF('9月'!O4:O34,$B23)+COUNTIF('9月'!S4:S34,$B23)+COUNTIF('9月'!T4:T34,$B23)+COUNTIF('9月'!X4:X34,$B23)+COUNTIF('9月'!Y4:Y34,$B23)+COUNTIF('9月'!AC4:AC34,$B23)+COUNTIF('9月'!AD4:AD34,$B23)+COUNTIF('9月'!AH4:AH34,$B23)+COUNTIF('9月'!AI4:AI34,$B23)+COUNTIF('9月'!AM4:AM34,$B23)+COUNTIF('9月'!AN4:AN34,$B23)+COUNTIF('9月'!AR4:AR34,$B23)+COUNTIF('9月'!AS4:AS34,$B23)+COUNTIF('9月'!AW4:AW34,$B23)+COUNTIF('9月'!AX4:AX34,$B23)+COUNTIF('9月'!BB4:BB34,$B23)+COUNTIF('9月'!BC4:BC34,$B23)+COUNTIF('9月'!BG4:BG34,$B23)+COUNTIF('9月'!BH4:BH34,$B23)+COUNTIF('9月'!BL4:BL34,$B23)+COUNTIF('9月'!BM4:BM34,$B23)+COUNTIF('9月'!BQ4:BQ34,$B23)+COUNTIF('9月'!BR4:BR34,$B23)+COUNTIF('9月'!BV4:BV34,$B23)+COUNTIF('9月'!BW4:BW34,$B23)+COUNTIF('9月'!CA4:CA34,$B23)+COUNTIF('9月'!CB4:CB34,$B23)+COUNTIF('9月'!CF4:CF34,$B23)+COUNTIF('9月'!CG4:CG34,$B23)+COUNTIF('9月'!CK4:CK34,$B23)+COUNTIF('9月'!CL4:CL34,$B23)+COUNTIF('9月'!CP4:CP34,$B23)+COUNTIF('9月'!CQ4:CQ34,$B23)+COUNTIF('9月'!CU4:CU34,$B23)+COUNTIF('9月'!CV4:CV34,$B23)+COUNTIF('9月'!CZ4:CZ34,$B23)+COUNTIF('9月'!DA4:DA34,$B23)+COUNTIF('9月'!DE4:DE34,$B23)+COUNTIF('9月'!DF4:DF34,$B23)+COUNTIF('9月'!DJ4:DJ34,$B23)+COUNTIF('9月'!DK4:DK34,$B23)+COUNTIF('9月'!DO4:DO34,$B23)+COUNTIF('9月'!DP4:DP34,$B23)+COUNTIF('9月'!DT4:DT34,$B23)+COUNTIF('9月'!DU4:DU34,$B23)+COUNTIF('9月'!DY4:DY34,$B23)+COUNTIF('9月'!DZ4:DZ34,$B23)+COUNTIF('9月'!ED4:ED34,$B23)+COUNTIF('9月'!EE4:EE34,$B23)+COUNTIF('9月'!EI4:EI34,$B23)+COUNTIF('9月'!EJ4:EJ34,$B23)+COUNTIF('9月'!EN4:EN34,$B23)+COUNTIF('9月'!EO4:EO34,$B23)+COUNTIF('9月'!ES4:ES34,$B23)+COUNTIF('9月'!ET4:ET34,$B23)),0)</f>
        <v>0</v>
      </c>
      <c r="L23" s="76">
        <f>IFERROR(IF($B23="","",COUNTIF('10月'!D4:D34,$B23)+COUNTIF('10月'!E4:E34,$B23)+COUNTIF('10月'!I4:I34,$B23)+COUNTIF('10月'!J4:J34,$B23)+COUNTIF('10月'!N4:N34,$B23)+COUNTIF('10月'!O4:O34,$B23)+COUNTIF('10月'!S4:S34,$B23)+COUNTIF('10月'!T4:T34,$B23)+COUNTIF('10月'!X4:X34,$B23)+COUNTIF('10月'!Y4:Y34,$B23)+COUNTIF('10月'!AC4:AC34,$B23)+COUNTIF('10月'!AD4:AD34,$B23)+COUNTIF('10月'!AH4:AH34,$B23)+COUNTIF('10月'!AI4:AI34,$B23)+COUNTIF('10月'!AM4:AM34,$B23)+COUNTIF('10月'!AN4:AN34,$B23)+COUNTIF('10月'!AR4:AR34,$B23)+COUNTIF('10月'!AS4:AS34,$B23)+COUNTIF('10月'!AW4:AW34,$B23)+COUNTIF('10月'!AX4:AX34,$B23)+COUNTIF('10月'!BB4:BB34,$B23)+COUNTIF('10月'!BC4:BC34,$B23)+COUNTIF('10月'!BG4:BG34,$B23)+COUNTIF('10月'!BH4:BH34,$B23)+COUNTIF('10月'!BL4:BL34,$B23)+COUNTIF('10月'!BM4:BM34,$B23)+COUNTIF('10月'!BQ4:BQ34,$B23)+COUNTIF('10月'!BR4:BR34,$B23)+COUNTIF('10月'!BV4:BV34,$B23)+COUNTIF('10月'!BW4:BW34,$B23)+COUNTIF('10月'!CA4:CA34,$B23)+COUNTIF('10月'!CB4:CB34,$B23)+COUNTIF('10月'!CF4:CF34,$B23)+COUNTIF('10月'!CG4:CG34,$B23)+COUNTIF('10月'!CK4:CK34,$B23)+COUNTIF('10月'!CL4:CL34,$B23)+COUNTIF('10月'!CP4:CP34,$B23)+COUNTIF('10月'!CQ4:CQ34,$B23)+COUNTIF('10月'!CU4:CU34,$B23)+COUNTIF('10月'!CV4:CV34,$B23)+COUNTIF('10月'!CZ4:CZ34,$B23)+COUNTIF('10月'!DA4:DA34,$B23)+COUNTIF('10月'!DE4:DE34,$B23)+COUNTIF('10月'!DF4:DF34,$B23)+COUNTIF('10月'!DJ4:DJ34,$B23)+COUNTIF('10月'!DK4:DK34,$B23)+COUNTIF('10月'!DO4:DO34,$B23)+COUNTIF('10月'!DP4:DP34,$B23)+COUNTIF('10月'!DT4:DT34,$B23)+COUNTIF('10月'!DU4:DU34,$B23)+COUNTIF('10月'!DY4:DY34,$B23)+COUNTIF('10月'!DZ4:DZ34,$B23)+COUNTIF('10月'!ED4:ED34,$B23)+COUNTIF('10月'!EE4:EE34,$B23)+COUNTIF('10月'!EI4:EI34,$B23)+COUNTIF('10月'!EJ4:EJ34,$B23)+COUNTIF('10月'!EN4:EN34,$B23)+COUNTIF('10月'!EO4:EO34,$B23)+COUNTIF('10月'!ES4:ES34,$B23)+COUNTIF('10月'!ET4:ET34,$B23)),0)</f>
        <v>0</v>
      </c>
      <c r="M23" s="76">
        <f>IFERROR(IF($B23="","",COUNTIF('11月'!D4:D34,$B23)+COUNTIF('11月'!E4:E34,$B23)+COUNTIF('11月'!I4:I34,$B23)+COUNTIF('11月'!J4:J34,$B23)+COUNTIF('11月'!N4:N34,$B23)+COUNTIF('11月'!O4:O34,$B23)+COUNTIF('11月'!S4:S34,$B23)+COUNTIF('11月'!T4:T34,$B23)+COUNTIF('11月'!X4:X34,$B23)+COUNTIF('11月'!Y4:Y34,$B23)+COUNTIF('11月'!AC4:AC34,$B23)+COUNTIF('11月'!AD4:AD34,$B23)+COUNTIF('11月'!AH4:AH34,$B23)+COUNTIF('11月'!AI4:AI34,$B23)+COUNTIF('11月'!AM4:AM34,$B23)+COUNTIF('11月'!AN4:AN34,$B23)+COUNTIF('11月'!AR4:AR34,$B23)+COUNTIF('11月'!AS4:AS34,$B23)+COUNTIF('11月'!AW4:AW34,$B23)+COUNTIF('11月'!AX4:AX34,$B23)+COUNTIF('11月'!BB4:BB34,$B23)+COUNTIF('11月'!BC4:BC34,$B23)+COUNTIF('11月'!BG4:BG34,$B23)+COUNTIF('11月'!BH4:BH34,$B23)+COUNTIF('11月'!BL4:BL34,$B23)+COUNTIF('11月'!BM4:BM34,$B23)+COUNTIF('11月'!BQ4:BQ34,$B23)+COUNTIF('11月'!BR4:BR34,$B23)+COUNTIF('11月'!BV4:BV34,$B23)+COUNTIF('11月'!BW4:BW34,$B23)+COUNTIF('11月'!CA4:CA34,$B23)+COUNTIF('11月'!CB4:CB34,$B23)+COUNTIF('11月'!CF4:CF34,$B23)+COUNTIF('11月'!CG4:CG34,$B23)+COUNTIF('11月'!CK4:CK34,$B23)+COUNTIF('11月'!CL4:CL34,$B23)+COUNTIF('11月'!CP4:CP34,$B23)+COUNTIF('11月'!CQ4:CQ34,$B23)+COUNTIF('11月'!CU4:CU34,$B23)+COUNTIF('11月'!CV4:CV34,$B23)+COUNTIF('11月'!CZ4:CZ34,$B23)+COUNTIF('11月'!DA4:DA34,$B23)+COUNTIF('11月'!DE4:DE34,$B23)+COUNTIF('11月'!DF4:DF34,$B23)+COUNTIF('11月'!DJ4:DJ34,$B23)+COUNTIF('11月'!DK4:DK34,$B23)+COUNTIF('11月'!DO4:DO34,$B23)+COUNTIF('11月'!DP4:DP34,$B23)+COUNTIF('11月'!DT4:DT34,$B23)+COUNTIF('11月'!DU4:DU34,$B23)+COUNTIF('11月'!DY4:DY34,$B23)+COUNTIF('11月'!DZ4:DZ34,$B23)+COUNTIF('11月'!ED4:ED34,$B23)+COUNTIF('11月'!EE4:EE34,$B23)+COUNTIF('11月'!EI4:EI34,$B23)+COUNTIF('11月'!EJ4:EJ34,$B23)+COUNTIF('11月'!EN4:EN34,$B23)+COUNTIF('11月'!EO4:EO34,$B23)+COUNTIF('11月'!ES4:ES34,$B23)+COUNTIF('11月'!ET4:ET34,$B23)),0)</f>
        <v>0</v>
      </c>
      <c r="N23" s="76">
        <f>IFERROR(IF($B23="","",COUNTIF('12月'!D4:D34,$B23)+COUNTIF('12月'!E4:E34,$B23)+COUNTIF('12月'!I4:I34,$B23)+COUNTIF('12月'!J4:J34,$B23)+COUNTIF('12月'!N4:N34,$B23)+COUNTIF('12月'!O4:O34,$B23)+COUNTIF('12月'!S4:S34,$B23)+COUNTIF('12月'!T4:T34,$B23)+COUNTIF('12月'!X4:X34,$B23)+COUNTIF('12月'!Y4:Y34,$B23)+COUNTIF('12月'!AC4:AC34,$B23)+COUNTIF('12月'!AD4:AD34,$B23)+COUNTIF('12月'!AH4:AH34,$B23)+COUNTIF('12月'!AI4:AI34,$B23)+COUNTIF('12月'!AM4:AM34,$B23)+COUNTIF('12月'!AN4:AN34,$B23)+COUNTIF('12月'!AR4:AR34,$B23)+COUNTIF('12月'!AS4:AS34,$B23)+COUNTIF('12月'!AW4:AW34,$B23)+COUNTIF('12月'!AX4:AX34,$B23)+COUNTIF('12月'!BB4:BB34,$B23)+COUNTIF('12月'!BC4:BC34,$B23)+COUNTIF('12月'!BG4:BG34,$B23)+COUNTIF('12月'!BH4:BH34,$B23)+COUNTIF('12月'!BL4:BL34,$B23)+COUNTIF('12月'!BM4:BM34,$B23)+COUNTIF('12月'!BQ4:BQ34,$B23)+COUNTIF('12月'!BR4:BR34,$B23)+COUNTIF('12月'!BV4:BV34,$B23)+COUNTIF('12月'!BW4:BW34,$B23)+COUNTIF('12月'!CA4:CA34,$B23)+COUNTIF('12月'!CB4:CB34,$B23)+COUNTIF('12月'!CF4:CF34,$B23)+COUNTIF('12月'!CG4:CG34,$B23)+COUNTIF('12月'!CK4:CK34,$B23)+COUNTIF('12月'!CL4:CL34,$B23)+COUNTIF('12月'!CP4:CP34,$B23)+COUNTIF('12月'!CQ4:CQ34,$B23)+COUNTIF('12月'!CU4:CU34,$B23)+COUNTIF('12月'!CV4:CV34,$B23)+COUNTIF('12月'!CZ4:CZ34,$B23)+COUNTIF('12月'!DA4:DA34,$B23)+COUNTIF('12月'!DE4:DE34,$B23)+COUNTIF('12月'!DF4:DF34,$B23)+COUNTIF('12月'!DJ4:DJ34,$B23)+COUNTIF('12月'!DK4:DK34,$B23)+COUNTIF('12月'!DO4:DO34,$B23)+COUNTIF('12月'!DP4:DP34,$B23)+COUNTIF('12月'!DT4:DT34,$B23)+COUNTIF('12月'!DU4:DU34,$B23)+COUNTIF('12月'!DY4:DY34,$B23)+COUNTIF('12月'!DZ4:DZ34,$B23)+COUNTIF('12月'!ED4:ED34,$B23)+COUNTIF('12月'!EE4:EE34,$B23)+COUNTIF('12月'!EI4:EI34,$B23)+COUNTIF('12月'!EJ4:EJ34,$B23)+COUNTIF('12月'!EN4:EN34,$B23)+COUNTIF('12月'!EO4:EO34,$B23)+COUNTIF('12月'!ES4:ES34,$B23)+COUNTIF('12月'!ET4:ET34,$B23)),0)</f>
        <v>0</v>
      </c>
      <c r="O23" s="78">
        <f t="shared" si="0"/>
        <v>0</v>
      </c>
    </row>
    <row r="24" spans="1:15" ht="19.5" customHeight="1">
      <c r="A24" s="76">
        <v>22</v>
      </c>
      <c r="B24" s="77">
        <f>IFERROR(現場マスタ!$C$25,"")</f>
        <v>0</v>
      </c>
      <c r="C24" s="76">
        <f>IFERROR(IF($B24="","",COUNTIF('1月'!D4:D34,$B24)+COUNTIF('1月'!E4:E34,$B24)+COUNTIF('1月'!I4:I34,$B24)+COUNTIF('1月'!J4:J34,$B24)+COUNTIF('1月'!N4:N34,$B24)+COUNTIF('1月'!O4:O34,$B24)+COUNTIF('1月'!S4:S34,$B24)+COUNTIF('1月'!T4:T34,$B24)+COUNTIF('1月'!X4:X34,$B24)+COUNTIF('1月'!Y4:Y34,$B24)+COUNTIF('1月'!AC4:AC34,$B24)+COUNTIF('1月'!AD4:AD34,$B24)+COUNTIF('1月'!AH4:AH34,$B24)+COUNTIF('1月'!AI4:AI34,$B24)+COUNTIF('1月'!AM4:AM34,$B24)+COUNTIF('1月'!AN4:AN34,$B24)+COUNTIF('1月'!AR4:AR34,$B24)+COUNTIF('1月'!AS4:AS34,$B24)+COUNTIF('1月'!AW4:AW34,$B24)+COUNTIF('1月'!AX4:AX34,$B24)+COUNTIF('1月'!BB4:BB34,$B24)+COUNTIF('1月'!BC4:BC34,$B24)+COUNTIF('1月'!BG4:BG34,$B24)+COUNTIF('1月'!BH4:BH34,$B24)+COUNTIF('1月'!BL4:BL34,$B24)+COUNTIF('1月'!BM4:BM34,$B24)+COUNTIF('1月'!BQ4:BQ34,$B24)+COUNTIF('1月'!BR4:BR34,$B24)+COUNTIF('1月'!BV4:BV34,$B24)+COUNTIF('1月'!BW4:BW34,$B24)+COUNTIF('1月'!CA4:CA34,$B24)+COUNTIF('1月'!CB4:CB34,$B24)+COUNTIF('1月'!CF4:CF34,$B24)+COUNTIF('1月'!CG4:CG34,$B24)+COUNTIF('1月'!CK4:CK34,$B24)+COUNTIF('1月'!CL4:CL34,$B24)+COUNTIF('1月'!CP4:CP34,$B24)+COUNTIF('1月'!CQ4:CQ34,$B24)+COUNTIF('1月'!CU4:CU34,$B24)+COUNTIF('1月'!CV4:CV34,$B24)+COUNTIF('1月'!CZ4:CZ34,$B24)+COUNTIF('1月'!DA4:DA34,$B24)+COUNTIF('1月'!DE4:DE34,$B24)+COUNTIF('1月'!DF4:DF34,$B24)+COUNTIF('1月'!DJ4:DJ34,$B24)+COUNTIF('1月'!DK4:DK34,$B24)+COUNTIF('1月'!DO4:DO34,$B24)+COUNTIF('1月'!DP4:DP34,$B24)+COUNTIF('1月'!DT4:DT34,$B24)+COUNTIF('1月'!DU4:DU34,$B24)+COUNTIF('1月'!DY4:DY34,$B24)+COUNTIF('1月'!DZ4:DZ34,$B24)+COUNTIF('1月'!ED4:ED34,$B24)+COUNTIF('1月'!EE4:EE34,$B24)+COUNTIF('1月'!EI4:EI34,$B24)+COUNTIF('1月'!EJ4:EJ34,$B24)+COUNTIF('1月'!EN4:EN34,$B24)+COUNTIF('1月'!EO4:EO34,$B24)+COUNTIF('1月'!ES4:ES34,$B24)+COUNTIF('1月'!ET4:ET34,$B24)),0)</f>
        <v>0</v>
      </c>
      <c r="D24" s="76">
        <f>IFERROR(IF($B24="","",COUNTIF('2月'!D4:D34,$B24)+COUNTIF('2月'!E4:E34,$B24)+COUNTIF('2月'!I4:I34,$B24)+COUNTIF('2月'!J4:J34,$B24)+COUNTIF('2月'!N4:N34,$B24)+COUNTIF('2月'!O4:O34,$B24)+COUNTIF('2月'!S4:S34,$B24)+COUNTIF('2月'!T4:T34,$B24)+COUNTIF('2月'!X4:X34,$B24)+COUNTIF('2月'!Y4:Y34,$B24)+COUNTIF('2月'!AC4:AC34,$B24)+COUNTIF('2月'!AD4:AD34,$B24)+COUNTIF('2月'!AH4:AH34,$B24)+COUNTIF('2月'!AI4:AI34,$B24)+COUNTIF('2月'!AM4:AM34,$B24)+COUNTIF('2月'!AN4:AN34,$B24)+COUNTIF('2月'!AR4:AR34,$B24)+COUNTIF('2月'!AS4:AS34,$B24)+COUNTIF('2月'!AW4:AW34,$B24)+COUNTIF('2月'!AX4:AX34,$B24)+COUNTIF('2月'!BB4:BB34,$B24)+COUNTIF('2月'!BC4:BC34,$B24)+COUNTIF('2月'!BG4:BG34,$B24)+COUNTIF('2月'!BH4:BH34,$B24)+COUNTIF('2月'!BL4:BL34,$B24)+COUNTIF('2月'!BM4:BM34,$B24)+COUNTIF('2月'!BQ4:BQ34,$B24)+COUNTIF('2月'!BR4:BR34,$B24)+COUNTIF('2月'!BV4:BV34,$B24)+COUNTIF('2月'!BW4:BW34,$B24)+COUNTIF('2月'!CA4:CA34,$B24)+COUNTIF('2月'!CB4:CB34,$B24)+COUNTIF('2月'!CF4:CF34,$B24)+COUNTIF('2月'!CG4:CG34,$B24)+COUNTIF('2月'!CK4:CK34,$B24)+COUNTIF('2月'!CL4:CL34,$B24)+COUNTIF('2月'!CP4:CP34,$B24)+COUNTIF('2月'!CQ4:CQ34,$B24)+COUNTIF('2月'!CU4:CU34,$B24)+COUNTIF('2月'!CV4:CV34,$B24)+COUNTIF('2月'!CZ4:CZ34,$B24)+COUNTIF('2月'!DA4:DA34,$B24)+COUNTIF('2月'!DE4:DE34,$B24)+COUNTIF('2月'!DF4:DF34,$B24)+COUNTIF('2月'!DJ4:DJ34,$B24)+COUNTIF('2月'!DK4:DK34,$B24)+COUNTIF('2月'!DO4:DO34,$B24)+COUNTIF('2月'!DP4:DP34,$B24)+COUNTIF('2月'!DT4:DT34,$B24)+COUNTIF('2月'!DU4:DU34,$B24)+COUNTIF('2月'!DY4:DY34,$B24)+COUNTIF('2月'!DZ4:DZ34,$B24)+COUNTIF('2月'!ED4:ED34,$B24)+COUNTIF('2月'!EE4:EE34,$B24)+COUNTIF('2月'!EI4:EI34,$B24)+COUNTIF('2月'!EJ4:EJ34,$B24)+COUNTIF('2月'!EN4:EN34,$B24)+COUNTIF('2月'!EO4:EO34,$B24)+COUNTIF('2月'!ES4:ES34,$B24)+COUNTIF('2月'!ET4:ET34,$B24)),0)</f>
        <v>0</v>
      </c>
      <c r="E24" s="76">
        <f>IFERROR(IF($B24="","",COUNTIF('3月'!D4:D34,$B24)+COUNTIF('3月'!E4:E34,$B24)+COUNTIF('3月'!I4:I34,$B24)+COUNTIF('3月'!J4:J34,$B24)+COUNTIF('3月'!N4:N34,$B24)+COUNTIF('3月'!O4:O34,$B24)+COUNTIF('3月'!S4:S34,$B24)+COUNTIF('3月'!T4:T34,$B24)+COUNTIF('3月'!X4:X34,$B24)+COUNTIF('3月'!Y4:Y34,$B24)+COUNTIF('3月'!AC4:AC34,$B24)+COUNTIF('3月'!AD4:AD34,$B24)+COUNTIF('3月'!AH4:AH34,$B24)+COUNTIF('3月'!AI4:AI34,$B24)+COUNTIF('3月'!AM4:AM34,$B24)+COUNTIF('3月'!AN4:AN34,$B24)+COUNTIF('3月'!AR4:AR34,$B24)+COUNTIF('3月'!AS4:AS34,$B24)+COUNTIF('3月'!AW4:AW34,$B24)+COUNTIF('3月'!AX4:AX34,$B24)+COUNTIF('3月'!BB4:BB34,$B24)+COUNTIF('3月'!BC4:BC34,$B24)+COUNTIF('3月'!BG4:BG34,$B24)+COUNTIF('3月'!BH4:BH34,$B24)+COUNTIF('3月'!BL4:BL34,$B24)+COUNTIF('3月'!BM4:BM34,$B24)+COUNTIF('3月'!BQ4:BQ34,$B24)+COUNTIF('3月'!BR4:BR34,$B24)+COUNTIF('3月'!BV4:BV34,$B24)+COUNTIF('3月'!BW4:BW34,$B24)+COUNTIF('3月'!CA4:CA34,$B24)+COUNTIF('3月'!CB4:CB34,$B24)+COUNTIF('3月'!CF4:CF34,$B24)+COUNTIF('3月'!CG4:CG34,$B24)+COUNTIF('3月'!CK4:CK34,$B24)+COUNTIF('3月'!CL4:CL34,$B24)+COUNTIF('3月'!CP4:CP34,$B24)+COUNTIF('3月'!CQ4:CQ34,$B24)+COUNTIF('3月'!CU4:CU34,$B24)+COUNTIF('3月'!CV4:CV34,$B24)+COUNTIF('3月'!CZ4:CZ34,$B24)+COUNTIF('3月'!DA4:DA34,$B24)+COUNTIF('3月'!DE4:DE34,$B24)+COUNTIF('3月'!DF4:DF34,$B24)+COUNTIF('3月'!DJ4:DJ34,$B24)+COUNTIF('3月'!DK4:DK34,$B24)+COUNTIF('3月'!DO4:DO34,$B24)+COUNTIF('3月'!DP4:DP34,$B24)+COUNTIF('3月'!DT4:DT34,$B24)+COUNTIF('3月'!DU4:DU34,$B24)+COUNTIF('3月'!DY4:DY34,$B24)+COUNTIF('3月'!DZ4:DZ34,$B24)+COUNTIF('3月'!ED4:ED34,$B24)+COUNTIF('3月'!EE4:EE34,$B24)+COUNTIF('3月'!EI4:EI34,$B24)+COUNTIF('3月'!EJ4:EJ34,$B24)+COUNTIF('3月'!EN4:EN34,$B24)+COUNTIF('3月'!EO4:EO34,$B24)+COUNTIF('3月'!ES4:ES34,$B24)+COUNTIF('3月'!ET4:ET34,$B24)),0)</f>
        <v>0</v>
      </c>
      <c r="F24" s="76">
        <f>IFERROR(IF($B24="","",COUNTIF('4月'!D4:D34,$B24)+COUNTIF('4月'!E4:E34,$B24)+COUNTIF('4月'!I4:I34,$B24)+COUNTIF('4月'!J4:J34,$B24)+COUNTIF('4月'!N4:N34,$B24)+COUNTIF('4月'!O4:O34,$B24)+COUNTIF('4月'!S4:S34,$B24)+COUNTIF('4月'!T4:T34,$B24)+COUNTIF('4月'!X4:X34,$B24)+COUNTIF('4月'!Y4:Y34,$B24)+COUNTIF('4月'!AC4:AC34,$B24)+COUNTIF('4月'!AD4:AD34,$B24)+COUNTIF('4月'!AH4:AH34,$B24)+COUNTIF('4月'!AI4:AI34,$B24)+COUNTIF('4月'!AM4:AM34,$B24)+COUNTIF('4月'!AN4:AN34,$B24)+COUNTIF('4月'!AR4:AR34,$B24)+COUNTIF('4月'!AS4:AS34,$B24)+COUNTIF('4月'!AW4:AW34,$B24)+COUNTIF('4月'!AX4:AX34,$B24)+COUNTIF('4月'!BB4:BB34,$B24)+COUNTIF('4月'!BC4:BC34,$B24)+COUNTIF('4月'!BG4:BG34,$B24)+COUNTIF('4月'!BH4:BH34,$B24)+COUNTIF('4月'!BL4:BL34,$B24)+COUNTIF('4月'!BM4:BM34,$B24)+COUNTIF('4月'!BQ4:BQ34,$B24)+COUNTIF('4月'!BR4:BR34,$B24)+COUNTIF('4月'!BV4:BV34,$B24)+COUNTIF('4月'!BW4:BW34,$B24)+COUNTIF('4月'!CA4:CA34,$B24)+COUNTIF('4月'!CB4:CB34,$B24)+COUNTIF('4月'!CF4:CF34,$B24)+COUNTIF('4月'!CG4:CG34,$B24)+COUNTIF('4月'!CK4:CK34,$B24)+COUNTIF('4月'!CL4:CL34,$B24)+COUNTIF('4月'!CP4:CP34,$B24)+COUNTIF('4月'!CQ4:CQ34,$B24)+COUNTIF('4月'!CU4:CU34,$B24)+COUNTIF('4月'!CV4:CV34,$B24)+COUNTIF('4月'!CZ4:CZ34,$B24)+COUNTIF('4月'!DA4:DA34,$B24)+COUNTIF('4月'!DE4:DE34,$B24)+COUNTIF('4月'!DF4:DF34,$B24)+COUNTIF('4月'!DJ4:DJ34,$B24)+COUNTIF('4月'!DK4:DK34,$B24)+COUNTIF('4月'!DO4:DO34,$B24)+COUNTIF('4月'!DP4:DP34,$B24)+COUNTIF('4月'!DT4:DT34,$B24)+COUNTIF('4月'!DU4:DU34,$B24)+COUNTIF('4月'!DY4:DY34,$B24)+COUNTIF('4月'!DZ4:DZ34,$B24)+COUNTIF('4月'!ED4:ED34,$B24)+COUNTIF('4月'!EE4:EE34,$B24)+COUNTIF('4月'!EI4:EI34,$B24)+COUNTIF('4月'!EJ4:EJ34,$B24)+COUNTIF('4月'!EN4:EN34,$B24)+COUNTIF('4月'!EO4:EO34,$B24)+COUNTIF('4月'!ES4:ES34,$B24)+COUNTIF('4月'!ET4:ET34,$B24)),0)</f>
        <v>0</v>
      </c>
      <c r="G24" s="76">
        <f>IFERROR(IF($B24="","",COUNTIF('5月'!D4:D34,$B24)+COUNTIF('5月'!E4:E34,$B24)+COUNTIF('5月'!I4:I34,$B24)+COUNTIF('5月'!J4:J34,$B24)+COUNTIF('5月'!N4:N34,$B24)+COUNTIF('5月'!O4:O34,$B24)+COUNTIF('5月'!S4:S34,$B24)+COUNTIF('5月'!T4:T34,$B24)+COUNTIF('5月'!X4:X34,$B24)+COUNTIF('5月'!Y4:Y34,$B24)+COUNTIF('5月'!AC4:AC34,$B24)+COUNTIF('5月'!AD4:AD34,$B24)+COUNTIF('5月'!AH4:AH34,$B24)+COUNTIF('5月'!AI4:AI34,$B24)+COUNTIF('5月'!AM4:AM34,$B24)+COUNTIF('5月'!AN4:AN34,$B24)+COUNTIF('5月'!AR4:AR34,$B24)+COUNTIF('5月'!AS4:AS34,$B24)+COUNTIF('5月'!AW4:AW34,$B24)+COUNTIF('5月'!AX4:AX34,$B24)+COUNTIF('5月'!BB4:BB34,$B24)+COUNTIF('5月'!BC4:BC34,$B24)+COUNTIF('5月'!BG4:BG34,$B24)+COUNTIF('5月'!BH4:BH34,$B24)+COUNTIF('5月'!BL4:BL34,$B24)+COUNTIF('5月'!BM4:BM34,$B24)+COUNTIF('5月'!BQ4:BQ34,$B24)+COUNTIF('5月'!BR4:BR34,$B24)+COUNTIF('5月'!BV4:BV34,$B24)+COUNTIF('5月'!BW4:BW34,$B24)+COUNTIF('5月'!CA4:CA34,$B24)+COUNTIF('5月'!CB4:CB34,$B24)+COUNTIF('5月'!CF4:CF34,$B24)+COUNTIF('5月'!CG4:CG34,$B24)+COUNTIF('5月'!CK4:CK34,$B24)+COUNTIF('5月'!CL4:CL34,$B24)+COUNTIF('5月'!CP4:CP34,$B24)+COUNTIF('5月'!CQ4:CQ34,$B24)+COUNTIF('5月'!CU4:CU34,$B24)+COUNTIF('5月'!CV4:CV34,$B24)+COUNTIF('5月'!CZ4:CZ34,$B24)+COUNTIF('5月'!DA4:DA34,$B24)+COUNTIF('5月'!DE4:DE34,$B24)+COUNTIF('5月'!DF4:DF34,$B24)+COUNTIF('5月'!DJ4:DJ34,$B24)+COUNTIF('5月'!DK4:DK34,$B24)+COUNTIF('5月'!DO4:DO34,$B24)+COUNTIF('5月'!DP4:DP34,$B24)+COUNTIF('5月'!DT4:DT34,$B24)+COUNTIF('5月'!DU4:DU34,$B24)+COUNTIF('5月'!DY4:DY34,$B24)+COUNTIF('5月'!DZ4:DZ34,$B24)+COUNTIF('5月'!ED4:ED34,$B24)+COUNTIF('5月'!EE4:EE34,$B24)+COUNTIF('5月'!EI4:EI34,$B24)+COUNTIF('5月'!EJ4:EJ34,$B24)+COUNTIF('5月'!EN4:EN34,$B24)+COUNTIF('5月'!EO4:EO34,$B24)+COUNTIF('5月'!ES4:ES34,$B24)+COUNTIF('5月'!ET4:ET34,$B24)),0)</f>
        <v>0</v>
      </c>
      <c r="H24" s="76">
        <f>IFERROR(IF($B24="","",COUNTIF('6月'!D4:D34,$B24)+COUNTIF('6月'!E4:E34,$B24)+COUNTIF('6月'!I4:I34,$B24)+COUNTIF('6月'!J4:J34,$B24)+COUNTIF('6月'!N4:N34,$B24)+COUNTIF('6月'!O4:O34,$B24)+COUNTIF('6月'!S4:S34,$B24)+COUNTIF('6月'!T4:T34,$B24)+COUNTIF('6月'!X4:X34,$B24)+COUNTIF('6月'!Y4:Y34,$B24)+COUNTIF('6月'!AC4:AC34,$B24)+COUNTIF('6月'!AD4:AD34,$B24)+COUNTIF('6月'!AH4:AH34,$B24)+COUNTIF('6月'!AI4:AI34,$B24)+COUNTIF('6月'!AM4:AM34,$B24)+COUNTIF('6月'!AN4:AN34,$B24)+COUNTIF('6月'!AR4:AR34,$B24)+COUNTIF('6月'!AS4:AS34,$B24)+COUNTIF('6月'!AW4:AW34,$B24)+COUNTIF('6月'!AX4:AX34,$B24)+COUNTIF('6月'!BB4:BB34,$B24)+COUNTIF('6月'!BC4:BC34,$B24)+COUNTIF('6月'!BG4:BG34,$B24)+COUNTIF('6月'!BH4:BH34,$B24)+COUNTIF('6月'!BL4:BL34,$B24)+COUNTIF('6月'!BM4:BM34,$B24)+COUNTIF('6月'!BQ4:BQ34,$B24)+COUNTIF('6月'!BR4:BR34,$B24)+COUNTIF('6月'!BV4:BV34,$B24)+COUNTIF('6月'!BW4:BW34,$B24)+COUNTIF('6月'!CA4:CA34,$B24)+COUNTIF('6月'!CB4:CB34,$B24)+COUNTIF('6月'!CF4:CF34,$B24)+COUNTIF('6月'!CG4:CG34,$B24)+COUNTIF('6月'!CK4:CK34,$B24)+COUNTIF('6月'!CL4:CL34,$B24)+COUNTIF('6月'!CP4:CP34,$B24)+COUNTIF('6月'!CQ4:CQ34,$B24)+COUNTIF('6月'!CU4:CU34,$B24)+COUNTIF('6月'!CV4:CV34,$B24)+COUNTIF('6月'!CZ4:CZ34,$B24)+COUNTIF('6月'!DA4:DA34,$B24)+COUNTIF('6月'!DE4:DE34,$B24)+COUNTIF('6月'!DF4:DF34,$B24)+COUNTIF('6月'!DJ4:DJ34,$B24)+COUNTIF('6月'!DK4:DK34,$B24)+COUNTIF('6月'!DO4:DO34,$B24)+COUNTIF('6月'!DP4:DP34,$B24)+COUNTIF('6月'!DT4:DT34,$B24)+COUNTIF('6月'!DU4:DU34,$B24)+COUNTIF('6月'!DY4:DY34,$B24)+COUNTIF('6月'!DZ4:DZ34,$B24)+COUNTIF('6月'!ED4:ED34,$B24)+COUNTIF('6月'!EE4:EE34,$B24)+COUNTIF('6月'!EI4:EI34,$B24)+COUNTIF('6月'!EJ4:EJ34,$B24)+COUNTIF('6月'!EN4:EN34,$B24)+COUNTIF('6月'!EO4:EO34,$B24)+COUNTIF('6月'!ES4:ES34,$B24)+COUNTIF('6月'!ET4:ET34,$B24)),0)</f>
        <v>0</v>
      </c>
      <c r="I24" s="76">
        <f>IFERROR(IF($B24="","",COUNTIF('7月'!D4:D34,$B24)+COUNTIF('7月'!E4:E34,$B24)+COUNTIF('7月'!I4:I34,$B24)+COUNTIF('7月'!J4:J34,$B24)+COUNTIF('7月'!N4:N34,$B24)+COUNTIF('7月'!O4:O34,$B24)+COUNTIF('7月'!S4:S34,$B24)+COUNTIF('7月'!T4:T34,$B24)+COUNTIF('7月'!X4:X34,$B24)+COUNTIF('7月'!Y4:Y34,$B24)+COUNTIF('7月'!AC4:AC34,$B24)+COUNTIF('7月'!AD4:AD34,$B24)+COUNTIF('7月'!AH4:AH34,$B24)+COUNTIF('7月'!AI4:AI34,$B24)+COUNTIF('7月'!AM4:AM34,$B24)+COUNTIF('7月'!AN4:AN34,$B24)+COUNTIF('7月'!AR4:AR34,$B24)+COUNTIF('7月'!AS4:AS34,$B24)+COUNTIF('7月'!AW4:AW34,$B24)+COUNTIF('7月'!AX4:AX34,$B24)+COUNTIF('7月'!BB4:BB34,$B24)+COUNTIF('7月'!BC4:BC34,$B24)+COUNTIF('7月'!BG4:BG34,$B24)+COUNTIF('7月'!BH4:BH34,$B24)+COUNTIF('7月'!BL4:BL34,$B24)+COUNTIF('7月'!BM4:BM34,$B24)+COUNTIF('7月'!BQ4:BQ34,$B24)+COUNTIF('7月'!BR4:BR34,$B24)+COUNTIF('7月'!BV4:BV34,$B24)+COUNTIF('7月'!BW4:BW34,$B24)+COUNTIF('7月'!CA4:CA34,$B24)+COUNTIF('7月'!CB4:CB34,$B24)+COUNTIF('7月'!CF4:CF34,$B24)+COUNTIF('7月'!CG4:CG34,$B24)+COUNTIF('7月'!CK4:CK34,$B24)+COUNTIF('7月'!CL4:CL34,$B24)+COUNTIF('7月'!CP4:CP34,$B24)+COUNTIF('7月'!CQ4:CQ34,$B24)+COUNTIF('7月'!CU4:CU34,$B24)+COUNTIF('7月'!CV4:CV34,$B24)+COUNTIF('7月'!CZ4:CZ34,$B24)+COUNTIF('7月'!DA4:DA34,$B24)+COUNTIF('7月'!DE4:DE34,$B24)+COUNTIF('7月'!DF4:DF34,$B24)+COUNTIF('7月'!DJ4:DJ34,$B24)+COUNTIF('7月'!DK4:DK34,$B24)+COUNTIF('7月'!DO4:DO34,$B24)+COUNTIF('7月'!DP4:DP34,$B24)+COUNTIF('7月'!DT4:DT34,$B24)+COUNTIF('7月'!DU4:DU34,$B24)+COUNTIF('7月'!DY4:DY34,$B24)+COUNTIF('7月'!DZ4:DZ34,$B24)+COUNTIF('7月'!ED4:ED34,$B24)+COUNTIF('7月'!EE4:EE34,$B24)+COUNTIF('7月'!EI4:EI34,$B24)+COUNTIF('7月'!EJ4:EJ34,$B24)+COUNTIF('7月'!EN4:EN34,$B24)+COUNTIF('7月'!EO4:EO34,$B24)+COUNTIF('7月'!ES4:ES34,$B24)+COUNTIF('7月'!ET4:ET34,$B24)),0)</f>
        <v>0</v>
      </c>
      <c r="J24" s="76">
        <f>IFERROR(IF($B24="","",COUNTIF('8月'!D4:D34,$B24)+COUNTIF('8月'!E4:E34,$B24)+COUNTIF('8月'!I4:I34,$B24)+COUNTIF('8月'!J4:J34,$B24)+COUNTIF('8月'!N4:N34,$B24)+COUNTIF('8月'!O4:O34,$B24)+COUNTIF('8月'!S4:S34,$B24)+COUNTIF('8月'!T4:T34,$B24)+COUNTIF('8月'!X4:X34,$B24)+COUNTIF('8月'!Y4:Y34,$B24)+COUNTIF('8月'!AC4:AC34,$B24)+COUNTIF('8月'!AD4:AD34,$B24)+COUNTIF('8月'!AH4:AH34,$B24)+COUNTIF('8月'!AI4:AI34,$B24)+COUNTIF('8月'!AM4:AM34,$B24)+COUNTIF('8月'!AN4:AN34,$B24)+COUNTIF('8月'!AR4:AR34,$B24)+COUNTIF('8月'!AS4:AS34,$B24)+COUNTIF('8月'!AW4:AW34,$B24)+COUNTIF('8月'!AX4:AX34,$B24)+COUNTIF('8月'!BB4:BB34,$B24)+COUNTIF('8月'!BC4:BC34,$B24)+COUNTIF('8月'!BG4:BG34,$B24)+COUNTIF('8月'!BH4:BH34,$B24)+COUNTIF('8月'!BL4:BL34,$B24)+COUNTIF('8月'!BM4:BM34,$B24)+COUNTIF('8月'!BQ4:BQ34,$B24)+COUNTIF('8月'!BR4:BR34,$B24)+COUNTIF('8月'!BV4:BV34,$B24)+COUNTIF('8月'!BW4:BW34,$B24)+COUNTIF('8月'!CA4:CA34,$B24)+COUNTIF('8月'!CB4:CB34,$B24)+COUNTIF('8月'!CF4:CF34,$B24)+COUNTIF('8月'!CG4:CG34,$B24)+COUNTIF('8月'!CK4:CK34,$B24)+COUNTIF('8月'!CL4:CL34,$B24)+COUNTIF('8月'!CP4:CP34,$B24)+COUNTIF('8月'!CQ4:CQ34,$B24)+COUNTIF('8月'!CU4:CU34,$B24)+COUNTIF('8月'!CV4:CV34,$B24)+COUNTIF('8月'!CZ4:CZ34,$B24)+COUNTIF('8月'!DA4:DA34,$B24)+COUNTIF('8月'!DE4:DE34,$B24)+COUNTIF('8月'!DF4:DF34,$B24)+COUNTIF('8月'!DJ4:DJ34,$B24)+COUNTIF('8月'!DK4:DK34,$B24)+COUNTIF('8月'!DO4:DO34,$B24)+COUNTIF('8月'!DP4:DP34,$B24)+COUNTIF('8月'!DT4:DT34,$B24)+COUNTIF('8月'!DU4:DU34,$B24)+COUNTIF('8月'!DY4:DY34,$B24)+COUNTIF('8月'!DZ4:DZ34,$B24)+COUNTIF('8月'!ED4:ED34,$B24)+COUNTIF('8月'!EE4:EE34,$B24)+COUNTIF('8月'!EI4:EI34,$B24)+COUNTIF('8月'!EJ4:EJ34,$B24)+COUNTIF('8月'!EN4:EN34,$B24)+COUNTIF('8月'!EO4:EO34,$B24)+COUNTIF('8月'!ES4:ES34,$B24)+COUNTIF('8月'!ET4:ET34,$B24)),0)</f>
        <v>0</v>
      </c>
      <c r="K24" s="76">
        <f>IFERROR(IF($B24="","",COUNTIF('9月'!D4:D34,$B24)+COUNTIF('9月'!E4:E34,$B24)+COUNTIF('9月'!I4:I34,$B24)+COUNTIF('9月'!J4:J34,$B24)+COUNTIF('9月'!N4:N34,$B24)+COUNTIF('9月'!O4:O34,$B24)+COUNTIF('9月'!S4:S34,$B24)+COUNTIF('9月'!T4:T34,$B24)+COUNTIF('9月'!X4:X34,$B24)+COUNTIF('9月'!Y4:Y34,$B24)+COUNTIF('9月'!AC4:AC34,$B24)+COUNTIF('9月'!AD4:AD34,$B24)+COUNTIF('9月'!AH4:AH34,$B24)+COUNTIF('9月'!AI4:AI34,$B24)+COUNTIF('9月'!AM4:AM34,$B24)+COUNTIF('9月'!AN4:AN34,$B24)+COUNTIF('9月'!AR4:AR34,$B24)+COUNTIF('9月'!AS4:AS34,$B24)+COUNTIF('9月'!AW4:AW34,$B24)+COUNTIF('9月'!AX4:AX34,$B24)+COUNTIF('9月'!BB4:BB34,$B24)+COUNTIF('9月'!BC4:BC34,$B24)+COUNTIF('9月'!BG4:BG34,$B24)+COUNTIF('9月'!BH4:BH34,$B24)+COUNTIF('9月'!BL4:BL34,$B24)+COUNTIF('9月'!BM4:BM34,$B24)+COUNTIF('9月'!BQ4:BQ34,$B24)+COUNTIF('9月'!BR4:BR34,$B24)+COUNTIF('9月'!BV4:BV34,$B24)+COUNTIF('9月'!BW4:BW34,$B24)+COUNTIF('9月'!CA4:CA34,$B24)+COUNTIF('9月'!CB4:CB34,$B24)+COUNTIF('9月'!CF4:CF34,$B24)+COUNTIF('9月'!CG4:CG34,$B24)+COUNTIF('9月'!CK4:CK34,$B24)+COUNTIF('9月'!CL4:CL34,$B24)+COUNTIF('9月'!CP4:CP34,$B24)+COUNTIF('9月'!CQ4:CQ34,$B24)+COUNTIF('9月'!CU4:CU34,$B24)+COUNTIF('9月'!CV4:CV34,$B24)+COUNTIF('9月'!CZ4:CZ34,$B24)+COUNTIF('9月'!DA4:DA34,$B24)+COUNTIF('9月'!DE4:DE34,$B24)+COUNTIF('9月'!DF4:DF34,$B24)+COUNTIF('9月'!DJ4:DJ34,$B24)+COUNTIF('9月'!DK4:DK34,$B24)+COUNTIF('9月'!DO4:DO34,$B24)+COUNTIF('9月'!DP4:DP34,$B24)+COUNTIF('9月'!DT4:DT34,$B24)+COUNTIF('9月'!DU4:DU34,$B24)+COUNTIF('9月'!DY4:DY34,$B24)+COUNTIF('9月'!DZ4:DZ34,$B24)+COUNTIF('9月'!ED4:ED34,$B24)+COUNTIF('9月'!EE4:EE34,$B24)+COUNTIF('9月'!EI4:EI34,$B24)+COUNTIF('9月'!EJ4:EJ34,$B24)+COUNTIF('9月'!EN4:EN34,$B24)+COUNTIF('9月'!EO4:EO34,$B24)+COUNTIF('9月'!ES4:ES34,$B24)+COUNTIF('9月'!ET4:ET34,$B24)),0)</f>
        <v>0</v>
      </c>
      <c r="L24" s="76">
        <f>IFERROR(IF($B24="","",COUNTIF('10月'!D4:D34,$B24)+COUNTIF('10月'!E4:E34,$B24)+COUNTIF('10月'!I4:I34,$B24)+COUNTIF('10月'!J4:J34,$B24)+COUNTIF('10月'!N4:N34,$B24)+COUNTIF('10月'!O4:O34,$B24)+COUNTIF('10月'!S4:S34,$B24)+COUNTIF('10月'!T4:T34,$B24)+COUNTIF('10月'!X4:X34,$B24)+COUNTIF('10月'!Y4:Y34,$B24)+COUNTIF('10月'!AC4:AC34,$B24)+COUNTIF('10月'!AD4:AD34,$B24)+COUNTIF('10月'!AH4:AH34,$B24)+COUNTIF('10月'!AI4:AI34,$B24)+COUNTIF('10月'!AM4:AM34,$B24)+COUNTIF('10月'!AN4:AN34,$B24)+COUNTIF('10月'!AR4:AR34,$B24)+COUNTIF('10月'!AS4:AS34,$B24)+COUNTIF('10月'!AW4:AW34,$B24)+COUNTIF('10月'!AX4:AX34,$B24)+COUNTIF('10月'!BB4:BB34,$B24)+COUNTIF('10月'!BC4:BC34,$B24)+COUNTIF('10月'!BG4:BG34,$B24)+COUNTIF('10月'!BH4:BH34,$B24)+COUNTIF('10月'!BL4:BL34,$B24)+COUNTIF('10月'!BM4:BM34,$B24)+COUNTIF('10月'!BQ4:BQ34,$B24)+COUNTIF('10月'!BR4:BR34,$B24)+COUNTIF('10月'!BV4:BV34,$B24)+COUNTIF('10月'!BW4:BW34,$B24)+COUNTIF('10月'!CA4:CA34,$B24)+COUNTIF('10月'!CB4:CB34,$B24)+COUNTIF('10月'!CF4:CF34,$B24)+COUNTIF('10月'!CG4:CG34,$B24)+COUNTIF('10月'!CK4:CK34,$B24)+COUNTIF('10月'!CL4:CL34,$B24)+COUNTIF('10月'!CP4:CP34,$B24)+COUNTIF('10月'!CQ4:CQ34,$B24)+COUNTIF('10月'!CU4:CU34,$B24)+COUNTIF('10月'!CV4:CV34,$B24)+COUNTIF('10月'!CZ4:CZ34,$B24)+COUNTIF('10月'!DA4:DA34,$B24)+COUNTIF('10月'!DE4:DE34,$B24)+COUNTIF('10月'!DF4:DF34,$B24)+COUNTIF('10月'!DJ4:DJ34,$B24)+COUNTIF('10月'!DK4:DK34,$B24)+COUNTIF('10月'!DO4:DO34,$B24)+COUNTIF('10月'!DP4:DP34,$B24)+COUNTIF('10月'!DT4:DT34,$B24)+COUNTIF('10月'!DU4:DU34,$B24)+COUNTIF('10月'!DY4:DY34,$B24)+COUNTIF('10月'!DZ4:DZ34,$B24)+COUNTIF('10月'!ED4:ED34,$B24)+COUNTIF('10月'!EE4:EE34,$B24)+COUNTIF('10月'!EI4:EI34,$B24)+COUNTIF('10月'!EJ4:EJ34,$B24)+COUNTIF('10月'!EN4:EN34,$B24)+COUNTIF('10月'!EO4:EO34,$B24)+COUNTIF('10月'!ES4:ES34,$B24)+COUNTIF('10月'!ET4:ET34,$B24)),0)</f>
        <v>0</v>
      </c>
      <c r="M24" s="76">
        <f>IFERROR(IF($B24="","",COUNTIF('11月'!D4:D34,$B24)+COUNTIF('11月'!E4:E34,$B24)+COUNTIF('11月'!I4:I34,$B24)+COUNTIF('11月'!J4:J34,$B24)+COUNTIF('11月'!N4:N34,$B24)+COUNTIF('11月'!O4:O34,$B24)+COUNTIF('11月'!S4:S34,$B24)+COUNTIF('11月'!T4:T34,$B24)+COUNTIF('11月'!X4:X34,$B24)+COUNTIF('11月'!Y4:Y34,$B24)+COUNTIF('11月'!AC4:AC34,$B24)+COUNTIF('11月'!AD4:AD34,$B24)+COUNTIF('11月'!AH4:AH34,$B24)+COUNTIF('11月'!AI4:AI34,$B24)+COUNTIF('11月'!AM4:AM34,$B24)+COUNTIF('11月'!AN4:AN34,$B24)+COUNTIF('11月'!AR4:AR34,$B24)+COUNTIF('11月'!AS4:AS34,$B24)+COUNTIF('11月'!AW4:AW34,$B24)+COUNTIF('11月'!AX4:AX34,$B24)+COUNTIF('11月'!BB4:BB34,$B24)+COUNTIF('11月'!BC4:BC34,$B24)+COUNTIF('11月'!BG4:BG34,$B24)+COUNTIF('11月'!BH4:BH34,$B24)+COUNTIF('11月'!BL4:BL34,$B24)+COUNTIF('11月'!BM4:BM34,$B24)+COUNTIF('11月'!BQ4:BQ34,$B24)+COUNTIF('11月'!BR4:BR34,$B24)+COUNTIF('11月'!BV4:BV34,$B24)+COUNTIF('11月'!BW4:BW34,$B24)+COUNTIF('11月'!CA4:CA34,$B24)+COUNTIF('11月'!CB4:CB34,$B24)+COUNTIF('11月'!CF4:CF34,$B24)+COUNTIF('11月'!CG4:CG34,$B24)+COUNTIF('11月'!CK4:CK34,$B24)+COUNTIF('11月'!CL4:CL34,$B24)+COUNTIF('11月'!CP4:CP34,$B24)+COUNTIF('11月'!CQ4:CQ34,$B24)+COUNTIF('11月'!CU4:CU34,$B24)+COUNTIF('11月'!CV4:CV34,$B24)+COUNTIF('11月'!CZ4:CZ34,$B24)+COUNTIF('11月'!DA4:DA34,$B24)+COUNTIF('11月'!DE4:DE34,$B24)+COUNTIF('11月'!DF4:DF34,$B24)+COUNTIF('11月'!DJ4:DJ34,$B24)+COUNTIF('11月'!DK4:DK34,$B24)+COUNTIF('11月'!DO4:DO34,$B24)+COUNTIF('11月'!DP4:DP34,$B24)+COUNTIF('11月'!DT4:DT34,$B24)+COUNTIF('11月'!DU4:DU34,$B24)+COUNTIF('11月'!DY4:DY34,$B24)+COUNTIF('11月'!DZ4:DZ34,$B24)+COUNTIF('11月'!ED4:ED34,$B24)+COUNTIF('11月'!EE4:EE34,$B24)+COUNTIF('11月'!EI4:EI34,$B24)+COUNTIF('11月'!EJ4:EJ34,$B24)+COUNTIF('11月'!EN4:EN34,$B24)+COUNTIF('11月'!EO4:EO34,$B24)+COUNTIF('11月'!ES4:ES34,$B24)+COUNTIF('11月'!ET4:ET34,$B24)),0)</f>
        <v>0</v>
      </c>
      <c r="N24" s="76">
        <f>IFERROR(IF($B24="","",COUNTIF('12月'!D4:D34,$B24)+COUNTIF('12月'!E4:E34,$B24)+COUNTIF('12月'!I4:I34,$B24)+COUNTIF('12月'!J4:J34,$B24)+COUNTIF('12月'!N4:N34,$B24)+COUNTIF('12月'!O4:O34,$B24)+COUNTIF('12月'!S4:S34,$B24)+COUNTIF('12月'!T4:T34,$B24)+COUNTIF('12月'!X4:X34,$B24)+COUNTIF('12月'!Y4:Y34,$B24)+COUNTIF('12月'!AC4:AC34,$B24)+COUNTIF('12月'!AD4:AD34,$B24)+COUNTIF('12月'!AH4:AH34,$B24)+COUNTIF('12月'!AI4:AI34,$B24)+COUNTIF('12月'!AM4:AM34,$B24)+COUNTIF('12月'!AN4:AN34,$B24)+COUNTIF('12月'!AR4:AR34,$B24)+COUNTIF('12月'!AS4:AS34,$B24)+COUNTIF('12月'!AW4:AW34,$B24)+COUNTIF('12月'!AX4:AX34,$B24)+COUNTIF('12月'!BB4:BB34,$B24)+COUNTIF('12月'!BC4:BC34,$B24)+COUNTIF('12月'!BG4:BG34,$B24)+COUNTIF('12月'!BH4:BH34,$B24)+COUNTIF('12月'!BL4:BL34,$B24)+COUNTIF('12月'!BM4:BM34,$B24)+COUNTIF('12月'!BQ4:BQ34,$B24)+COUNTIF('12月'!BR4:BR34,$B24)+COUNTIF('12月'!BV4:BV34,$B24)+COUNTIF('12月'!BW4:BW34,$B24)+COUNTIF('12月'!CA4:CA34,$B24)+COUNTIF('12月'!CB4:CB34,$B24)+COUNTIF('12月'!CF4:CF34,$B24)+COUNTIF('12月'!CG4:CG34,$B24)+COUNTIF('12月'!CK4:CK34,$B24)+COUNTIF('12月'!CL4:CL34,$B24)+COUNTIF('12月'!CP4:CP34,$B24)+COUNTIF('12月'!CQ4:CQ34,$B24)+COUNTIF('12月'!CU4:CU34,$B24)+COUNTIF('12月'!CV4:CV34,$B24)+COUNTIF('12月'!CZ4:CZ34,$B24)+COUNTIF('12月'!DA4:DA34,$B24)+COUNTIF('12月'!DE4:DE34,$B24)+COUNTIF('12月'!DF4:DF34,$B24)+COUNTIF('12月'!DJ4:DJ34,$B24)+COUNTIF('12月'!DK4:DK34,$B24)+COUNTIF('12月'!DO4:DO34,$B24)+COUNTIF('12月'!DP4:DP34,$B24)+COUNTIF('12月'!DT4:DT34,$B24)+COUNTIF('12月'!DU4:DU34,$B24)+COUNTIF('12月'!DY4:DY34,$B24)+COUNTIF('12月'!DZ4:DZ34,$B24)+COUNTIF('12月'!ED4:ED34,$B24)+COUNTIF('12月'!EE4:EE34,$B24)+COUNTIF('12月'!EI4:EI34,$B24)+COUNTIF('12月'!EJ4:EJ34,$B24)+COUNTIF('12月'!EN4:EN34,$B24)+COUNTIF('12月'!EO4:EO34,$B24)+COUNTIF('12月'!ES4:ES34,$B24)+COUNTIF('12月'!ET4:ET34,$B24)),0)</f>
        <v>0</v>
      </c>
      <c r="O24" s="78">
        <f t="shared" si="0"/>
        <v>0</v>
      </c>
    </row>
    <row r="25" spans="1:15" ht="19.5" customHeight="1">
      <c r="A25" s="76">
        <v>23</v>
      </c>
      <c r="B25" s="77">
        <f>IFERROR(現場マスタ!$C$26,"")</f>
        <v>0</v>
      </c>
      <c r="C25" s="76">
        <f>IFERROR(IF($B25="","",COUNTIF('1月'!D4:D34,$B25)+COUNTIF('1月'!E4:E34,$B25)+COUNTIF('1月'!I4:I34,$B25)+COUNTIF('1月'!J4:J34,$B25)+COUNTIF('1月'!N4:N34,$B25)+COUNTIF('1月'!O4:O34,$B25)+COUNTIF('1月'!S4:S34,$B25)+COUNTIF('1月'!T4:T34,$B25)+COUNTIF('1月'!X4:X34,$B25)+COUNTIF('1月'!Y4:Y34,$B25)+COUNTIF('1月'!AC4:AC34,$B25)+COUNTIF('1月'!AD4:AD34,$B25)+COUNTIF('1月'!AH4:AH34,$B25)+COUNTIF('1月'!AI4:AI34,$B25)+COUNTIF('1月'!AM4:AM34,$B25)+COUNTIF('1月'!AN4:AN34,$B25)+COUNTIF('1月'!AR4:AR34,$B25)+COUNTIF('1月'!AS4:AS34,$B25)+COUNTIF('1月'!AW4:AW34,$B25)+COUNTIF('1月'!AX4:AX34,$B25)+COUNTIF('1月'!BB4:BB34,$B25)+COUNTIF('1月'!BC4:BC34,$B25)+COUNTIF('1月'!BG4:BG34,$B25)+COUNTIF('1月'!BH4:BH34,$B25)+COUNTIF('1月'!BL4:BL34,$B25)+COUNTIF('1月'!BM4:BM34,$B25)+COUNTIF('1月'!BQ4:BQ34,$B25)+COUNTIF('1月'!BR4:BR34,$B25)+COUNTIF('1月'!BV4:BV34,$B25)+COUNTIF('1月'!BW4:BW34,$B25)+COUNTIF('1月'!CA4:CA34,$B25)+COUNTIF('1月'!CB4:CB34,$B25)+COUNTIF('1月'!CF4:CF34,$B25)+COUNTIF('1月'!CG4:CG34,$B25)+COUNTIF('1月'!CK4:CK34,$B25)+COUNTIF('1月'!CL4:CL34,$B25)+COUNTIF('1月'!CP4:CP34,$B25)+COUNTIF('1月'!CQ4:CQ34,$B25)+COUNTIF('1月'!CU4:CU34,$B25)+COUNTIF('1月'!CV4:CV34,$B25)+COUNTIF('1月'!CZ4:CZ34,$B25)+COUNTIF('1月'!DA4:DA34,$B25)+COUNTIF('1月'!DE4:DE34,$B25)+COUNTIF('1月'!DF4:DF34,$B25)+COUNTIF('1月'!DJ4:DJ34,$B25)+COUNTIF('1月'!DK4:DK34,$B25)+COUNTIF('1月'!DO4:DO34,$B25)+COUNTIF('1月'!DP4:DP34,$B25)+COUNTIF('1月'!DT4:DT34,$B25)+COUNTIF('1月'!DU4:DU34,$B25)+COUNTIF('1月'!DY4:DY34,$B25)+COUNTIF('1月'!DZ4:DZ34,$B25)+COUNTIF('1月'!ED4:ED34,$B25)+COUNTIF('1月'!EE4:EE34,$B25)+COUNTIF('1月'!EI4:EI34,$B25)+COUNTIF('1月'!EJ4:EJ34,$B25)+COUNTIF('1月'!EN4:EN34,$B25)+COUNTIF('1月'!EO4:EO34,$B25)+COUNTIF('1月'!ES4:ES34,$B25)+COUNTIF('1月'!ET4:ET34,$B25)),0)</f>
        <v>0</v>
      </c>
      <c r="D25" s="76">
        <f>IFERROR(IF($B25="","",COUNTIF('2月'!D4:D34,$B25)+COUNTIF('2月'!E4:E34,$B25)+COUNTIF('2月'!I4:I34,$B25)+COUNTIF('2月'!J4:J34,$B25)+COUNTIF('2月'!N4:N34,$B25)+COUNTIF('2月'!O4:O34,$B25)+COUNTIF('2月'!S4:S34,$B25)+COUNTIF('2月'!T4:T34,$B25)+COUNTIF('2月'!X4:X34,$B25)+COUNTIF('2月'!Y4:Y34,$B25)+COUNTIF('2月'!AC4:AC34,$B25)+COUNTIF('2月'!AD4:AD34,$B25)+COUNTIF('2月'!AH4:AH34,$B25)+COUNTIF('2月'!AI4:AI34,$B25)+COUNTIF('2月'!AM4:AM34,$B25)+COUNTIF('2月'!AN4:AN34,$B25)+COUNTIF('2月'!AR4:AR34,$B25)+COUNTIF('2月'!AS4:AS34,$B25)+COUNTIF('2月'!AW4:AW34,$B25)+COUNTIF('2月'!AX4:AX34,$B25)+COUNTIF('2月'!BB4:BB34,$B25)+COUNTIF('2月'!BC4:BC34,$B25)+COUNTIF('2月'!BG4:BG34,$B25)+COUNTIF('2月'!BH4:BH34,$B25)+COUNTIF('2月'!BL4:BL34,$B25)+COUNTIF('2月'!BM4:BM34,$B25)+COUNTIF('2月'!BQ4:BQ34,$B25)+COUNTIF('2月'!BR4:BR34,$B25)+COUNTIF('2月'!BV4:BV34,$B25)+COUNTIF('2月'!BW4:BW34,$B25)+COUNTIF('2月'!CA4:CA34,$B25)+COUNTIF('2月'!CB4:CB34,$B25)+COUNTIF('2月'!CF4:CF34,$B25)+COUNTIF('2月'!CG4:CG34,$B25)+COUNTIF('2月'!CK4:CK34,$B25)+COUNTIF('2月'!CL4:CL34,$B25)+COUNTIF('2月'!CP4:CP34,$B25)+COUNTIF('2月'!CQ4:CQ34,$B25)+COUNTIF('2月'!CU4:CU34,$B25)+COUNTIF('2月'!CV4:CV34,$B25)+COUNTIF('2月'!CZ4:CZ34,$B25)+COUNTIF('2月'!DA4:DA34,$B25)+COUNTIF('2月'!DE4:DE34,$B25)+COUNTIF('2月'!DF4:DF34,$B25)+COUNTIF('2月'!DJ4:DJ34,$B25)+COUNTIF('2月'!DK4:DK34,$B25)+COUNTIF('2月'!DO4:DO34,$B25)+COUNTIF('2月'!DP4:DP34,$B25)+COUNTIF('2月'!DT4:DT34,$B25)+COUNTIF('2月'!DU4:DU34,$B25)+COUNTIF('2月'!DY4:DY34,$B25)+COUNTIF('2月'!DZ4:DZ34,$B25)+COUNTIF('2月'!ED4:ED34,$B25)+COUNTIF('2月'!EE4:EE34,$B25)+COUNTIF('2月'!EI4:EI34,$B25)+COUNTIF('2月'!EJ4:EJ34,$B25)+COUNTIF('2月'!EN4:EN34,$B25)+COUNTIF('2月'!EO4:EO34,$B25)+COUNTIF('2月'!ES4:ES34,$B25)+COUNTIF('2月'!ET4:ET34,$B25)),0)</f>
        <v>0</v>
      </c>
      <c r="E25" s="76">
        <f>IFERROR(IF($B25="","",COUNTIF('3月'!D4:D34,$B25)+COUNTIF('3月'!E4:E34,$B25)+COUNTIF('3月'!I4:I34,$B25)+COUNTIF('3月'!J4:J34,$B25)+COUNTIF('3月'!N4:N34,$B25)+COUNTIF('3月'!O4:O34,$B25)+COUNTIF('3月'!S4:S34,$B25)+COUNTIF('3月'!T4:T34,$B25)+COUNTIF('3月'!X4:X34,$B25)+COUNTIF('3月'!Y4:Y34,$B25)+COUNTIF('3月'!AC4:AC34,$B25)+COUNTIF('3月'!AD4:AD34,$B25)+COUNTIF('3月'!AH4:AH34,$B25)+COUNTIF('3月'!AI4:AI34,$B25)+COUNTIF('3月'!AM4:AM34,$B25)+COUNTIF('3月'!AN4:AN34,$B25)+COUNTIF('3月'!AR4:AR34,$B25)+COUNTIF('3月'!AS4:AS34,$B25)+COUNTIF('3月'!AW4:AW34,$B25)+COUNTIF('3月'!AX4:AX34,$B25)+COUNTIF('3月'!BB4:BB34,$B25)+COUNTIF('3月'!BC4:BC34,$B25)+COUNTIF('3月'!BG4:BG34,$B25)+COUNTIF('3月'!BH4:BH34,$B25)+COUNTIF('3月'!BL4:BL34,$B25)+COUNTIF('3月'!BM4:BM34,$B25)+COUNTIF('3月'!BQ4:BQ34,$B25)+COUNTIF('3月'!BR4:BR34,$B25)+COUNTIF('3月'!BV4:BV34,$B25)+COUNTIF('3月'!BW4:BW34,$B25)+COUNTIF('3月'!CA4:CA34,$B25)+COUNTIF('3月'!CB4:CB34,$B25)+COUNTIF('3月'!CF4:CF34,$B25)+COUNTIF('3月'!CG4:CG34,$B25)+COUNTIF('3月'!CK4:CK34,$B25)+COUNTIF('3月'!CL4:CL34,$B25)+COUNTIF('3月'!CP4:CP34,$B25)+COUNTIF('3月'!CQ4:CQ34,$B25)+COUNTIF('3月'!CU4:CU34,$B25)+COUNTIF('3月'!CV4:CV34,$B25)+COUNTIF('3月'!CZ4:CZ34,$B25)+COUNTIF('3月'!DA4:DA34,$B25)+COUNTIF('3月'!DE4:DE34,$B25)+COUNTIF('3月'!DF4:DF34,$B25)+COUNTIF('3月'!DJ4:DJ34,$B25)+COUNTIF('3月'!DK4:DK34,$B25)+COUNTIF('3月'!DO4:DO34,$B25)+COUNTIF('3月'!DP4:DP34,$B25)+COUNTIF('3月'!DT4:DT34,$B25)+COUNTIF('3月'!DU4:DU34,$B25)+COUNTIF('3月'!DY4:DY34,$B25)+COUNTIF('3月'!DZ4:DZ34,$B25)+COUNTIF('3月'!ED4:ED34,$B25)+COUNTIF('3月'!EE4:EE34,$B25)+COUNTIF('3月'!EI4:EI34,$B25)+COUNTIF('3月'!EJ4:EJ34,$B25)+COUNTIF('3月'!EN4:EN34,$B25)+COUNTIF('3月'!EO4:EO34,$B25)+COUNTIF('3月'!ES4:ES34,$B25)+COUNTIF('3月'!ET4:ET34,$B25)),0)</f>
        <v>0</v>
      </c>
      <c r="F25" s="76">
        <f>IFERROR(IF($B25="","",COUNTIF('4月'!D4:D34,$B25)+COUNTIF('4月'!E4:E34,$B25)+COUNTIF('4月'!I4:I34,$B25)+COUNTIF('4月'!J4:J34,$B25)+COUNTIF('4月'!N4:N34,$B25)+COUNTIF('4月'!O4:O34,$B25)+COUNTIF('4月'!S4:S34,$B25)+COUNTIF('4月'!T4:T34,$B25)+COUNTIF('4月'!X4:X34,$B25)+COUNTIF('4月'!Y4:Y34,$B25)+COUNTIF('4月'!AC4:AC34,$B25)+COUNTIF('4月'!AD4:AD34,$B25)+COUNTIF('4月'!AH4:AH34,$B25)+COUNTIF('4月'!AI4:AI34,$B25)+COUNTIF('4月'!AM4:AM34,$B25)+COUNTIF('4月'!AN4:AN34,$B25)+COUNTIF('4月'!AR4:AR34,$B25)+COUNTIF('4月'!AS4:AS34,$B25)+COUNTIF('4月'!AW4:AW34,$B25)+COUNTIF('4月'!AX4:AX34,$B25)+COUNTIF('4月'!BB4:BB34,$B25)+COUNTIF('4月'!BC4:BC34,$B25)+COUNTIF('4月'!BG4:BG34,$B25)+COUNTIF('4月'!BH4:BH34,$B25)+COUNTIF('4月'!BL4:BL34,$B25)+COUNTIF('4月'!BM4:BM34,$B25)+COUNTIF('4月'!BQ4:BQ34,$B25)+COUNTIF('4月'!BR4:BR34,$B25)+COUNTIF('4月'!BV4:BV34,$B25)+COUNTIF('4月'!BW4:BW34,$B25)+COUNTIF('4月'!CA4:CA34,$B25)+COUNTIF('4月'!CB4:CB34,$B25)+COUNTIF('4月'!CF4:CF34,$B25)+COUNTIF('4月'!CG4:CG34,$B25)+COUNTIF('4月'!CK4:CK34,$B25)+COUNTIF('4月'!CL4:CL34,$B25)+COUNTIF('4月'!CP4:CP34,$B25)+COUNTIF('4月'!CQ4:CQ34,$B25)+COUNTIF('4月'!CU4:CU34,$B25)+COUNTIF('4月'!CV4:CV34,$B25)+COUNTIF('4月'!CZ4:CZ34,$B25)+COUNTIF('4月'!DA4:DA34,$B25)+COUNTIF('4月'!DE4:DE34,$B25)+COUNTIF('4月'!DF4:DF34,$B25)+COUNTIF('4月'!DJ4:DJ34,$B25)+COUNTIF('4月'!DK4:DK34,$B25)+COUNTIF('4月'!DO4:DO34,$B25)+COUNTIF('4月'!DP4:DP34,$B25)+COUNTIF('4月'!DT4:DT34,$B25)+COUNTIF('4月'!DU4:DU34,$B25)+COUNTIF('4月'!DY4:DY34,$B25)+COUNTIF('4月'!DZ4:DZ34,$B25)+COUNTIF('4月'!ED4:ED34,$B25)+COUNTIF('4月'!EE4:EE34,$B25)+COUNTIF('4月'!EI4:EI34,$B25)+COUNTIF('4月'!EJ4:EJ34,$B25)+COUNTIF('4月'!EN4:EN34,$B25)+COUNTIF('4月'!EO4:EO34,$B25)+COUNTIF('4月'!ES4:ES34,$B25)+COUNTIF('4月'!ET4:ET34,$B25)),0)</f>
        <v>0</v>
      </c>
      <c r="G25" s="76">
        <f>IFERROR(IF($B25="","",COUNTIF('5月'!D4:D34,$B25)+COUNTIF('5月'!E4:E34,$B25)+COUNTIF('5月'!I4:I34,$B25)+COUNTIF('5月'!J4:J34,$B25)+COUNTIF('5月'!N4:N34,$B25)+COUNTIF('5月'!O4:O34,$B25)+COUNTIF('5月'!S4:S34,$B25)+COUNTIF('5月'!T4:T34,$B25)+COUNTIF('5月'!X4:X34,$B25)+COUNTIF('5月'!Y4:Y34,$B25)+COUNTIF('5月'!AC4:AC34,$B25)+COUNTIF('5月'!AD4:AD34,$B25)+COUNTIF('5月'!AH4:AH34,$B25)+COUNTIF('5月'!AI4:AI34,$B25)+COUNTIF('5月'!AM4:AM34,$B25)+COUNTIF('5月'!AN4:AN34,$B25)+COUNTIF('5月'!AR4:AR34,$B25)+COUNTIF('5月'!AS4:AS34,$B25)+COUNTIF('5月'!AW4:AW34,$B25)+COUNTIF('5月'!AX4:AX34,$B25)+COUNTIF('5月'!BB4:BB34,$B25)+COUNTIF('5月'!BC4:BC34,$B25)+COUNTIF('5月'!BG4:BG34,$B25)+COUNTIF('5月'!BH4:BH34,$B25)+COUNTIF('5月'!BL4:BL34,$B25)+COUNTIF('5月'!BM4:BM34,$B25)+COUNTIF('5月'!BQ4:BQ34,$B25)+COUNTIF('5月'!BR4:BR34,$B25)+COUNTIF('5月'!BV4:BV34,$B25)+COUNTIF('5月'!BW4:BW34,$B25)+COUNTIF('5月'!CA4:CA34,$B25)+COUNTIF('5月'!CB4:CB34,$B25)+COUNTIF('5月'!CF4:CF34,$B25)+COUNTIF('5月'!CG4:CG34,$B25)+COUNTIF('5月'!CK4:CK34,$B25)+COUNTIF('5月'!CL4:CL34,$B25)+COUNTIF('5月'!CP4:CP34,$B25)+COUNTIF('5月'!CQ4:CQ34,$B25)+COUNTIF('5月'!CU4:CU34,$B25)+COUNTIF('5月'!CV4:CV34,$B25)+COUNTIF('5月'!CZ4:CZ34,$B25)+COUNTIF('5月'!DA4:DA34,$B25)+COUNTIF('5月'!DE4:DE34,$B25)+COUNTIF('5月'!DF4:DF34,$B25)+COUNTIF('5月'!DJ4:DJ34,$B25)+COUNTIF('5月'!DK4:DK34,$B25)+COUNTIF('5月'!DO4:DO34,$B25)+COUNTIF('5月'!DP4:DP34,$B25)+COUNTIF('5月'!DT4:DT34,$B25)+COUNTIF('5月'!DU4:DU34,$B25)+COUNTIF('5月'!DY4:DY34,$B25)+COUNTIF('5月'!DZ4:DZ34,$B25)+COUNTIF('5月'!ED4:ED34,$B25)+COUNTIF('5月'!EE4:EE34,$B25)+COUNTIF('5月'!EI4:EI34,$B25)+COUNTIF('5月'!EJ4:EJ34,$B25)+COUNTIF('5月'!EN4:EN34,$B25)+COUNTIF('5月'!EO4:EO34,$B25)+COUNTIF('5月'!ES4:ES34,$B25)+COUNTIF('5月'!ET4:ET34,$B25)),0)</f>
        <v>0</v>
      </c>
      <c r="H25" s="76">
        <f>IFERROR(IF($B25="","",COUNTIF('6月'!D4:D34,$B25)+COUNTIF('6月'!E4:E34,$B25)+COUNTIF('6月'!I4:I34,$B25)+COUNTIF('6月'!J4:J34,$B25)+COUNTIF('6月'!N4:N34,$B25)+COUNTIF('6月'!O4:O34,$B25)+COUNTIF('6月'!S4:S34,$B25)+COUNTIF('6月'!T4:T34,$B25)+COUNTIF('6月'!X4:X34,$B25)+COUNTIF('6月'!Y4:Y34,$B25)+COUNTIF('6月'!AC4:AC34,$B25)+COUNTIF('6月'!AD4:AD34,$B25)+COUNTIF('6月'!AH4:AH34,$B25)+COUNTIF('6月'!AI4:AI34,$B25)+COUNTIF('6月'!AM4:AM34,$B25)+COUNTIF('6月'!AN4:AN34,$B25)+COUNTIF('6月'!AR4:AR34,$B25)+COUNTIF('6月'!AS4:AS34,$B25)+COUNTIF('6月'!AW4:AW34,$B25)+COUNTIF('6月'!AX4:AX34,$B25)+COUNTIF('6月'!BB4:BB34,$B25)+COUNTIF('6月'!BC4:BC34,$B25)+COUNTIF('6月'!BG4:BG34,$B25)+COUNTIF('6月'!BH4:BH34,$B25)+COUNTIF('6月'!BL4:BL34,$B25)+COUNTIF('6月'!BM4:BM34,$B25)+COUNTIF('6月'!BQ4:BQ34,$B25)+COUNTIF('6月'!BR4:BR34,$B25)+COUNTIF('6月'!BV4:BV34,$B25)+COUNTIF('6月'!BW4:BW34,$B25)+COUNTIF('6月'!CA4:CA34,$B25)+COUNTIF('6月'!CB4:CB34,$B25)+COUNTIF('6月'!CF4:CF34,$B25)+COUNTIF('6月'!CG4:CG34,$B25)+COUNTIF('6月'!CK4:CK34,$B25)+COUNTIF('6月'!CL4:CL34,$B25)+COUNTIF('6月'!CP4:CP34,$B25)+COUNTIF('6月'!CQ4:CQ34,$B25)+COUNTIF('6月'!CU4:CU34,$B25)+COUNTIF('6月'!CV4:CV34,$B25)+COUNTIF('6月'!CZ4:CZ34,$B25)+COUNTIF('6月'!DA4:DA34,$B25)+COUNTIF('6月'!DE4:DE34,$B25)+COUNTIF('6月'!DF4:DF34,$B25)+COUNTIF('6月'!DJ4:DJ34,$B25)+COUNTIF('6月'!DK4:DK34,$B25)+COUNTIF('6月'!DO4:DO34,$B25)+COUNTIF('6月'!DP4:DP34,$B25)+COUNTIF('6月'!DT4:DT34,$B25)+COUNTIF('6月'!DU4:DU34,$B25)+COUNTIF('6月'!DY4:DY34,$B25)+COUNTIF('6月'!DZ4:DZ34,$B25)+COUNTIF('6月'!ED4:ED34,$B25)+COUNTIF('6月'!EE4:EE34,$B25)+COUNTIF('6月'!EI4:EI34,$B25)+COUNTIF('6月'!EJ4:EJ34,$B25)+COUNTIF('6月'!EN4:EN34,$B25)+COUNTIF('6月'!EO4:EO34,$B25)+COUNTIF('6月'!ES4:ES34,$B25)+COUNTIF('6月'!ET4:ET34,$B25)),0)</f>
        <v>0</v>
      </c>
      <c r="I25" s="76">
        <f>IFERROR(IF($B25="","",COUNTIF('7月'!D4:D34,$B25)+COUNTIF('7月'!E4:E34,$B25)+COUNTIF('7月'!I4:I34,$B25)+COUNTIF('7月'!J4:J34,$B25)+COUNTIF('7月'!N4:N34,$B25)+COUNTIF('7月'!O4:O34,$B25)+COUNTIF('7月'!S4:S34,$B25)+COUNTIF('7月'!T4:T34,$B25)+COUNTIF('7月'!X4:X34,$B25)+COUNTIF('7月'!Y4:Y34,$B25)+COUNTIF('7月'!AC4:AC34,$B25)+COUNTIF('7月'!AD4:AD34,$B25)+COUNTIF('7月'!AH4:AH34,$B25)+COUNTIF('7月'!AI4:AI34,$B25)+COUNTIF('7月'!AM4:AM34,$B25)+COUNTIF('7月'!AN4:AN34,$B25)+COUNTIF('7月'!AR4:AR34,$B25)+COUNTIF('7月'!AS4:AS34,$B25)+COUNTIF('7月'!AW4:AW34,$B25)+COUNTIF('7月'!AX4:AX34,$B25)+COUNTIF('7月'!BB4:BB34,$B25)+COUNTIF('7月'!BC4:BC34,$B25)+COUNTIF('7月'!BG4:BG34,$B25)+COUNTIF('7月'!BH4:BH34,$B25)+COUNTIF('7月'!BL4:BL34,$B25)+COUNTIF('7月'!BM4:BM34,$B25)+COUNTIF('7月'!BQ4:BQ34,$B25)+COUNTIF('7月'!BR4:BR34,$B25)+COUNTIF('7月'!BV4:BV34,$B25)+COUNTIF('7月'!BW4:BW34,$B25)+COUNTIF('7月'!CA4:CA34,$B25)+COUNTIF('7月'!CB4:CB34,$B25)+COUNTIF('7月'!CF4:CF34,$B25)+COUNTIF('7月'!CG4:CG34,$B25)+COUNTIF('7月'!CK4:CK34,$B25)+COUNTIF('7月'!CL4:CL34,$B25)+COUNTIF('7月'!CP4:CP34,$B25)+COUNTIF('7月'!CQ4:CQ34,$B25)+COUNTIF('7月'!CU4:CU34,$B25)+COUNTIF('7月'!CV4:CV34,$B25)+COUNTIF('7月'!CZ4:CZ34,$B25)+COUNTIF('7月'!DA4:DA34,$B25)+COUNTIF('7月'!DE4:DE34,$B25)+COUNTIF('7月'!DF4:DF34,$B25)+COUNTIF('7月'!DJ4:DJ34,$B25)+COUNTIF('7月'!DK4:DK34,$B25)+COUNTIF('7月'!DO4:DO34,$B25)+COUNTIF('7月'!DP4:DP34,$B25)+COUNTIF('7月'!DT4:DT34,$B25)+COUNTIF('7月'!DU4:DU34,$B25)+COUNTIF('7月'!DY4:DY34,$B25)+COUNTIF('7月'!DZ4:DZ34,$B25)+COUNTIF('7月'!ED4:ED34,$B25)+COUNTIF('7月'!EE4:EE34,$B25)+COUNTIF('7月'!EI4:EI34,$B25)+COUNTIF('7月'!EJ4:EJ34,$B25)+COUNTIF('7月'!EN4:EN34,$B25)+COUNTIF('7月'!EO4:EO34,$B25)+COUNTIF('7月'!ES4:ES34,$B25)+COUNTIF('7月'!ET4:ET34,$B25)),0)</f>
        <v>0</v>
      </c>
      <c r="J25" s="76">
        <f>IFERROR(IF($B25="","",COUNTIF('8月'!D4:D34,$B25)+COUNTIF('8月'!E4:E34,$B25)+COUNTIF('8月'!I4:I34,$B25)+COUNTIF('8月'!J4:J34,$B25)+COUNTIF('8月'!N4:N34,$B25)+COUNTIF('8月'!O4:O34,$B25)+COUNTIF('8月'!S4:S34,$B25)+COUNTIF('8月'!T4:T34,$B25)+COUNTIF('8月'!X4:X34,$B25)+COUNTIF('8月'!Y4:Y34,$B25)+COUNTIF('8月'!AC4:AC34,$B25)+COUNTIF('8月'!AD4:AD34,$B25)+COUNTIF('8月'!AH4:AH34,$B25)+COUNTIF('8月'!AI4:AI34,$B25)+COUNTIF('8月'!AM4:AM34,$B25)+COUNTIF('8月'!AN4:AN34,$B25)+COUNTIF('8月'!AR4:AR34,$B25)+COUNTIF('8月'!AS4:AS34,$B25)+COUNTIF('8月'!AW4:AW34,$B25)+COUNTIF('8月'!AX4:AX34,$B25)+COUNTIF('8月'!BB4:BB34,$B25)+COUNTIF('8月'!BC4:BC34,$B25)+COUNTIF('8月'!BG4:BG34,$B25)+COUNTIF('8月'!BH4:BH34,$B25)+COUNTIF('8月'!BL4:BL34,$B25)+COUNTIF('8月'!BM4:BM34,$B25)+COUNTIF('8月'!BQ4:BQ34,$B25)+COUNTIF('8月'!BR4:BR34,$B25)+COUNTIF('8月'!BV4:BV34,$B25)+COUNTIF('8月'!BW4:BW34,$B25)+COUNTIF('8月'!CA4:CA34,$B25)+COUNTIF('8月'!CB4:CB34,$B25)+COUNTIF('8月'!CF4:CF34,$B25)+COUNTIF('8月'!CG4:CG34,$B25)+COUNTIF('8月'!CK4:CK34,$B25)+COUNTIF('8月'!CL4:CL34,$B25)+COUNTIF('8月'!CP4:CP34,$B25)+COUNTIF('8月'!CQ4:CQ34,$B25)+COUNTIF('8月'!CU4:CU34,$B25)+COUNTIF('8月'!CV4:CV34,$B25)+COUNTIF('8月'!CZ4:CZ34,$B25)+COUNTIF('8月'!DA4:DA34,$B25)+COUNTIF('8月'!DE4:DE34,$B25)+COUNTIF('8月'!DF4:DF34,$B25)+COUNTIF('8月'!DJ4:DJ34,$B25)+COUNTIF('8月'!DK4:DK34,$B25)+COUNTIF('8月'!DO4:DO34,$B25)+COUNTIF('8月'!DP4:DP34,$B25)+COUNTIF('8月'!DT4:DT34,$B25)+COUNTIF('8月'!DU4:DU34,$B25)+COUNTIF('8月'!DY4:DY34,$B25)+COUNTIF('8月'!DZ4:DZ34,$B25)+COUNTIF('8月'!ED4:ED34,$B25)+COUNTIF('8月'!EE4:EE34,$B25)+COUNTIF('8月'!EI4:EI34,$B25)+COUNTIF('8月'!EJ4:EJ34,$B25)+COUNTIF('8月'!EN4:EN34,$B25)+COUNTIF('8月'!EO4:EO34,$B25)+COUNTIF('8月'!ES4:ES34,$B25)+COUNTIF('8月'!ET4:ET34,$B25)),0)</f>
        <v>0</v>
      </c>
      <c r="K25" s="76">
        <f>IFERROR(IF($B25="","",COUNTIF('9月'!D4:D34,$B25)+COUNTIF('9月'!E4:E34,$B25)+COUNTIF('9月'!I4:I34,$B25)+COUNTIF('9月'!J4:J34,$B25)+COUNTIF('9月'!N4:N34,$B25)+COUNTIF('9月'!O4:O34,$B25)+COUNTIF('9月'!S4:S34,$B25)+COUNTIF('9月'!T4:T34,$B25)+COUNTIF('9月'!X4:X34,$B25)+COUNTIF('9月'!Y4:Y34,$B25)+COUNTIF('9月'!AC4:AC34,$B25)+COUNTIF('9月'!AD4:AD34,$B25)+COUNTIF('9月'!AH4:AH34,$B25)+COUNTIF('9月'!AI4:AI34,$B25)+COUNTIF('9月'!AM4:AM34,$B25)+COUNTIF('9月'!AN4:AN34,$B25)+COUNTIF('9月'!AR4:AR34,$B25)+COUNTIF('9月'!AS4:AS34,$B25)+COUNTIF('9月'!AW4:AW34,$B25)+COUNTIF('9月'!AX4:AX34,$B25)+COUNTIF('9月'!BB4:BB34,$B25)+COUNTIF('9月'!BC4:BC34,$B25)+COUNTIF('9月'!BG4:BG34,$B25)+COUNTIF('9月'!BH4:BH34,$B25)+COUNTIF('9月'!BL4:BL34,$B25)+COUNTIF('9月'!BM4:BM34,$B25)+COUNTIF('9月'!BQ4:BQ34,$B25)+COUNTIF('9月'!BR4:BR34,$B25)+COUNTIF('9月'!BV4:BV34,$B25)+COUNTIF('9月'!BW4:BW34,$B25)+COUNTIF('9月'!CA4:CA34,$B25)+COUNTIF('9月'!CB4:CB34,$B25)+COUNTIF('9月'!CF4:CF34,$B25)+COUNTIF('9月'!CG4:CG34,$B25)+COUNTIF('9月'!CK4:CK34,$B25)+COUNTIF('9月'!CL4:CL34,$B25)+COUNTIF('9月'!CP4:CP34,$B25)+COUNTIF('9月'!CQ4:CQ34,$B25)+COUNTIF('9月'!CU4:CU34,$B25)+COUNTIF('9月'!CV4:CV34,$B25)+COUNTIF('9月'!CZ4:CZ34,$B25)+COUNTIF('9月'!DA4:DA34,$B25)+COUNTIF('9月'!DE4:DE34,$B25)+COUNTIF('9月'!DF4:DF34,$B25)+COUNTIF('9月'!DJ4:DJ34,$B25)+COUNTIF('9月'!DK4:DK34,$B25)+COUNTIF('9月'!DO4:DO34,$B25)+COUNTIF('9月'!DP4:DP34,$B25)+COUNTIF('9月'!DT4:DT34,$B25)+COUNTIF('9月'!DU4:DU34,$B25)+COUNTIF('9月'!DY4:DY34,$B25)+COUNTIF('9月'!DZ4:DZ34,$B25)+COUNTIF('9月'!ED4:ED34,$B25)+COUNTIF('9月'!EE4:EE34,$B25)+COUNTIF('9月'!EI4:EI34,$B25)+COUNTIF('9月'!EJ4:EJ34,$B25)+COUNTIF('9月'!EN4:EN34,$B25)+COUNTIF('9月'!EO4:EO34,$B25)+COUNTIF('9月'!ES4:ES34,$B25)+COUNTIF('9月'!ET4:ET34,$B25)),0)</f>
        <v>0</v>
      </c>
      <c r="L25" s="76">
        <f>IFERROR(IF($B25="","",COUNTIF('10月'!D4:D34,$B25)+COUNTIF('10月'!E4:E34,$B25)+COUNTIF('10月'!I4:I34,$B25)+COUNTIF('10月'!J4:J34,$B25)+COUNTIF('10月'!N4:N34,$B25)+COUNTIF('10月'!O4:O34,$B25)+COUNTIF('10月'!S4:S34,$B25)+COUNTIF('10月'!T4:T34,$B25)+COUNTIF('10月'!X4:X34,$B25)+COUNTIF('10月'!Y4:Y34,$B25)+COUNTIF('10月'!AC4:AC34,$B25)+COUNTIF('10月'!AD4:AD34,$B25)+COUNTIF('10月'!AH4:AH34,$B25)+COUNTIF('10月'!AI4:AI34,$B25)+COUNTIF('10月'!AM4:AM34,$B25)+COUNTIF('10月'!AN4:AN34,$B25)+COUNTIF('10月'!AR4:AR34,$B25)+COUNTIF('10月'!AS4:AS34,$B25)+COUNTIF('10月'!AW4:AW34,$B25)+COUNTIF('10月'!AX4:AX34,$B25)+COUNTIF('10月'!BB4:BB34,$B25)+COUNTIF('10月'!BC4:BC34,$B25)+COUNTIF('10月'!BG4:BG34,$B25)+COUNTIF('10月'!BH4:BH34,$B25)+COUNTIF('10月'!BL4:BL34,$B25)+COUNTIF('10月'!BM4:BM34,$B25)+COUNTIF('10月'!BQ4:BQ34,$B25)+COUNTIF('10月'!BR4:BR34,$B25)+COUNTIF('10月'!BV4:BV34,$B25)+COUNTIF('10月'!BW4:BW34,$B25)+COUNTIF('10月'!CA4:CA34,$B25)+COUNTIF('10月'!CB4:CB34,$B25)+COUNTIF('10月'!CF4:CF34,$B25)+COUNTIF('10月'!CG4:CG34,$B25)+COUNTIF('10月'!CK4:CK34,$B25)+COUNTIF('10月'!CL4:CL34,$B25)+COUNTIF('10月'!CP4:CP34,$B25)+COUNTIF('10月'!CQ4:CQ34,$B25)+COUNTIF('10月'!CU4:CU34,$B25)+COUNTIF('10月'!CV4:CV34,$B25)+COUNTIF('10月'!CZ4:CZ34,$B25)+COUNTIF('10月'!DA4:DA34,$B25)+COUNTIF('10月'!DE4:DE34,$B25)+COUNTIF('10月'!DF4:DF34,$B25)+COUNTIF('10月'!DJ4:DJ34,$B25)+COUNTIF('10月'!DK4:DK34,$B25)+COUNTIF('10月'!DO4:DO34,$B25)+COUNTIF('10月'!DP4:DP34,$B25)+COUNTIF('10月'!DT4:DT34,$B25)+COUNTIF('10月'!DU4:DU34,$B25)+COUNTIF('10月'!DY4:DY34,$B25)+COUNTIF('10月'!DZ4:DZ34,$B25)+COUNTIF('10月'!ED4:ED34,$B25)+COUNTIF('10月'!EE4:EE34,$B25)+COUNTIF('10月'!EI4:EI34,$B25)+COUNTIF('10月'!EJ4:EJ34,$B25)+COUNTIF('10月'!EN4:EN34,$B25)+COUNTIF('10月'!EO4:EO34,$B25)+COUNTIF('10月'!ES4:ES34,$B25)+COUNTIF('10月'!ET4:ET34,$B25)),0)</f>
        <v>0</v>
      </c>
      <c r="M25" s="76">
        <f>IFERROR(IF($B25="","",COUNTIF('11月'!D4:D34,$B25)+COUNTIF('11月'!E4:E34,$B25)+COUNTIF('11月'!I4:I34,$B25)+COUNTIF('11月'!J4:J34,$B25)+COUNTIF('11月'!N4:N34,$B25)+COUNTIF('11月'!O4:O34,$B25)+COUNTIF('11月'!S4:S34,$B25)+COUNTIF('11月'!T4:T34,$B25)+COUNTIF('11月'!X4:X34,$B25)+COUNTIF('11月'!Y4:Y34,$B25)+COUNTIF('11月'!AC4:AC34,$B25)+COUNTIF('11月'!AD4:AD34,$B25)+COUNTIF('11月'!AH4:AH34,$B25)+COUNTIF('11月'!AI4:AI34,$B25)+COUNTIF('11月'!AM4:AM34,$B25)+COUNTIF('11月'!AN4:AN34,$B25)+COUNTIF('11月'!AR4:AR34,$B25)+COUNTIF('11月'!AS4:AS34,$B25)+COUNTIF('11月'!AW4:AW34,$B25)+COUNTIF('11月'!AX4:AX34,$B25)+COUNTIF('11月'!BB4:BB34,$B25)+COUNTIF('11月'!BC4:BC34,$B25)+COUNTIF('11月'!BG4:BG34,$B25)+COUNTIF('11月'!BH4:BH34,$B25)+COUNTIF('11月'!BL4:BL34,$B25)+COUNTIF('11月'!BM4:BM34,$B25)+COUNTIF('11月'!BQ4:BQ34,$B25)+COUNTIF('11月'!BR4:BR34,$B25)+COUNTIF('11月'!BV4:BV34,$B25)+COUNTIF('11月'!BW4:BW34,$B25)+COUNTIF('11月'!CA4:CA34,$B25)+COUNTIF('11月'!CB4:CB34,$B25)+COUNTIF('11月'!CF4:CF34,$B25)+COUNTIF('11月'!CG4:CG34,$B25)+COUNTIF('11月'!CK4:CK34,$B25)+COUNTIF('11月'!CL4:CL34,$B25)+COUNTIF('11月'!CP4:CP34,$B25)+COUNTIF('11月'!CQ4:CQ34,$B25)+COUNTIF('11月'!CU4:CU34,$B25)+COUNTIF('11月'!CV4:CV34,$B25)+COUNTIF('11月'!CZ4:CZ34,$B25)+COUNTIF('11月'!DA4:DA34,$B25)+COUNTIF('11月'!DE4:DE34,$B25)+COUNTIF('11月'!DF4:DF34,$B25)+COUNTIF('11月'!DJ4:DJ34,$B25)+COUNTIF('11月'!DK4:DK34,$B25)+COUNTIF('11月'!DO4:DO34,$B25)+COUNTIF('11月'!DP4:DP34,$B25)+COUNTIF('11月'!DT4:DT34,$B25)+COUNTIF('11月'!DU4:DU34,$B25)+COUNTIF('11月'!DY4:DY34,$B25)+COUNTIF('11月'!DZ4:DZ34,$B25)+COUNTIF('11月'!ED4:ED34,$B25)+COUNTIF('11月'!EE4:EE34,$B25)+COUNTIF('11月'!EI4:EI34,$B25)+COUNTIF('11月'!EJ4:EJ34,$B25)+COUNTIF('11月'!EN4:EN34,$B25)+COUNTIF('11月'!EO4:EO34,$B25)+COUNTIF('11月'!ES4:ES34,$B25)+COUNTIF('11月'!ET4:ET34,$B25)),0)</f>
        <v>0</v>
      </c>
      <c r="N25" s="76">
        <f>IFERROR(IF($B25="","",COUNTIF('12月'!D4:D34,$B25)+COUNTIF('12月'!E4:E34,$B25)+COUNTIF('12月'!I4:I34,$B25)+COUNTIF('12月'!J4:J34,$B25)+COUNTIF('12月'!N4:N34,$B25)+COUNTIF('12月'!O4:O34,$B25)+COUNTIF('12月'!S4:S34,$B25)+COUNTIF('12月'!T4:T34,$B25)+COUNTIF('12月'!X4:X34,$B25)+COUNTIF('12月'!Y4:Y34,$B25)+COUNTIF('12月'!AC4:AC34,$B25)+COUNTIF('12月'!AD4:AD34,$B25)+COUNTIF('12月'!AH4:AH34,$B25)+COUNTIF('12月'!AI4:AI34,$B25)+COUNTIF('12月'!AM4:AM34,$B25)+COUNTIF('12月'!AN4:AN34,$B25)+COUNTIF('12月'!AR4:AR34,$B25)+COUNTIF('12月'!AS4:AS34,$B25)+COUNTIF('12月'!AW4:AW34,$B25)+COUNTIF('12月'!AX4:AX34,$B25)+COUNTIF('12月'!BB4:BB34,$B25)+COUNTIF('12月'!BC4:BC34,$B25)+COUNTIF('12月'!BG4:BG34,$B25)+COUNTIF('12月'!BH4:BH34,$B25)+COUNTIF('12月'!BL4:BL34,$B25)+COUNTIF('12月'!BM4:BM34,$B25)+COUNTIF('12月'!BQ4:BQ34,$B25)+COUNTIF('12月'!BR4:BR34,$B25)+COUNTIF('12月'!BV4:BV34,$B25)+COUNTIF('12月'!BW4:BW34,$B25)+COUNTIF('12月'!CA4:CA34,$B25)+COUNTIF('12月'!CB4:CB34,$B25)+COUNTIF('12月'!CF4:CF34,$B25)+COUNTIF('12月'!CG4:CG34,$B25)+COUNTIF('12月'!CK4:CK34,$B25)+COUNTIF('12月'!CL4:CL34,$B25)+COUNTIF('12月'!CP4:CP34,$B25)+COUNTIF('12月'!CQ4:CQ34,$B25)+COUNTIF('12月'!CU4:CU34,$B25)+COUNTIF('12月'!CV4:CV34,$B25)+COUNTIF('12月'!CZ4:CZ34,$B25)+COUNTIF('12月'!DA4:DA34,$B25)+COUNTIF('12月'!DE4:DE34,$B25)+COUNTIF('12月'!DF4:DF34,$B25)+COUNTIF('12月'!DJ4:DJ34,$B25)+COUNTIF('12月'!DK4:DK34,$B25)+COUNTIF('12月'!DO4:DO34,$B25)+COUNTIF('12月'!DP4:DP34,$B25)+COUNTIF('12月'!DT4:DT34,$B25)+COUNTIF('12月'!DU4:DU34,$B25)+COUNTIF('12月'!DY4:DY34,$B25)+COUNTIF('12月'!DZ4:DZ34,$B25)+COUNTIF('12月'!ED4:ED34,$B25)+COUNTIF('12月'!EE4:EE34,$B25)+COUNTIF('12月'!EI4:EI34,$B25)+COUNTIF('12月'!EJ4:EJ34,$B25)+COUNTIF('12月'!EN4:EN34,$B25)+COUNTIF('12月'!EO4:EO34,$B25)+COUNTIF('12月'!ES4:ES34,$B25)+COUNTIF('12月'!ET4:ET34,$B25)),0)</f>
        <v>0</v>
      </c>
      <c r="O25" s="78">
        <f t="shared" si="0"/>
        <v>0</v>
      </c>
    </row>
    <row r="26" spans="1:15" ht="19.5" customHeight="1">
      <c r="A26" s="76">
        <v>24</v>
      </c>
      <c r="B26" s="77">
        <f>IFERROR(現場マスタ!$C$27,"")</f>
        <v>0</v>
      </c>
      <c r="C26" s="76">
        <f>IFERROR(IF($B26="","",COUNTIF('1月'!D4:D34,$B26)+COUNTIF('1月'!E4:E34,$B26)+COUNTIF('1月'!I4:I34,$B26)+COUNTIF('1月'!J4:J34,$B26)+COUNTIF('1月'!N4:N34,$B26)+COUNTIF('1月'!O4:O34,$B26)+COUNTIF('1月'!S4:S34,$B26)+COUNTIF('1月'!T4:T34,$B26)+COUNTIF('1月'!X4:X34,$B26)+COUNTIF('1月'!Y4:Y34,$B26)+COUNTIF('1月'!AC4:AC34,$B26)+COUNTIF('1月'!AD4:AD34,$B26)+COUNTIF('1月'!AH4:AH34,$B26)+COUNTIF('1月'!AI4:AI34,$B26)+COUNTIF('1月'!AM4:AM34,$B26)+COUNTIF('1月'!AN4:AN34,$B26)+COUNTIF('1月'!AR4:AR34,$B26)+COUNTIF('1月'!AS4:AS34,$B26)+COUNTIF('1月'!AW4:AW34,$B26)+COUNTIF('1月'!AX4:AX34,$B26)+COUNTIF('1月'!BB4:BB34,$B26)+COUNTIF('1月'!BC4:BC34,$B26)+COUNTIF('1月'!BG4:BG34,$B26)+COUNTIF('1月'!BH4:BH34,$B26)+COUNTIF('1月'!BL4:BL34,$B26)+COUNTIF('1月'!BM4:BM34,$B26)+COUNTIF('1月'!BQ4:BQ34,$B26)+COUNTIF('1月'!BR4:BR34,$B26)+COUNTIF('1月'!BV4:BV34,$B26)+COUNTIF('1月'!BW4:BW34,$B26)+COUNTIF('1月'!CA4:CA34,$B26)+COUNTIF('1月'!CB4:CB34,$B26)+COUNTIF('1月'!CF4:CF34,$B26)+COUNTIF('1月'!CG4:CG34,$B26)+COUNTIF('1月'!CK4:CK34,$B26)+COUNTIF('1月'!CL4:CL34,$B26)+COUNTIF('1月'!CP4:CP34,$B26)+COUNTIF('1月'!CQ4:CQ34,$B26)+COUNTIF('1月'!CU4:CU34,$B26)+COUNTIF('1月'!CV4:CV34,$B26)+COUNTIF('1月'!CZ4:CZ34,$B26)+COUNTIF('1月'!DA4:DA34,$B26)+COUNTIF('1月'!DE4:DE34,$B26)+COUNTIF('1月'!DF4:DF34,$B26)+COUNTIF('1月'!DJ4:DJ34,$B26)+COUNTIF('1月'!DK4:DK34,$B26)+COUNTIF('1月'!DO4:DO34,$B26)+COUNTIF('1月'!DP4:DP34,$B26)+COUNTIF('1月'!DT4:DT34,$B26)+COUNTIF('1月'!DU4:DU34,$B26)+COUNTIF('1月'!DY4:DY34,$B26)+COUNTIF('1月'!DZ4:DZ34,$B26)+COUNTIF('1月'!ED4:ED34,$B26)+COUNTIF('1月'!EE4:EE34,$B26)+COUNTIF('1月'!EI4:EI34,$B26)+COUNTIF('1月'!EJ4:EJ34,$B26)+COUNTIF('1月'!EN4:EN34,$B26)+COUNTIF('1月'!EO4:EO34,$B26)+COUNTIF('1月'!ES4:ES34,$B26)+COUNTIF('1月'!ET4:ET34,$B26)),0)</f>
        <v>0</v>
      </c>
      <c r="D26" s="76">
        <f>IFERROR(IF($B26="","",COUNTIF('2月'!D4:D34,$B26)+COUNTIF('2月'!E4:E34,$B26)+COUNTIF('2月'!I4:I34,$B26)+COUNTIF('2月'!J4:J34,$B26)+COUNTIF('2月'!N4:N34,$B26)+COUNTIF('2月'!O4:O34,$B26)+COUNTIF('2月'!S4:S34,$B26)+COUNTIF('2月'!T4:T34,$B26)+COUNTIF('2月'!X4:X34,$B26)+COUNTIF('2月'!Y4:Y34,$B26)+COUNTIF('2月'!AC4:AC34,$B26)+COUNTIF('2月'!AD4:AD34,$B26)+COUNTIF('2月'!AH4:AH34,$B26)+COUNTIF('2月'!AI4:AI34,$B26)+COUNTIF('2月'!AM4:AM34,$B26)+COUNTIF('2月'!AN4:AN34,$B26)+COUNTIF('2月'!AR4:AR34,$B26)+COUNTIF('2月'!AS4:AS34,$B26)+COUNTIF('2月'!AW4:AW34,$B26)+COUNTIF('2月'!AX4:AX34,$B26)+COUNTIF('2月'!BB4:BB34,$B26)+COUNTIF('2月'!BC4:BC34,$B26)+COUNTIF('2月'!BG4:BG34,$B26)+COUNTIF('2月'!BH4:BH34,$B26)+COUNTIF('2月'!BL4:BL34,$B26)+COUNTIF('2月'!BM4:BM34,$B26)+COUNTIF('2月'!BQ4:BQ34,$B26)+COUNTIF('2月'!BR4:BR34,$B26)+COUNTIF('2月'!BV4:BV34,$B26)+COUNTIF('2月'!BW4:BW34,$B26)+COUNTIF('2月'!CA4:CA34,$B26)+COUNTIF('2月'!CB4:CB34,$B26)+COUNTIF('2月'!CF4:CF34,$B26)+COUNTIF('2月'!CG4:CG34,$B26)+COUNTIF('2月'!CK4:CK34,$B26)+COUNTIF('2月'!CL4:CL34,$B26)+COUNTIF('2月'!CP4:CP34,$B26)+COUNTIF('2月'!CQ4:CQ34,$B26)+COUNTIF('2月'!CU4:CU34,$B26)+COUNTIF('2月'!CV4:CV34,$B26)+COUNTIF('2月'!CZ4:CZ34,$B26)+COUNTIF('2月'!DA4:DA34,$B26)+COUNTIF('2月'!DE4:DE34,$B26)+COUNTIF('2月'!DF4:DF34,$B26)+COUNTIF('2月'!DJ4:DJ34,$B26)+COUNTIF('2月'!DK4:DK34,$B26)+COUNTIF('2月'!DO4:DO34,$B26)+COUNTIF('2月'!DP4:DP34,$B26)+COUNTIF('2月'!DT4:DT34,$B26)+COUNTIF('2月'!DU4:DU34,$B26)+COUNTIF('2月'!DY4:DY34,$B26)+COUNTIF('2月'!DZ4:DZ34,$B26)+COUNTIF('2月'!ED4:ED34,$B26)+COUNTIF('2月'!EE4:EE34,$B26)+COUNTIF('2月'!EI4:EI34,$B26)+COUNTIF('2月'!EJ4:EJ34,$B26)+COUNTIF('2月'!EN4:EN34,$B26)+COUNTIF('2月'!EO4:EO34,$B26)+COUNTIF('2月'!ES4:ES34,$B26)+COUNTIF('2月'!ET4:ET34,$B26)),0)</f>
        <v>0</v>
      </c>
      <c r="E26" s="76">
        <f>IFERROR(IF($B26="","",COUNTIF('3月'!D4:D34,$B26)+COUNTIF('3月'!E4:E34,$B26)+COUNTIF('3月'!I4:I34,$B26)+COUNTIF('3月'!J4:J34,$B26)+COUNTIF('3月'!N4:N34,$B26)+COUNTIF('3月'!O4:O34,$B26)+COUNTIF('3月'!S4:S34,$B26)+COUNTIF('3月'!T4:T34,$B26)+COUNTIF('3月'!X4:X34,$B26)+COUNTIF('3月'!Y4:Y34,$B26)+COUNTIF('3月'!AC4:AC34,$B26)+COUNTIF('3月'!AD4:AD34,$B26)+COUNTIF('3月'!AH4:AH34,$B26)+COUNTIF('3月'!AI4:AI34,$B26)+COUNTIF('3月'!AM4:AM34,$B26)+COUNTIF('3月'!AN4:AN34,$B26)+COUNTIF('3月'!AR4:AR34,$B26)+COUNTIF('3月'!AS4:AS34,$B26)+COUNTIF('3月'!AW4:AW34,$B26)+COUNTIF('3月'!AX4:AX34,$B26)+COUNTIF('3月'!BB4:BB34,$B26)+COUNTIF('3月'!BC4:BC34,$B26)+COUNTIF('3月'!BG4:BG34,$B26)+COUNTIF('3月'!BH4:BH34,$B26)+COUNTIF('3月'!BL4:BL34,$B26)+COUNTIF('3月'!BM4:BM34,$B26)+COUNTIF('3月'!BQ4:BQ34,$B26)+COUNTIF('3月'!BR4:BR34,$B26)+COUNTIF('3月'!BV4:BV34,$B26)+COUNTIF('3月'!BW4:BW34,$B26)+COUNTIF('3月'!CA4:CA34,$B26)+COUNTIF('3月'!CB4:CB34,$B26)+COUNTIF('3月'!CF4:CF34,$B26)+COUNTIF('3月'!CG4:CG34,$B26)+COUNTIF('3月'!CK4:CK34,$B26)+COUNTIF('3月'!CL4:CL34,$B26)+COUNTIF('3月'!CP4:CP34,$B26)+COUNTIF('3月'!CQ4:CQ34,$B26)+COUNTIF('3月'!CU4:CU34,$B26)+COUNTIF('3月'!CV4:CV34,$B26)+COUNTIF('3月'!CZ4:CZ34,$B26)+COUNTIF('3月'!DA4:DA34,$B26)+COUNTIF('3月'!DE4:DE34,$B26)+COUNTIF('3月'!DF4:DF34,$B26)+COUNTIF('3月'!DJ4:DJ34,$B26)+COUNTIF('3月'!DK4:DK34,$B26)+COUNTIF('3月'!DO4:DO34,$B26)+COUNTIF('3月'!DP4:DP34,$B26)+COUNTIF('3月'!DT4:DT34,$B26)+COUNTIF('3月'!DU4:DU34,$B26)+COUNTIF('3月'!DY4:DY34,$B26)+COUNTIF('3月'!DZ4:DZ34,$B26)+COUNTIF('3月'!ED4:ED34,$B26)+COUNTIF('3月'!EE4:EE34,$B26)+COUNTIF('3月'!EI4:EI34,$B26)+COUNTIF('3月'!EJ4:EJ34,$B26)+COUNTIF('3月'!EN4:EN34,$B26)+COUNTIF('3月'!EO4:EO34,$B26)+COUNTIF('3月'!ES4:ES34,$B26)+COUNTIF('3月'!ET4:ET34,$B26)),0)</f>
        <v>0</v>
      </c>
      <c r="F26" s="76">
        <f>IFERROR(IF($B26="","",COUNTIF('4月'!D4:D34,$B26)+COUNTIF('4月'!E4:E34,$B26)+COUNTIF('4月'!I4:I34,$B26)+COUNTIF('4月'!J4:J34,$B26)+COUNTIF('4月'!N4:N34,$B26)+COUNTIF('4月'!O4:O34,$B26)+COUNTIF('4月'!S4:S34,$B26)+COUNTIF('4月'!T4:T34,$B26)+COUNTIF('4月'!X4:X34,$B26)+COUNTIF('4月'!Y4:Y34,$B26)+COUNTIF('4月'!AC4:AC34,$B26)+COUNTIF('4月'!AD4:AD34,$B26)+COUNTIF('4月'!AH4:AH34,$B26)+COUNTIF('4月'!AI4:AI34,$B26)+COUNTIF('4月'!AM4:AM34,$B26)+COUNTIF('4月'!AN4:AN34,$B26)+COUNTIF('4月'!AR4:AR34,$B26)+COUNTIF('4月'!AS4:AS34,$B26)+COUNTIF('4月'!AW4:AW34,$B26)+COUNTIF('4月'!AX4:AX34,$B26)+COUNTIF('4月'!BB4:BB34,$B26)+COUNTIF('4月'!BC4:BC34,$B26)+COUNTIF('4月'!BG4:BG34,$B26)+COUNTIF('4月'!BH4:BH34,$B26)+COUNTIF('4月'!BL4:BL34,$B26)+COUNTIF('4月'!BM4:BM34,$B26)+COUNTIF('4月'!BQ4:BQ34,$B26)+COUNTIF('4月'!BR4:BR34,$B26)+COUNTIF('4月'!BV4:BV34,$B26)+COUNTIF('4月'!BW4:BW34,$B26)+COUNTIF('4月'!CA4:CA34,$B26)+COUNTIF('4月'!CB4:CB34,$B26)+COUNTIF('4月'!CF4:CF34,$B26)+COUNTIF('4月'!CG4:CG34,$B26)+COUNTIF('4月'!CK4:CK34,$B26)+COUNTIF('4月'!CL4:CL34,$B26)+COUNTIF('4月'!CP4:CP34,$B26)+COUNTIF('4月'!CQ4:CQ34,$B26)+COUNTIF('4月'!CU4:CU34,$B26)+COUNTIF('4月'!CV4:CV34,$B26)+COUNTIF('4月'!CZ4:CZ34,$B26)+COUNTIF('4月'!DA4:DA34,$B26)+COUNTIF('4月'!DE4:DE34,$B26)+COUNTIF('4月'!DF4:DF34,$B26)+COUNTIF('4月'!DJ4:DJ34,$B26)+COUNTIF('4月'!DK4:DK34,$B26)+COUNTIF('4月'!DO4:DO34,$B26)+COUNTIF('4月'!DP4:DP34,$B26)+COUNTIF('4月'!DT4:DT34,$B26)+COUNTIF('4月'!DU4:DU34,$B26)+COUNTIF('4月'!DY4:DY34,$B26)+COUNTIF('4月'!DZ4:DZ34,$B26)+COUNTIF('4月'!ED4:ED34,$B26)+COUNTIF('4月'!EE4:EE34,$B26)+COUNTIF('4月'!EI4:EI34,$B26)+COUNTIF('4月'!EJ4:EJ34,$B26)+COUNTIF('4月'!EN4:EN34,$B26)+COUNTIF('4月'!EO4:EO34,$B26)+COUNTIF('4月'!ES4:ES34,$B26)+COUNTIF('4月'!ET4:ET34,$B26)),0)</f>
        <v>0</v>
      </c>
      <c r="G26" s="76">
        <f>IFERROR(IF($B26="","",COUNTIF('5月'!D4:D34,$B26)+COUNTIF('5月'!E4:E34,$B26)+COUNTIF('5月'!I4:I34,$B26)+COUNTIF('5月'!J4:J34,$B26)+COUNTIF('5月'!N4:N34,$B26)+COUNTIF('5月'!O4:O34,$B26)+COUNTIF('5月'!S4:S34,$B26)+COUNTIF('5月'!T4:T34,$B26)+COUNTIF('5月'!X4:X34,$B26)+COUNTIF('5月'!Y4:Y34,$B26)+COUNTIF('5月'!AC4:AC34,$B26)+COUNTIF('5月'!AD4:AD34,$B26)+COUNTIF('5月'!AH4:AH34,$B26)+COUNTIF('5月'!AI4:AI34,$B26)+COUNTIF('5月'!AM4:AM34,$B26)+COUNTIF('5月'!AN4:AN34,$B26)+COUNTIF('5月'!AR4:AR34,$B26)+COUNTIF('5月'!AS4:AS34,$B26)+COUNTIF('5月'!AW4:AW34,$B26)+COUNTIF('5月'!AX4:AX34,$B26)+COUNTIF('5月'!BB4:BB34,$B26)+COUNTIF('5月'!BC4:BC34,$B26)+COUNTIF('5月'!BG4:BG34,$B26)+COUNTIF('5月'!BH4:BH34,$B26)+COUNTIF('5月'!BL4:BL34,$B26)+COUNTIF('5月'!BM4:BM34,$B26)+COUNTIF('5月'!BQ4:BQ34,$B26)+COUNTIF('5月'!BR4:BR34,$B26)+COUNTIF('5月'!BV4:BV34,$B26)+COUNTIF('5月'!BW4:BW34,$B26)+COUNTIF('5月'!CA4:CA34,$B26)+COUNTIF('5月'!CB4:CB34,$B26)+COUNTIF('5月'!CF4:CF34,$B26)+COUNTIF('5月'!CG4:CG34,$B26)+COUNTIF('5月'!CK4:CK34,$B26)+COUNTIF('5月'!CL4:CL34,$B26)+COUNTIF('5月'!CP4:CP34,$B26)+COUNTIF('5月'!CQ4:CQ34,$B26)+COUNTIF('5月'!CU4:CU34,$B26)+COUNTIF('5月'!CV4:CV34,$B26)+COUNTIF('5月'!CZ4:CZ34,$B26)+COUNTIF('5月'!DA4:DA34,$B26)+COUNTIF('5月'!DE4:DE34,$B26)+COUNTIF('5月'!DF4:DF34,$B26)+COUNTIF('5月'!DJ4:DJ34,$B26)+COUNTIF('5月'!DK4:DK34,$B26)+COUNTIF('5月'!DO4:DO34,$B26)+COUNTIF('5月'!DP4:DP34,$B26)+COUNTIF('5月'!DT4:DT34,$B26)+COUNTIF('5月'!DU4:DU34,$B26)+COUNTIF('5月'!DY4:DY34,$B26)+COUNTIF('5月'!DZ4:DZ34,$B26)+COUNTIF('5月'!ED4:ED34,$B26)+COUNTIF('5月'!EE4:EE34,$B26)+COUNTIF('5月'!EI4:EI34,$B26)+COUNTIF('5月'!EJ4:EJ34,$B26)+COUNTIF('5月'!EN4:EN34,$B26)+COUNTIF('5月'!EO4:EO34,$B26)+COUNTIF('5月'!ES4:ES34,$B26)+COUNTIF('5月'!ET4:ET34,$B26)),0)</f>
        <v>0</v>
      </c>
      <c r="H26" s="76">
        <f>IFERROR(IF($B26="","",COUNTIF('6月'!D4:D34,$B26)+COUNTIF('6月'!E4:E34,$B26)+COUNTIF('6月'!I4:I34,$B26)+COUNTIF('6月'!J4:J34,$B26)+COUNTIF('6月'!N4:N34,$B26)+COUNTIF('6月'!O4:O34,$B26)+COUNTIF('6月'!S4:S34,$B26)+COUNTIF('6月'!T4:T34,$B26)+COUNTIF('6月'!X4:X34,$B26)+COUNTIF('6月'!Y4:Y34,$B26)+COUNTIF('6月'!AC4:AC34,$B26)+COUNTIF('6月'!AD4:AD34,$B26)+COUNTIF('6月'!AH4:AH34,$B26)+COUNTIF('6月'!AI4:AI34,$B26)+COUNTIF('6月'!AM4:AM34,$B26)+COUNTIF('6月'!AN4:AN34,$B26)+COUNTIF('6月'!AR4:AR34,$B26)+COUNTIF('6月'!AS4:AS34,$B26)+COUNTIF('6月'!AW4:AW34,$B26)+COUNTIF('6月'!AX4:AX34,$B26)+COUNTIF('6月'!BB4:BB34,$B26)+COUNTIF('6月'!BC4:BC34,$B26)+COUNTIF('6月'!BG4:BG34,$B26)+COUNTIF('6月'!BH4:BH34,$B26)+COUNTIF('6月'!BL4:BL34,$B26)+COUNTIF('6月'!BM4:BM34,$B26)+COUNTIF('6月'!BQ4:BQ34,$B26)+COUNTIF('6月'!BR4:BR34,$B26)+COUNTIF('6月'!BV4:BV34,$B26)+COUNTIF('6月'!BW4:BW34,$B26)+COUNTIF('6月'!CA4:CA34,$B26)+COUNTIF('6月'!CB4:CB34,$B26)+COUNTIF('6月'!CF4:CF34,$B26)+COUNTIF('6月'!CG4:CG34,$B26)+COUNTIF('6月'!CK4:CK34,$B26)+COUNTIF('6月'!CL4:CL34,$B26)+COUNTIF('6月'!CP4:CP34,$B26)+COUNTIF('6月'!CQ4:CQ34,$B26)+COUNTIF('6月'!CU4:CU34,$B26)+COUNTIF('6月'!CV4:CV34,$B26)+COUNTIF('6月'!CZ4:CZ34,$B26)+COUNTIF('6月'!DA4:DA34,$B26)+COUNTIF('6月'!DE4:DE34,$B26)+COUNTIF('6月'!DF4:DF34,$B26)+COUNTIF('6月'!DJ4:DJ34,$B26)+COUNTIF('6月'!DK4:DK34,$B26)+COUNTIF('6月'!DO4:DO34,$B26)+COUNTIF('6月'!DP4:DP34,$B26)+COUNTIF('6月'!DT4:DT34,$B26)+COUNTIF('6月'!DU4:DU34,$B26)+COUNTIF('6月'!DY4:DY34,$B26)+COUNTIF('6月'!DZ4:DZ34,$B26)+COUNTIF('6月'!ED4:ED34,$B26)+COUNTIF('6月'!EE4:EE34,$B26)+COUNTIF('6月'!EI4:EI34,$B26)+COUNTIF('6月'!EJ4:EJ34,$B26)+COUNTIF('6月'!EN4:EN34,$B26)+COUNTIF('6月'!EO4:EO34,$B26)+COUNTIF('6月'!ES4:ES34,$B26)+COUNTIF('6月'!ET4:ET34,$B26)),0)</f>
        <v>0</v>
      </c>
      <c r="I26" s="76">
        <f>IFERROR(IF($B26="","",COUNTIF('7月'!D4:D34,$B26)+COUNTIF('7月'!E4:E34,$B26)+COUNTIF('7月'!I4:I34,$B26)+COUNTIF('7月'!J4:J34,$B26)+COUNTIF('7月'!N4:N34,$B26)+COUNTIF('7月'!O4:O34,$B26)+COUNTIF('7月'!S4:S34,$B26)+COUNTIF('7月'!T4:T34,$B26)+COUNTIF('7月'!X4:X34,$B26)+COUNTIF('7月'!Y4:Y34,$B26)+COUNTIF('7月'!AC4:AC34,$B26)+COUNTIF('7月'!AD4:AD34,$B26)+COUNTIF('7月'!AH4:AH34,$B26)+COUNTIF('7月'!AI4:AI34,$B26)+COUNTIF('7月'!AM4:AM34,$B26)+COUNTIF('7月'!AN4:AN34,$B26)+COUNTIF('7月'!AR4:AR34,$B26)+COUNTIF('7月'!AS4:AS34,$B26)+COUNTIF('7月'!AW4:AW34,$B26)+COUNTIF('7月'!AX4:AX34,$B26)+COUNTIF('7月'!BB4:BB34,$B26)+COUNTIF('7月'!BC4:BC34,$B26)+COUNTIF('7月'!BG4:BG34,$B26)+COUNTIF('7月'!BH4:BH34,$B26)+COUNTIF('7月'!BL4:BL34,$B26)+COUNTIF('7月'!BM4:BM34,$B26)+COUNTIF('7月'!BQ4:BQ34,$B26)+COUNTIF('7月'!BR4:BR34,$B26)+COUNTIF('7月'!BV4:BV34,$B26)+COUNTIF('7月'!BW4:BW34,$B26)+COUNTIF('7月'!CA4:CA34,$B26)+COUNTIF('7月'!CB4:CB34,$B26)+COUNTIF('7月'!CF4:CF34,$B26)+COUNTIF('7月'!CG4:CG34,$B26)+COUNTIF('7月'!CK4:CK34,$B26)+COUNTIF('7月'!CL4:CL34,$B26)+COUNTIF('7月'!CP4:CP34,$B26)+COUNTIF('7月'!CQ4:CQ34,$B26)+COUNTIF('7月'!CU4:CU34,$B26)+COUNTIF('7月'!CV4:CV34,$B26)+COUNTIF('7月'!CZ4:CZ34,$B26)+COUNTIF('7月'!DA4:DA34,$B26)+COUNTIF('7月'!DE4:DE34,$B26)+COUNTIF('7月'!DF4:DF34,$B26)+COUNTIF('7月'!DJ4:DJ34,$B26)+COUNTIF('7月'!DK4:DK34,$B26)+COUNTIF('7月'!DO4:DO34,$B26)+COUNTIF('7月'!DP4:DP34,$B26)+COUNTIF('7月'!DT4:DT34,$B26)+COUNTIF('7月'!DU4:DU34,$B26)+COUNTIF('7月'!DY4:DY34,$B26)+COUNTIF('7月'!DZ4:DZ34,$B26)+COUNTIF('7月'!ED4:ED34,$B26)+COUNTIF('7月'!EE4:EE34,$B26)+COUNTIF('7月'!EI4:EI34,$B26)+COUNTIF('7月'!EJ4:EJ34,$B26)+COUNTIF('7月'!EN4:EN34,$B26)+COUNTIF('7月'!EO4:EO34,$B26)+COUNTIF('7月'!ES4:ES34,$B26)+COUNTIF('7月'!ET4:ET34,$B26)),0)</f>
        <v>0</v>
      </c>
      <c r="J26" s="76">
        <f>IFERROR(IF($B26="","",COUNTIF('8月'!D4:D34,$B26)+COUNTIF('8月'!E4:E34,$B26)+COUNTIF('8月'!I4:I34,$B26)+COUNTIF('8月'!J4:J34,$B26)+COUNTIF('8月'!N4:N34,$B26)+COUNTIF('8月'!O4:O34,$B26)+COUNTIF('8月'!S4:S34,$B26)+COUNTIF('8月'!T4:T34,$B26)+COUNTIF('8月'!X4:X34,$B26)+COUNTIF('8月'!Y4:Y34,$B26)+COUNTIF('8月'!AC4:AC34,$B26)+COUNTIF('8月'!AD4:AD34,$B26)+COUNTIF('8月'!AH4:AH34,$B26)+COUNTIF('8月'!AI4:AI34,$B26)+COUNTIF('8月'!AM4:AM34,$B26)+COUNTIF('8月'!AN4:AN34,$B26)+COUNTIF('8月'!AR4:AR34,$B26)+COUNTIF('8月'!AS4:AS34,$B26)+COUNTIF('8月'!AW4:AW34,$B26)+COUNTIF('8月'!AX4:AX34,$B26)+COUNTIF('8月'!BB4:BB34,$B26)+COUNTIF('8月'!BC4:BC34,$B26)+COUNTIF('8月'!BG4:BG34,$B26)+COUNTIF('8月'!BH4:BH34,$B26)+COUNTIF('8月'!BL4:BL34,$B26)+COUNTIF('8月'!BM4:BM34,$B26)+COUNTIF('8月'!BQ4:BQ34,$B26)+COUNTIF('8月'!BR4:BR34,$B26)+COUNTIF('8月'!BV4:BV34,$B26)+COUNTIF('8月'!BW4:BW34,$B26)+COUNTIF('8月'!CA4:CA34,$B26)+COUNTIF('8月'!CB4:CB34,$B26)+COUNTIF('8月'!CF4:CF34,$B26)+COUNTIF('8月'!CG4:CG34,$B26)+COUNTIF('8月'!CK4:CK34,$B26)+COUNTIF('8月'!CL4:CL34,$B26)+COUNTIF('8月'!CP4:CP34,$B26)+COUNTIF('8月'!CQ4:CQ34,$B26)+COUNTIF('8月'!CU4:CU34,$B26)+COUNTIF('8月'!CV4:CV34,$B26)+COUNTIF('8月'!CZ4:CZ34,$B26)+COUNTIF('8月'!DA4:DA34,$B26)+COUNTIF('8月'!DE4:DE34,$B26)+COUNTIF('8月'!DF4:DF34,$B26)+COUNTIF('8月'!DJ4:DJ34,$B26)+COUNTIF('8月'!DK4:DK34,$B26)+COUNTIF('8月'!DO4:DO34,$B26)+COUNTIF('8月'!DP4:DP34,$B26)+COUNTIF('8月'!DT4:DT34,$B26)+COUNTIF('8月'!DU4:DU34,$B26)+COUNTIF('8月'!DY4:DY34,$B26)+COUNTIF('8月'!DZ4:DZ34,$B26)+COUNTIF('8月'!ED4:ED34,$B26)+COUNTIF('8月'!EE4:EE34,$B26)+COUNTIF('8月'!EI4:EI34,$B26)+COUNTIF('8月'!EJ4:EJ34,$B26)+COUNTIF('8月'!EN4:EN34,$B26)+COUNTIF('8月'!EO4:EO34,$B26)+COUNTIF('8月'!ES4:ES34,$B26)+COUNTIF('8月'!ET4:ET34,$B26)),0)</f>
        <v>0</v>
      </c>
      <c r="K26" s="76">
        <f>IFERROR(IF($B26="","",COUNTIF('9月'!D4:D34,$B26)+COUNTIF('9月'!E4:E34,$B26)+COUNTIF('9月'!I4:I34,$B26)+COUNTIF('9月'!J4:J34,$B26)+COUNTIF('9月'!N4:N34,$B26)+COUNTIF('9月'!O4:O34,$B26)+COUNTIF('9月'!S4:S34,$B26)+COUNTIF('9月'!T4:T34,$B26)+COUNTIF('9月'!X4:X34,$B26)+COUNTIF('9月'!Y4:Y34,$B26)+COUNTIF('9月'!AC4:AC34,$B26)+COUNTIF('9月'!AD4:AD34,$B26)+COUNTIF('9月'!AH4:AH34,$B26)+COUNTIF('9月'!AI4:AI34,$B26)+COUNTIF('9月'!AM4:AM34,$B26)+COUNTIF('9月'!AN4:AN34,$B26)+COUNTIF('9月'!AR4:AR34,$B26)+COUNTIF('9月'!AS4:AS34,$B26)+COUNTIF('9月'!AW4:AW34,$B26)+COUNTIF('9月'!AX4:AX34,$B26)+COUNTIF('9月'!BB4:BB34,$B26)+COUNTIF('9月'!BC4:BC34,$B26)+COUNTIF('9月'!BG4:BG34,$B26)+COUNTIF('9月'!BH4:BH34,$B26)+COUNTIF('9月'!BL4:BL34,$B26)+COUNTIF('9月'!BM4:BM34,$B26)+COUNTIF('9月'!BQ4:BQ34,$B26)+COUNTIF('9月'!BR4:BR34,$B26)+COUNTIF('9月'!BV4:BV34,$B26)+COUNTIF('9月'!BW4:BW34,$B26)+COUNTIF('9月'!CA4:CA34,$B26)+COUNTIF('9月'!CB4:CB34,$B26)+COUNTIF('9月'!CF4:CF34,$B26)+COUNTIF('9月'!CG4:CG34,$B26)+COUNTIF('9月'!CK4:CK34,$B26)+COUNTIF('9月'!CL4:CL34,$B26)+COUNTIF('9月'!CP4:CP34,$B26)+COUNTIF('9月'!CQ4:CQ34,$B26)+COUNTIF('9月'!CU4:CU34,$B26)+COUNTIF('9月'!CV4:CV34,$B26)+COUNTIF('9月'!CZ4:CZ34,$B26)+COUNTIF('9月'!DA4:DA34,$B26)+COUNTIF('9月'!DE4:DE34,$B26)+COUNTIF('9月'!DF4:DF34,$B26)+COUNTIF('9月'!DJ4:DJ34,$B26)+COUNTIF('9月'!DK4:DK34,$B26)+COUNTIF('9月'!DO4:DO34,$B26)+COUNTIF('9月'!DP4:DP34,$B26)+COUNTIF('9月'!DT4:DT34,$B26)+COUNTIF('9月'!DU4:DU34,$B26)+COUNTIF('9月'!DY4:DY34,$B26)+COUNTIF('9月'!DZ4:DZ34,$B26)+COUNTIF('9月'!ED4:ED34,$B26)+COUNTIF('9月'!EE4:EE34,$B26)+COUNTIF('9月'!EI4:EI34,$B26)+COUNTIF('9月'!EJ4:EJ34,$B26)+COUNTIF('9月'!EN4:EN34,$B26)+COUNTIF('9月'!EO4:EO34,$B26)+COUNTIF('9月'!ES4:ES34,$B26)+COUNTIF('9月'!ET4:ET34,$B26)),0)</f>
        <v>0</v>
      </c>
      <c r="L26" s="76">
        <f>IFERROR(IF($B26="","",COUNTIF('10月'!D4:D34,$B26)+COUNTIF('10月'!E4:E34,$B26)+COUNTIF('10月'!I4:I34,$B26)+COUNTIF('10月'!J4:J34,$B26)+COUNTIF('10月'!N4:N34,$B26)+COUNTIF('10月'!O4:O34,$B26)+COUNTIF('10月'!S4:S34,$B26)+COUNTIF('10月'!T4:T34,$B26)+COUNTIF('10月'!X4:X34,$B26)+COUNTIF('10月'!Y4:Y34,$B26)+COUNTIF('10月'!AC4:AC34,$B26)+COUNTIF('10月'!AD4:AD34,$B26)+COUNTIF('10月'!AH4:AH34,$B26)+COUNTIF('10月'!AI4:AI34,$B26)+COUNTIF('10月'!AM4:AM34,$B26)+COUNTIF('10月'!AN4:AN34,$B26)+COUNTIF('10月'!AR4:AR34,$B26)+COUNTIF('10月'!AS4:AS34,$B26)+COUNTIF('10月'!AW4:AW34,$B26)+COUNTIF('10月'!AX4:AX34,$B26)+COUNTIF('10月'!BB4:BB34,$B26)+COUNTIF('10月'!BC4:BC34,$B26)+COUNTIF('10月'!BG4:BG34,$B26)+COUNTIF('10月'!BH4:BH34,$B26)+COUNTIF('10月'!BL4:BL34,$B26)+COUNTIF('10月'!BM4:BM34,$B26)+COUNTIF('10月'!BQ4:BQ34,$B26)+COUNTIF('10月'!BR4:BR34,$B26)+COUNTIF('10月'!BV4:BV34,$B26)+COUNTIF('10月'!BW4:BW34,$B26)+COUNTIF('10月'!CA4:CA34,$B26)+COUNTIF('10月'!CB4:CB34,$B26)+COUNTIF('10月'!CF4:CF34,$B26)+COUNTIF('10月'!CG4:CG34,$B26)+COUNTIF('10月'!CK4:CK34,$B26)+COUNTIF('10月'!CL4:CL34,$B26)+COUNTIF('10月'!CP4:CP34,$B26)+COUNTIF('10月'!CQ4:CQ34,$B26)+COUNTIF('10月'!CU4:CU34,$B26)+COUNTIF('10月'!CV4:CV34,$B26)+COUNTIF('10月'!CZ4:CZ34,$B26)+COUNTIF('10月'!DA4:DA34,$B26)+COUNTIF('10月'!DE4:DE34,$B26)+COUNTIF('10月'!DF4:DF34,$B26)+COUNTIF('10月'!DJ4:DJ34,$B26)+COUNTIF('10月'!DK4:DK34,$B26)+COUNTIF('10月'!DO4:DO34,$B26)+COUNTIF('10月'!DP4:DP34,$B26)+COUNTIF('10月'!DT4:DT34,$B26)+COUNTIF('10月'!DU4:DU34,$B26)+COUNTIF('10月'!DY4:DY34,$B26)+COUNTIF('10月'!DZ4:DZ34,$B26)+COUNTIF('10月'!ED4:ED34,$B26)+COUNTIF('10月'!EE4:EE34,$B26)+COUNTIF('10月'!EI4:EI34,$B26)+COUNTIF('10月'!EJ4:EJ34,$B26)+COUNTIF('10月'!EN4:EN34,$B26)+COUNTIF('10月'!EO4:EO34,$B26)+COUNTIF('10月'!ES4:ES34,$B26)+COUNTIF('10月'!ET4:ET34,$B26)),0)</f>
        <v>0</v>
      </c>
      <c r="M26" s="76">
        <f>IFERROR(IF($B26="","",COUNTIF('11月'!D4:D34,$B26)+COUNTIF('11月'!E4:E34,$B26)+COUNTIF('11月'!I4:I34,$B26)+COUNTIF('11月'!J4:J34,$B26)+COUNTIF('11月'!N4:N34,$B26)+COUNTIF('11月'!O4:O34,$B26)+COUNTIF('11月'!S4:S34,$B26)+COUNTIF('11月'!T4:T34,$B26)+COUNTIF('11月'!X4:X34,$B26)+COUNTIF('11月'!Y4:Y34,$B26)+COUNTIF('11月'!AC4:AC34,$B26)+COUNTIF('11月'!AD4:AD34,$B26)+COUNTIF('11月'!AH4:AH34,$B26)+COUNTIF('11月'!AI4:AI34,$B26)+COUNTIF('11月'!AM4:AM34,$B26)+COUNTIF('11月'!AN4:AN34,$B26)+COUNTIF('11月'!AR4:AR34,$B26)+COUNTIF('11月'!AS4:AS34,$B26)+COUNTIF('11月'!AW4:AW34,$B26)+COUNTIF('11月'!AX4:AX34,$B26)+COUNTIF('11月'!BB4:BB34,$B26)+COUNTIF('11月'!BC4:BC34,$B26)+COUNTIF('11月'!BG4:BG34,$B26)+COUNTIF('11月'!BH4:BH34,$B26)+COUNTIF('11月'!BL4:BL34,$B26)+COUNTIF('11月'!BM4:BM34,$B26)+COUNTIF('11月'!BQ4:BQ34,$B26)+COUNTIF('11月'!BR4:BR34,$B26)+COUNTIF('11月'!BV4:BV34,$B26)+COUNTIF('11月'!BW4:BW34,$B26)+COUNTIF('11月'!CA4:CA34,$B26)+COUNTIF('11月'!CB4:CB34,$B26)+COUNTIF('11月'!CF4:CF34,$B26)+COUNTIF('11月'!CG4:CG34,$B26)+COUNTIF('11月'!CK4:CK34,$B26)+COUNTIF('11月'!CL4:CL34,$B26)+COUNTIF('11月'!CP4:CP34,$B26)+COUNTIF('11月'!CQ4:CQ34,$B26)+COUNTIF('11月'!CU4:CU34,$B26)+COUNTIF('11月'!CV4:CV34,$B26)+COUNTIF('11月'!CZ4:CZ34,$B26)+COUNTIF('11月'!DA4:DA34,$B26)+COUNTIF('11月'!DE4:DE34,$B26)+COUNTIF('11月'!DF4:DF34,$B26)+COUNTIF('11月'!DJ4:DJ34,$B26)+COUNTIF('11月'!DK4:DK34,$B26)+COUNTIF('11月'!DO4:DO34,$B26)+COUNTIF('11月'!DP4:DP34,$B26)+COUNTIF('11月'!DT4:DT34,$B26)+COUNTIF('11月'!DU4:DU34,$B26)+COUNTIF('11月'!DY4:DY34,$B26)+COUNTIF('11月'!DZ4:DZ34,$B26)+COUNTIF('11月'!ED4:ED34,$B26)+COUNTIF('11月'!EE4:EE34,$B26)+COUNTIF('11月'!EI4:EI34,$B26)+COUNTIF('11月'!EJ4:EJ34,$B26)+COUNTIF('11月'!EN4:EN34,$B26)+COUNTIF('11月'!EO4:EO34,$B26)+COUNTIF('11月'!ES4:ES34,$B26)+COUNTIF('11月'!ET4:ET34,$B26)),0)</f>
        <v>0</v>
      </c>
      <c r="N26" s="76">
        <f>IFERROR(IF($B26="","",COUNTIF('12月'!D4:D34,$B26)+COUNTIF('12月'!E4:E34,$B26)+COUNTIF('12月'!I4:I34,$B26)+COUNTIF('12月'!J4:J34,$B26)+COUNTIF('12月'!N4:N34,$B26)+COUNTIF('12月'!O4:O34,$B26)+COUNTIF('12月'!S4:S34,$B26)+COUNTIF('12月'!T4:T34,$B26)+COUNTIF('12月'!X4:X34,$B26)+COUNTIF('12月'!Y4:Y34,$B26)+COUNTIF('12月'!AC4:AC34,$B26)+COUNTIF('12月'!AD4:AD34,$B26)+COUNTIF('12月'!AH4:AH34,$B26)+COUNTIF('12月'!AI4:AI34,$B26)+COUNTIF('12月'!AM4:AM34,$B26)+COUNTIF('12月'!AN4:AN34,$B26)+COUNTIF('12月'!AR4:AR34,$B26)+COUNTIF('12月'!AS4:AS34,$B26)+COUNTIF('12月'!AW4:AW34,$B26)+COUNTIF('12月'!AX4:AX34,$B26)+COUNTIF('12月'!BB4:BB34,$B26)+COUNTIF('12月'!BC4:BC34,$B26)+COUNTIF('12月'!BG4:BG34,$B26)+COUNTIF('12月'!BH4:BH34,$B26)+COUNTIF('12月'!BL4:BL34,$B26)+COUNTIF('12月'!BM4:BM34,$B26)+COUNTIF('12月'!BQ4:BQ34,$B26)+COUNTIF('12月'!BR4:BR34,$B26)+COUNTIF('12月'!BV4:BV34,$B26)+COUNTIF('12月'!BW4:BW34,$B26)+COUNTIF('12月'!CA4:CA34,$B26)+COUNTIF('12月'!CB4:CB34,$B26)+COUNTIF('12月'!CF4:CF34,$B26)+COUNTIF('12月'!CG4:CG34,$B26)+COUNTIF('12月'!CK4:CK34,$B26)+COUNTIF('12月'!CL4:CL34,$B26)+COUNTIF('12月'!CP4:CP34,$B26)+COUNTIF('12月'!CQ4:CQ34,$B26)+COUNTIF('12月'!CU4:CU34,$B26)+COUNTIF('12月'!CV4:CV34,$B26)+COUNTIF('12月'!CZ4:CZ34,$B26)+COUNTIF('12月'!DA4:DA34,$B26)+COUNTIF('12月'!DE4:DE34,$B26)+COUNTIF('12月'!DF4:DF34,$B26)+COUNTIF('12月'!DJ4:DJ34,$B26)+COUNTIF('12月'!DK4:DK34,$B26)+COUNTIF('12月'!DO4:DO34,$B26)+COUNTIF('12月'!DP4:DP34,$B26)+COUNTIF('12月'!DT4:DT34,$B26)+COUNTIF('12月'!DU4:DU34,$B26)+COUNTIF('12月'!DY4:DY34,$B26)+COUNTIF('12月'!DZ4:DZ34,$B26)+COUNTIF('12月'!ED4:ED34,$B26)+COUNTIF('12月'!EE4:EE34,$B26)+COUNTIF('12月'!EI4:EI34,$B26)+COUNTIF('12月'!EJ4:EJ34,$B26)+COUNTIF('12月'!EN4:EN34,$B26)+COUNTIF('12月'!EO4:EO34,$B26)+COUNTIF('12月'!ES4:ES34,$B26)+COUNTIF('12月'!ET4:ET34,$B26)),0)</f>
        <v>0</v>
      </c>
      <c r="O26" s="78">
        <f t="shared" si="0"/>
        <v>0</v>
      </c>
    </row>
    <row r="27" spans="1:15" ht="19.5" customHeight="1">
      <c r="A27" s="76">
        <v>25</v>
      </c>
      <c r="B27" s="77">
        <f>IFERROR(現場マスタ!$C$28,"")</f>
        <v>0</v>
      </c>
      <c r="C27" s="76">
        <f>IFERROR(IF($B27="","",COUNTIF('1月'!D4:D34,$B27)+COUNTIF('1月'!E4:E34,$B27)+COUNTIF('1月'!I4:I34,$B27)+COUNTIF('1月'!J4:J34,$B27)+COUNTIF('1月'!N4:N34,$B27)+COUNTIF('1月'!O4:O34,$B27)+COUNTIF('1月'!S4:S34,$B27)+COUNTIF('1月'!T4:T34,$B27)+COUNTIF('1月'!X4:X34,$B27)+COUNTIF('1月'!Y4:Y34,$B27)+COUNTIF('1月'!AC4:AC34,$B27)+COUNTIF('1月'!AD4:AD34,$B27)+COUNTIF('1月'!AH4:AH34,$B27)+COUNTIF('1月'!AI4:AI34,$B27)+COUNTIF('1月'!AM4:AM34,$B27)+COUNTIF('1月'!AN4:AN34,$B27)+COUNTIF('1月'!AR4:AR34,$B27)+COUNTIF('1月'!AS4:AS34,$B27)+COUNTIF('1月'!AW4:AW34,$B27)+COUNTIF('1月'!AX4:AX34,$B27)+COUNTIF('1月'!BB4:BB34,$B27)+COUNTIF('1月'!BC4:BC34,$B27)+COUNTIF('1月'!BG4:BG34,$B27)+COUNTIF('1月'!BH4:BH34,$B27)+COUNTIF('1月'!BL4:BL34,$B27)+COUNTIF('1月'!BM4:BM34,$B27)+COUNTIF('1月'!BQ4:BQ34,$B27)+COUNTIF('1月'!BR4:BR34,$B27)+COUNTIF('1月'!BV4:BV34,$B27)+COUNTIF('1月'!BW4:BW34,$B27)+COUNTIF('1月'!CA4:CA34,$B27)+COUNTIF('1月'!CB4:CB34,$B27)+COUNTIF('1月'!CF4:CF34,$B27)+COUNTIF('1月'!CG4:CG34,$B27)+COUNTIF('1月'!CK4:CK34,$B27)+COUNTIF('1月'!CL4:CL34,$B27)+COUNTIF('1月'!CP4:CP34,$B27)+COUNTIF('1月'!CQ4:CQ34,$B27)+COUNTIF('1月'!CU4:CU34,$B27)+COUNTIF('1月'!CV4:CV34,$B27)+COUNTIF('1月'!CZ4:CZ34,$B27)+COUNTIF('1月'!DA4:DA34,$B27)+COUNTIF('1月'!DE4:DE34,$B27)+COUNTIF('1月'!DF4:DF34,$B27)+COUNTIF('1月'!DJ4:DJ34,$B27)+COUNTIF('1月'!DK4:DK34,$B27)+COUNTIF('1月'!DO4:DO34,$B27)+COUNTIF('1月'!DP4:DP34,$B27)+COUNTIF('1月'!DT4:DT34,$B27)+COUNTIF('1月'!DU4:DU34,$B27)+COUNTIF('1月'!DY4:DY34,$B27)+COUNTIF('1月'!DZ4:DZ34,$B27)+COUNTIF('1月'!ED4:ED34,$B27)+COUNTIF('1月'!EE4:EE34,$B27)+COUNTIF('1月'!EI4:EI34,$B27)+COUNTIF('1月'!EJ4:EJ34,$B27)+COUNTIF('1月'!EN4:EN34,$B27)+COUNTIF('1月'!EO4:EO34,$B27)+COUNTIF('1月'!ES4:ES34,$B27)+COUNTIF('1月'!ET4:ET34,$B27)),0)</f>
        <v>0</v>
      </c>
      <c r="D27" s="76">
        <f>IFERROR(IF($B27="","",COUNTIF('2月'!D4:D34,$B27)+COUNTIF('2月'!E4:E34,$B27)+COUNTIF('2月'!I4:I34,$B27)+COUNTIF('2月'!J4:J34,$B27)+COUNTIF('2月'!N4:N34,$B27)+COUNTIF('2月'!O4:O34,$B27)+COUNTIF('2月'!S4:S34,$B27)+COUNTIF('2月'!T4:T34,$B27)+COUNTIF('2月'!X4:X34,$B27)+COUNTIF('2月'!Y4:Y34,$B27)+COUNTIF('2月'!AC4:AC34,$B27)+COUNTIF('2月'!AD4:AD34,$B27)+COUNTIF('2月'!AH4:AH34,$B27)+COUNTIF('2月'!AI4:AI34,$B27)+COUNTIF('2月'!AM4:AM34,$B27)+COUNTIF('2月'!AN4:AN34,$B27)+COUNTIF('2月'!AR4:AR34,$B27)+COUNTIF('2月'!AS4:AS34,$B27)+COUNTIF('2月'!AW4:AW34,$B27)+COUNTIF('2月'!AX4:AX34,$B27)+COUNTIF('2月'!BB4:BB34,$B27)+COUNTIF('2月'!BC4:BC34,$B27)+COUNTIF('2月'!BG4:BG34,$B27)+COUNTIF('2月'!BH4:BH34,$B27)+COUNTIF('2月'!BL4:BL34,$B27)+COUNTIF('2月'!BM4:BM34,$B27)+COUNTIF('2月'!BQ4:BQ34,$B27)+COUNTIF('2月'!BR4:BR34,$B27)+COUNTIF('2月'!BV4:BV34,$B27)+COUNTIF('2月'!BW4:BW34,$B27)+COUNTIF('2月'!CA4:CA34,$B27)+COUNTIF('2月'!CB4:CB34,$B27)+COUNTIF('2月'!CF4:CF34,$B27)+COUNTIF('2月'!CG4:CG34,$B27)+COUNTIF('2月'!CK4:CK34,$B27)+COUNTIF('2月'!CL4:CL34,$B27)+COUNTIF('2月'!CP4:CP34,$B27)+COUNTIF('2月'!CQ4:CQ34,$B27)+COUNTIF('2月'!CU4:CU34,$B27)+COUNTIF('2月'!CV4:CV34,$B27)+COUNTIF('2月'!CZ4:CZ34,$B27)+COUNTIF('2月'!DA4:DA34,$B27)+COUNTIF('2月'!DE4:DE34,$B27)+COUNTIF('2月'!DF4:DF34,$B27)+COUNTIF('2月'!DJ4:DJ34,$B27)+COUNTIF('2月'!DK4:DK34,$B27)+COUNTIF('2月'!DO4:DO34,$B27)+COUNTIF('2月'!DP4:DP34,$B27)+COUNTIF('2月'!DT4:DT34,$B27)+COUNTIF('2月'!DU4:DU34,$B27)+COUNTIF('2月'!DY4:DY34,$B27)+COUNTIF('2月'!DZ4:DZ34,$B27)+COUNTIF('2月'!ED4:ED34,$B27)+COUNTIF('2月'!EE4:EE34,$B27)+COUNTIF('2月'!EI4:EI34,$B27)+COUNTIF('2月'!EJ4:EJ34,$B27)+COUNTIF('2月'!EN4:EN34,$B27)+COUNTIF('2月'!EO4:EO34,$B27)+COUNTIF('2月'!ES4:ES34,$B27)+COUNTIF('2月'!ET4:ET34,$B27)),0)</f>
        <v>0</v>
      </c>
      <c r="E27" s="76">
        <f>IFERROR(IF($B27="","",COUNTIF('3月'!D4:D34,$B27)+COUNTIF('3月'!E4:E34,$B27)+COUNTIF('3月'!I4:I34,$B27)+COUNTIF('3月'!J4:J34,$B27)+COUNTIF('3月'!N4:N34,$B27)+COUNTIF('3月'!O4:O34,$B27)+COUNTIF('3月'!S4:S34,$B27)+COUNTIF('3月'!T4:T34,$B27)+COUNTIF('3月'!X4:X34,$B27)+COUNTIF('3月'!Y4:Y34,$B27)+COUNTIF('3月'!AC4:AC34,$B27)+COUNTIF('3月'!AD4:AD34,$B27)+COUNTIF('3月'!AH4:AH34,$B27)+COUNTIF('3月'!AI4:AI34,$B27)+COUNTIF('3月'!AM4:AM34,$B27)+COUNTIF('3月'!AN4:AN34,$B27)+COUNTIF('3月'!AR4:AR34,$B27)+COUNTIF('3月'!AS4:AS34,$B27)+COUNTIF('3月'!AW4:AW34,$B27)+COUNTIF('3月'!AX4:AX34,$B27)+COUNTIF('3月'!BB4:BB34,$B27)+COUNTIF('3月'!BC4:BC34,$B27)+COUNTIF('3月'!BG4:BG34,$B27)+COUNTIF('3月'!BH4:BH34,$B27)+COUNTIF('3月'!BL4:BL34,$B27)+COUNTIF('3月'!BM4:BM34,$B27)+COUNTIF('3月'!BQ4:BQ34,$B27)+COUNTIF('3月'!BR4:BR34,$B27)+COUNTIF('3月'!BV4:BV34,$B27)+COUNTIF('3月'!BW4:BW34,$B27)+COUNTIF('3月'!CA4:CA34,$B27)+COUNTIF('3月'!CB4:CB34,$B27)+COUNTIF('3月'!CF4:CF34,$B27)+COUNTIF('3月'!CG4:CG34,$B27)+COUNTIF('3月'!CK4:CK34,$B27)+COUNTIF('3月'!CL4:CL34,$B27)+COUNTIF('3月'!CP4:CP34,$B27)+COUNTIF('3月'!CQ4:CQ34,$B27)+COUNTIF('3月'!CU4:CU34,$B27)+COUNTIF('3月'!CV4:CV34,$B27)+COUNTIF('3月'!CZ4:CZ34,$B27)+COUNTIF('3月'!DA4:DA34,$B27)+COUNTIF('3月'!DE4:DE34,$B27)+COUNTIF('3月'!DF4:DF34,$B27)+COUNTIF('3月'!DJ4:DJ34,$B27)+COUNTIF('3月'!DK4:DK34,$B27)+COUNTIF('3月'!DO4:DO34,$B27)+COUNTIF('3月'!DP4:DP34,$B27)+COUNTIF('3月'!DT4:DT34,$B27)+COUNTIF('3月'!DU4:DU34,$B27)+COUNTIF('3月'!DY4:DY34,$B27)+COUNTIF('3月'!DZ4:DZ34,$B27)+COUNTIF('3月'!ED4:ED34,$B27)+COUNTIF('3月'!EE4:EE34,$B27)+COUNTIF('3月'!EI4:EI34,$B27)+COUNTIF('3月'!EJ4:EJ34,$B27)+COUNTIF('3月'!EN4:EN34,$B27)+COUNTIF('3月'!EO4:EO34,$B27)+COUNTIF('3月'!ES4:ES34,$B27)+COUNTIF('3月'!ET4:ET34,$B27)),0)</f>
        <v>0</v>
      </c>
      <c r="F27" s="76">
        <f>IFERROR(IF($B27="","",COUNTIF('4月'!D4:D34,$B27)+COUNTIF('4月'!E4:E34,$B27)+COUNTIF('4月'!I4:I34,$B27)+COUNTIF('4月'!J4:J34,$B27)+COUNTIF('4月'!N4:N34,$B27)+COUNTIF('4月'!O4:O34,$B27)+COUNTIF('4月'!S4:S34,$B27)+COUNTIF('4月'!T4:T34,$B27)+COUNTIF('4月'!X4:X34,$B27)+COUNTIF('4月'!Y4:Y34,$B27)+COUNTIF('4月'!AC4:AC34,$B27)+COUNTIF('4月'!AD4:AD34,$B27)+COUNTIF('4月'!AH4:AH34,$B27)+COUNTIF('4月'!AI4:AI34,$B27)+COUNTIF('4月'!AM4:AM34,$B27)+COUNTIF('4月'!AN4:AN34,$B27)+COUNTIF('4月'!AR4:AR34,$B27)+COUNTIF('4月'!AS4:AS34,$B27)+COUNTIF('4月'!AW4:AW34,$B27)+COUNTIF('4月'!AX4:AX34,$B27)+COUNTIF('4月'!BB4:BB34,$B27)+COUNTIF('4月'!BC4:BC34,$B27)+COUNTIF('4月'!BG4:BG34,$B27)+COUNTIF('4月'!BH4:BH34,$B27)+COUNTIF('4月'!BL4:BL34,$B27)+COUNTIF('4月'!BM4:BM34,$B27)+COUNTIF('4月'!BQ4:BQ34,$B27)+COUNTIF('4月'!BR4:BR34,$B27)+COUNTIF('4月'!BV4:BV34,$B27)+COUNTIF('4月'!BW4:BW34,$B27)+COUNTIF('4月'!CA4:CA34,$B27)+COUNTIF('4月'!CB4:CB34,$B27)+COUNTIF('4月'!CF4:CF34,$B27)+COUNTIF('4月'!CG4:CG34,$B27)+COUNTIF('4月'!CK4:CK34,$B27)+COUNTIF('4月'!CL4:CL34,$B27)+COUNTIF('4月'!CP4:CP34,$B27)+COUNTIF('4月'!CQ4:CQ34,$B27)+COUNTIF('4月'!CU4:CU34,$B27)+COUNTIF('4月'!CV4:CV34,$B27)+COUNTIF('4月'!CZ4:CZ34,$B27)+COUNTIF('4月'!DA4:DA34,$B27)+COUNTIF('4月'!DE4:DE34,$B27)+COUNTIF('4月'!DF4:DF34,$B27)+COUNTIF('4月'!DJ4:DJ34,$B27)+COUNTIF('4月'!DK4:DK34,$B27)+COUNTIF('4月'!DO4:DO34,$B27)+COUNTIF('4月'!DP4:DP34,$B27)+COUNTIF('4月'!DT4:DT34,$B27)+COUNTIF('4月'!DU4:DU34,$B27)+COUNTIF('4月'!DY4:DY34,$B27)+COUNTIF('4月'!DZ4:DZ34,$B27)+COUNTIF('4月'!ED4:ED34,$B27)+COUNTIF('4月'!EE4:EE34,$B27)+COUNTIF('4月'!EI4:EI34,$B27)+COUNTIF('4月'!EJ4:EJ34,$B27)+COUNTIF('4月'!EN4:EN34,$B27)+COUNTIF('4月'!EO4:EO34,$B27)+COUNTIF('4月'!ES4:ES34,$B27)+COUNTIF('4月'!ET4:ET34,$B27)),0)</f>
        <v>0</v>
      </c>
      <c r="G27" s="76">
        <f>IFERROR(IF($B27="","",COUNTIF('5月'!D4:D34,$B27)+COUNTIF('5月'!E4:E34,$B27)+COUNTIF('5月'!I4:I34,$B27)+COUNTIF('5月'!J4:J34,$B27)+COUNTIF('5月'!N4:N34,$B27)+COUNTIF('5月'!O4:O34,$B27)+COUNTIF('5月'!S4:S34,$B27)+COUNTIF('5月'!T4:T34,$B27)+COUNTIF('5月'!X4:X34,$B27)+COUNTIF('5月'!Y4:Y34,$B27)+COUNTIF('5月'!AC4:AC34,$B27)+COUNTIF('5月'!AD4:AD34,$B27)+COUNTIF('5月'!AH4:AH34,$B27)+COUNTIF('5月'!AI4:AI34,$B27)+COUNTIF('5月'!AM4:AM34,$B27)+COUNTIF('5月'!AN4:AN34,$B27)+COUNTIF('5月'!AR4:AR34,$B27)+COUNTIF('5月'!AS4:AS34,$B27)+COUNTIF('5月'!AW4:AW34,$B27)+COUNTIF('5月'!AX4:AX34,$B27)+COUNTIF('5月'!BB4:BB34,$B27)+COUNTIF('5月'!BC4:BC34,$B27)+COUNTIF('5月'!BG4:BG34,$B27)+COUNTIF('5月'!BH4:BH34,$B27)+COUNTIF('5月'!BL4:BL34,$B27)+COUNTIF('5月'!BM4:BM34,$B27)+COUNTIF('5月'!BQ4:BQ34,$B27)+COUNTIF('5月'!BR4:BR34,$B27)+COUNTIF('5月'!BV4:BV34,$B27)+COUNTIF('5月'!BW4:BW34,$B27)+COUNTIF('5月'!CA4:CA34,$B27)+COUNTIF('5月'!CB4:CB34,$B27)+COUNTIF('5月'!CF4:CF34,$B27)+COUNTIF('5月'!CG4:CG34,$B27)+COUNTIF('5月'!CK4:CK34,$B27)+COUNTIF('5月'!CL4:CL34,$B27)+COUNTIF('5月'!CP4:CP34,$B27)+COUNTIF('5月'!CQ4:CQ34,$B27)+COUNTIF('5月'!CU4:CU34,$B27)+COUNTIF('5月'!CV4:CV34,$B27)+COUNTIF('5月'!CZ4:CZ34,$B27)+COUNTIF('5月'!DA4:DA34,$B27)+COUNTIF('5月'!DE4:DE34,$B27)+COUNTIF('5月'!DF4:DF34,$B27)+COUNTIF('5月'!DJ4:DJ34,$B27)+COUNTIF('5月'!DK4:DK34,$B27)+COUNTIF('5月'!DO4:DO34,$B27)+COUNTIF('5月'!DP4:DP34,$B27)+COUNTIF('5月'!DT4:DT34,$B27)+COUNTIF('5月'!DU4:DU34,$B27)+COUNTIF('5月'!DY4:DY34,$B27)+COUNTIF('5月'!DZ4:DZ34,$B27)+COUNTIF('5月'!ED4:ED34,$B27)+COUNTIF('5月'!EE4:EE34,$B27)+COUNTIF('5月'!EI4:EI34,$B27)+COUNTIF('5月'!EJ4:EJ34,$B27)+COUNTIF('5月'!EN4:EN34,$B27)+COUNTIF('5月'!EO4:EO34,$B27)+COUNTIF('5月'!ES4:ES34,$B27)+COUNTIF('5月'!ET4:ET34,$B27)),0)</f>
        <v>0</v>
      </c>
      <c r="H27" s="76">
        <f>IFERROR(IF($B27="","",COUNTIF('6月'!D4:D34,$B27)+COUNTIF('6月'!E4:E34,$B27)+COUNTIF('6月'!I4:I34,$B27)+COUNTIF('6月'!J4:J34,$B27)+COUNTIF('6月'!N4:N34,$B27)+COUNTIF('6月'!O4:O34,$B27)+COUNTIF('6月'!S4:S34,$B27)+COUNTIF('6月'!T4:T34,$B27)+COUNTIF('6月'!X4:X34,$B27)+COUNTIF('6月'!Y4:Y34,$B27)+COUNTIF('6月'!AC4:AC34,$B27)+COUNTIF('6月'!AD4:AD34,$B27)+COUNTIF('6月'!AH4:AH34,$B27)+COUNTIF('6月'!AI4:AI34,$B27)+COUNTIF('6月'!AM4:AM34,$B27)+COUNTIF('6月'!AN4:AN34,$B27)+COUNTIF('6月'!AR4:AR34,$B27)+COUNTIF('6月'!AS4:AS34,$B27)+COUNTIF('6月'!AW4:AW34,$B27)+COUNTIF('6月'!AX4:AX34,$B27)+COUNTIF('6月'!BB4:BB34,$B27)+COUNTIF('6月'!BC4:BC34,$B27)+COUNTIF('6月'!BG4:BG34,$B27)+COUNTIF('6月'!BH4:BH34,$B27)+COUNTIF('6月'!BL4:BL34,$B27)+COUNTIF('6月'!BM4:BM34,$B27)+COUNTIF('6月'!BQ4:BQ34,$B27)+COUNTIF('6月'!BR4:BR34,$B27)+COUNTIF('6月'!BV4:BV34,$B27)+COUNTIF('6月'!BW4:BW34,$B27)+COUNTIF('6月'!CA4:CA34,$B27)+COUNTIF('6月'!CB4:CB34,$B27)+COUNTIF('6月'!CF4:CF34,$B27)+COUNTIF('6月'!CG4:CG34,$B27)+COUNTIF('6月'!CK4:CK34,$B27)+COUNTIF('6月'!CL4:CL34,$B27)+COUNTIF('6月'!CP4:CP34,$B27)+COUNTIF('6月'!CQ4:CQ34,$B27)+COUNTIF('6月'!CU4:CU34,$B27)+COUNTIF('6月'!CV4:CV34,$B27)+COUNTIF('6月'!CZ4:CZ34,$B27)+COUNTIF('6月'!DA4:DA34,$B27)+COUNTIF('6月'!DE4:DE34,$B27)+COUNTIF('6月'!DF4:DF34,$B27)+COUNTIF('6月'!DJ4:DJ34,$B27)+COUNTIF('6月'!DK4:DK34,$B27)+COUNTIF('6月'!DO4:DO34,$B27)+COUNTIF('6月'!DP4:DP34,$B27)+COUNTIF('6月'!DT4:DT34,$B27)+COUNTIF('6月'!DU4:DU34,$B27)+COUNTIF('6月'!DY4:DY34,$B27)+COUNTIF('6月'!DZ4:DZ34,$B27)+COUNTIF('6月'!ED4:ED34,$B27)+COUNTIF('6月'!EE4:EE34,$B27)+COUNTIF('6月'!EI4:EI34,$B27)+COUNTIF('6月'!EJ4:EJ34,$B27)+COUNTIF('6月'!EN4:EN34,$B27)+COUNTIF('6月'!EO4:EO34,$B27)+COUNTIF('6月'!ES4:ES34,$B27)+COUNTIF('6月'!ET4:ET34,$B27)),0)</f>
        <v>0</v>
      </c>
      <c r="I27" s="76">
        <f>IFERROR(IF($B27="","",COUNTIF('7月'!D4:D34,$B27)+COUNTIF('7月'!E4:E34,$B27)+COUNTIF('7月'!I4:I34,$B27)+COUNTIF('7月'!J4:J34,$B27)+COUNTIF('7月'!N4:N34,$B27)+COUNTIF('7月'!O4:O34,$B27)+COUNTIF('7月'!S4:S34,$B27)+COUNTIF('7月'!T4:T34,$B27)+COUNTIF('7月'!X4:X34,$B27)+COUNTIF('7月'!Y4:Y34,$B27)+COUNTIF('7月'!AC4:AC34,$B27)+COUNTIF('7月'!AD4:AD34,$B27)+COUNTIF('7月'!AH4:AH34,$B27)+COUNTIF('7月'!AI4:AI34,$B27)+COUNTIF('7月'!AM4:AM34,$B27)+COUNTIF('7月'!AN4:AN34,$B27)+COUNTIF('7月'!AR4:AR34,$B27)+COUNTIF('7月'!AS4:AS34,$B27)+COUNTIF('7月'!AW4:AW34,$B27)+COUNTIF('7月'!AX4:AX34,$B27)+COUNTIF('7月'!BB4:BB34,$B27)+COUNTIF('7月'!BC4:BC34,$B27)+COUNTIF('7月'!BG4:BG34,$B27)+COUNTIF('7月'!BH4:BH34,$B27)+COUNTIF('7月'!BL4:BL34,$B27)+COUNTIF('7月'!BM4:BM34,$B27)+COUNTIF('7月'!BQ4:BQ34,$B27)+COUNTIF('7月'!BR4:BR34,$B27)+COUNTIF('7月'!BV4:BV34,$B27)+COUNTIF('7月'!BW4:BW34,$B27)+COUNTIF('7月'!CA4:CA34,$B27)+COUNTIF('7月'!CB4:CB34,$B27)+COUNTIF('7月'!CF4:CF34,$B27)+COUNTIF('7月'!CG4:CG34,$B27)+COUNTIF('7月'!CK4:CK34,$B27)+COUNTIF('7月'!CL4:CL34,$B27)+COUNTIF('7月'!CP4:CP34,$B27)+COUNTIF('7月'!CQ4:CQ34,$B27)+COUNTIF('7月'!CU4:CU34,$B27)+COUNTIF('7月'!CV4:CV34,$B27)+COUNTIF('7月'!CZ4:CZ34,$B27)+COUNTIF('7月'!DA4:DA34,$B27)+COUNTIF('7月'!DE4:DE34,$B27)+COUNTIF('7月'!DF4:DF34,$B27)+COUNTIF('7月'!DJ4:DJ34,$B27)+COUNTIF('7月'!DK4:DK34,$B27)+COUNTIF('7月'!DO4:DO34,$B27)+COUNTIF('7月'!DP4:DP34,$B27)+COUNTIF('7月'!DT4:DT34,$B27)+COUNTIF('7月'!DU4:DU34,$B27)+COUNTIF('7月'!DY4:DY34,$B27)+COUNTIF('7月'!DZ4:DZ34,$B27)+COUNTIF('7月'!ED4:ED34,$B27)+COUNTIF('7月'!EE4:EE34,$B27)+COUNTIF('7月'!EI4:EI34,$B27)+COUNTIF('7月'!EJ4:EJ34,$B27)+COUNTIF('7月'!EN4:EN34,$B27)+COUNTIF('7月'!EO4:EO34,$B27)+COUNTIF('7月'!ES4:ES34,$B27)+COUNTIF('7月'!ET4:ET34,$B27)),0)</f>
        <v>0</v>
      </c>
      <c r="J27" s="76">
        <f>IFERROR(IF($B27="","",COUNTIF('8月'!D4:D34,$B27)+COUNTIF('8月'!E4:E34,$B27)+COUNTIF('8月'!I4:I34,$B27)+COUNTIF('8月'!J4:J34,$B27)+COUNTIF('8月'!N4:N34,$B27)+COUNTIF('8月'!O4:O34,$B27)+COUNTIF('8月'!S4:S34,$B27)+COUNTIF('8月'!T4:T34,$B27)+COUNTIF('8月'!X4:X34,$B27)+COUNTIF('8月'!Y4:Y34,$B27)+COUNTIF('8月'!AC4:AC34,$B27)+COUNTIF('8月'!AD4:AD34,$B27)+COUNTIF('8月'!AH4:AH34,$B27)+COUNTIF('8月'!AI4:AI34,$B27)+COUNTIF('8月'!AM4:AM34,$B27)+COUNTIF('8月'!AN4:AN34,$B27)+COUNTIF('8月'!AR4:AR34,$B27)+COUNTIF('8月'!AS4:AS34,$B27)+COUNTIF('8月'!AW4:AW34,$B27)+COUNTIF('8月'!AX4:AX34,$B27)+COUNTIF('8月'!BB4:BB34,$B27)+COUNTIF('8月'!BC4:BC34,$B27)+COUNTIF('8月'!BG4:BG34,$B27)+COUNTIF('8月'!BH4:BH34,$B27)+COUNTIF('8月'!BL4:BL34,$B27)+COUNTIF('8月'!BM4:BM34,$B27)+COUNTIF('8月'!BQ4:BQ34,$B27)+COUNTIF('8月'!BR4:BR34,$B27)+COUNTIF('8月'!BV4:BV34,$B27)+COUNTIF('8月'!BW4:BW34,$B27)+COUNTIF('8月'!CA4:CA34,$B27)+COUNTIF('8月'!CB4:CB34,$B27)+COUNTIF('8月'!CF4:CF34,$B27)+COUNTIF('8月'!CG4:CG34,$B27)+COUNTIF('8月'!CK4:CK34,$B27)+COUNTIF('8月'!CL4:CL34,$B27)+COUNTIF('8月'!CP4:CP34,$B27)+COUNTIF('8月'!CQ4:CQ34,$B27)+COUNTIF('8月'!CU4:CU34,$B27)+COUNTIF('8月'!CV4:CV34,$B27)+COUNTIF('8月'!CZ4:CZ34,$B27)+COUNTIF('8月'!DA4:DA34,$B27)+COUNTIF('8月'!DE4:DE34,$B27)+COUNTIF('8月'!DF4:DF34,$B27)+COUNTIF('8月'!DJ4:DJ34,$B27)+COUNTIF('8月'!DK4:DK34,$B27)+COUNTIF('8月'!DO4:DO34,$B27)+COUNTIF('8月'!DP4:DP34,$B27)+COUNTIF('8月'!DT4:DT34,$B27)+COUNTIF('8月'!DU4:DU34,$B27)+COUNTIF('8月'!DY4:DY34,$B27)+COUNTIF('8月'!DZ4:DZ34,$B27)+COUNTIF('8月'!ED4:ED34,$B27)+COUNTIF('8月'!EE4:EE34,$B27)+COUNTIF('8月'!EI4:EI34,$B27)+COUNTIF('8月'!EJ4:EJ34,$B27)+COUNTIF('8月'!EN4:EN34,$B27)+COUNTIF('8月'!EO4:EO34,$B27)+COUNTIF('8月'!ES4:ES34,$B27)+COUNTIF('8月'!ET4:ET34,$B27)),0)</f>
        <v>0</v>
      </c>
      <c r="K27" s="76">
        <f>IFERROR(IF($B27="","",COUNTIF('9月'!D4:D34,$B27)+COUNTIF('9月'!E4:E34,$B27)+COUNTIF('9月'!I4:I34,$B27)+COUNTIF('9月'!J4:J34,$B27)+COUNTIF('9月'!N4:N34,$B27)+COUNTIF('9月'!O4:O34,$B27)+COUNTIF('9月'!S4:S34,$B27)+COUNTIF('9月'!T4:T34,$B27)+COUNTIF('9月'!X4:X34,$B27)+COUNTIF('9月'!Y4:Y34,$B27)+COUNTIF('9月'!AC4:AC34,$B27)+COUNTIF('9月'!AD4:AD34,$B27)+COUNTIF('9月'!AH4:AH34,$B27)+COUNTIF('9月'!AI4:AI34,$B27)+COUNTIF('9月'!AM4:AM34,$B27)+COUNTIF('9月'!AN4:AN34,$B27)+COUNTIF('9月'!AR4:AR34,$B27)+COUNTIF('9月'!AS4:AS34,$B27)+COUNTIF('9月'!AW4:AW34,$B27)+COUNTIF('9月'!AX4:AX34,$B27)+COUNTIF('9月'!BB4:BB34,$B27)+COUNTIF('9月'!BC4:BC34,$B27)+COUNTIF('9月'!BG4:BG34,$B27)+COUNTIF('9月'!BH4:BH34,$B27)+COUNTIF('9月'!BL4:BL34,$B27)+COUNTIF('9月'!BM4:BM34,$B27)+COUNTIF('9月'!BQ4:BQ34,$B27)+COUNTIF('9月'!BR4:BR34,$B27)+COUNTIF('9月'!BV4:BV34,$B27)+COUNTIF('9月'!BW4:BW34,$B27)+COUNTIF('9月'!CA4:CA34,$B27)+COUNTIF('9月'!CB4:CB34,$B27)+COUNTIF('9月'!CF4:CF34,$B27)+COUNTIF('9月'!CG4:CG34,$B27)+COUNTIF('9月'!CK4:CK34,$B27)+COUNTIF('9月'!CL4:CL34,$B27)+COUNTIF('9月'!CP4:CP34,$B27)+COUNTIF('9月'!CQ4:CQ34,$B27)+COUNTIF('9月'!CU4:CU34,$B27)+COUNTIF('9月'!CV4:CV34,$B27)+COUNTIF('9月'!CZ4:CZ34,$B27)+COUNTIF('9月'!DA4:DA34,$B27)+COUNTIF('9月'!DE4:DE34,$B27)+COUNTIF('9月'!DF4:DF34,$B27)+COUNTIF('9月'!DJ4:DJ34,$B27)+COUNTIF('9月'!DK4:DK34,$B27)+COUNTIF('9月'!DO4:DO34,$B27)+COUNTIF('9月'!DP4:DP34,$B27)+COUNTIF('9月'!DT4:DT34,$B27)+COUNTIF('9月'!DU4:DU34,$B27)+COUNTIF('9月'!DY4:DY34,$B27)+COUNTIF('9月'!DZ4:DZ34,$B27)+COUNTIF('9月'!ED4:ED34,$B27)+COUNTIF('9月'!EE4:EE34,$B27)+COUNTIF('9月'!EI4:EI34,$B27)+COUNTIF('9月'!EJ4:EJ34,$B27)+COUNTIF('9月'!EN4:EN34,$B27)+COUNTIF('9月'!EO4:EO34,$B27)+COUNTIF('9月'!ES4:ES34,$B27)+COUNTIF('9月'!ET4:ET34,$B27)),0)</f>
        <v>0</v>
      </c>
      <c r="L27" s="76">
        <f>IFERROR(IF($B27="","",COUNTIF('10月'!D4:D34,$B27)+COUNTIF('10月'!E4:E34,$B27)+COUNTIF('10月'!I4:I34,$B27)+COUNTIF('10月'!J4:J34,$B27)+COUNTIF('10月'!N4:N34,$B27)+COUNTIF('10月'!O4:O34,$B27)+COUNTIF('10月'!S4:S34,$B27)+COUNTIF('10月'!T4:T34,$B27)+COUNTIF('10月'!X4:X34,$B27)+COUNTIF('10月'!Y4:Y34,$B27)+COUNTIF('10月'!AC4:AC34,$B27)+COUNTIF('10月'!AD4:AD34,$B27)+COUNTIF('10月'!AH4:AH34,$B27)+COUNTIF('10月'!AI4:AI34,$B27)+COUNTIF('10月'!AM4:AM34,$B27)+COUNTIF('10月'!AN4:AN34,$B27)+COUNTIF('10月'!AR4:AR34,$B27)+COUNTIF('10月'!AS4:AS34,$B27)+COUNTIF('10月'!AW4:AW34,$B27)+COUNTIF('10月'!AX4:AX34,$B27)+COUNTIF('10月'!BB4:BB34,$B27)+COUNTIF('10月'!BC4:BC34,$B27)+COUNTIF('10月'!BG4:BG34,$B27)+COUNTIF('10月'!BH4:BH34,$B27)+COUNTIF('10月'!BL4:BL34,$B27)+COUNTIF('10月'!BM4:BM34,$B27)+COUNTIF('10月'!BQ4:BQ34,$B27)+COUNTIF('10月'!BR4:BR34,$B27)+COUNTIF('10月'!BV4:BV34,$B27)+COUNTIF('10月'!BW4:BW34,$B27)+COUNTIF('10月'!CA4:CA34,$B27)+COUNTIF('10月'!CB4:CB34,$B27)+COUNTIF('10月'!CF4:CF34,$B27)+COUNTIF('10月'!CG4:CG34,$B27)+COUNTIF('10月'!CK4:CK34,$B27)+COUNTIF('10月'!CL4:CL34,$B27)+COUNTIF('10月'!CP4:CP34,$B27)+COUNTIF('10月'!CQ4:CQ34,$B27)+COUNTIF('10月'!CU4:CU34,$B27)+COUNTIF('10月'!CV4:CV34,$B27)+COUNTIF('10月'!CZ4:CZ34,$B27)+COUNTIF('10月'!DA4:DA34,$B27)+COUNTIF('10月'!DE4:DE34,$B27)+COUNTIF('10月'!DF4:DF34,$B27)+COUNTIF('10月'!DJ4:DJ34,$B27)+COUNTIF('10月'!DK4:DK34,$B27)+COUNTIF('10月'!DO4:DO34,$B27)+COUNTIF('10月'!DP4:DP34,$B27)+COUNTIF('10月'!DT4:DT34,$B27)+COUNTIF('10月'!DU4:DU34,$B27)+COUNTIF('10月'!DY4:DY34,$B27)+COUNTIF('10月'!DZ4:DZ34,$B27)+COUNTIF('10月'!ED4:ED34,$B27)+COUNTIF('10月'!EE4:EE34,$B27)+COUNTIF('10月'!EI4:EI34,$B27)+COUNTIF('10月'!EJ4:EJ34,$B27)+COUNTIF('10月'!EN4:EN34,$B27)+COUNTIF('10月'!EO4:EO34,$B27)+COUNTIF('10月'!ES4:ES34,$B27)+COUNTIF('10月'!ET4:ET34,$B27)),0)</f>
        <v>0</v>
      </c>
      <c r="M27" s="76">
        <f>IFERROR(IF($B27="","",COUNTIF('11月'!D4:D34,$B27)+COUNTIF('11月'!E4:E34,$B27)+COUNTIF('11月'!I4:I34,$B27)+COUNTIF('11月'!J4:J34,$B27)+COUNTIF('11月'!N4:N34,$B27)+COUNTIF('11月'!O4:O34,$B27)+COUNTIF('11月'!S4:S34,$B27)+COUNTIF('11月'!T4:T34,$B27)+COUNTIF('11月'!X4:X34,$B27)+COUNTIF('11月'!Y4:Y34,$B27)+COUNTIF('11月'!AC4:AC34,$B27)+COUNTIF('11月'!AD4:AD34,$B27)+COUNTIF('11月'!AH4:AH34,$B27)+COUNTIF('11月'!AI4:AI34,$B27)+COUNTIF('11月'!AM4:AM34,$B27)+COUNTIF('11月'!AN4:AN34,$B27)+COUNTIF('11月'!AR4:AR34,$B27)+COUNTIF('11月'!AS4:AS34,$B27)+COUNTIF('11月'!AW4:AW34,$B27)+COUNTIF('11月'!AX4:AX34,$B27)+COUNTIF('11月'!BB4:BB34,$B27)+COUNTIF('11月'!BC4:BC34,$B27)+COUNTIF('11月'!BG4:BG34,$B27)+COUNTIF('11月'!BH4:BH34,$B27)+COUNTIF('11月'!BL4:BL34,$B27)+COUNTIF('11月'!BM4:BM34,$B27)+COUNTIF('11月'!BQ4:BQ34,$B27)+COUNTIF('11月'!BR4:BR34,$B27)+COUNTIF('11月'!BV4:BV34,$B27)+COUNTIF('11月'!BW4:BW34,$B27)+COUNTIF('11月'!CA4:CA34,$B27)+COUNTIF('11月'!CB4:CB34,$B27)+COUNTIF('11月'!CF4:CF34,$B27)+COUNTIF('11月'!CG4:CG34,$B27)+COUNTIF('11月'!CK4:CK34,$B27)+COUNTIF('11月'!CL4:CL34,$B27)+COUNTIF('11月'!CP4:CP34,$B27)+COUNTIF('11月'!CQ4:CQ34,$B27)+COUNTIF('11月'!CU4:CU34,$B27)+COUNTIF('11月'!CV4:CV34,$B27)+COUNTIF('11月'!CZ4:CZ34,$B27)+COUNTIF('11月'!DA4:DA34,$B27)+COUNTIF('11月'!DE4:DE34,$B27)+COUNTIF('11月'!DF4:DF34,$B27)+COUNTIF('11月'!DJ4:DJ34,$B27)+COUNTIF('11月'!DK4:DK34,$B27)+COUNTIF('11月'!DO4:DO34,$B27)+COUNTIF('11月'!DP4:DP34,$B27)+COUNTIF('11月'!DT4:DT34,$B27)+COUNTIF('11月'!DU4:DU34,$B27)+COUNTIF('11月'!DY4:DY34,$B27)+COUNTIF('11月'!DZ4:DZ34,$B27)+COUNTIF('11月'!ED4:ED34,$B27)+COUNTIF('11月'!EE4:EE34,$B27)+COUNTIF('11月'!EI4:EI34,$B27)+COUNTIF('11月'!EJ4:EJ34,$B27)+COUNTIF('11月'!EN4:EN34,$B27)+COUNTIF('11月'!EO4:EO34,$B27)+COUNTIF('11月'!ES4:ES34,$B27)+COUNTIF('11月'!ET4:ET34,$B27)),0)</f>
        <v>0</v>
      </c>
      <c r="N27" s="76">
        <f>IFERROR(IF($B27="","",COUNTIF('12月'!D4:D34,$B27)+COUNTIF('12月'!E4:E34,$B27)+COUNTIF('12月'!I4:I34,$B27)+COUNTIF('12月'!J4:J34,$B27)+COUNTIF('12月'!N4:N34,$B27)+COUNTIF('12月'!O4:O34,$B27)+COUNTIF('12月'!S4:S34,$B27)+COUNTIF('12月'!T4:T34,$B27)+COUNTIF('12月'!X4:X34,$B27)+COUNTIF('12月'!Y4:Y34,$B27)+COUNTIF('12月'!AC4:AC34,$B27)+COUNTIF('12月'!AD4:AD34,$B27)+COUNTIF('12月'!AH4:AH34,$B27)+COUNTIF('12月'!AI4:AI34,$B27)+COUNTIF('12月'!AM4:AM34,$B27)+COUNTIF('12月'!AN4:AN34,$B27)+COUNTIF('12月'!AR4:AR34,$B27)+COUNTIF('12月'!AS4:AS34,$B27)+COUNTIF('12月'!AW4:AW34,$B27)+COUNTIF('12月'!AX4:AX34,$B27)+COUNTIF('12月'!BB4:BB34,$B27)+COUNTIF('12月'!BC4:BC34,$B27)+COUNTIF('12月'!BG4:BG34,$B27)+COUNTIF('12月'!BH4:BH34,$B27)+COUNTIF('12月'!BL4:BL34,$B27)+COUNTIF('12月'!BM4:BM34,$B27)+COUNTIF('12月'!BQ4:BQ34,$B27)+COUNTIF('12月'!BR4:BR34,$B27)+COUNTIF('12月'!BV4:BV34,$B27)+COUNTIF('12月'!BW4:BW34,$B27)+COUNTIF('12月'!CA4:CA34,$B27)+COUNTIF('12月'!CB4:CB34,$B27)+COUNTIF('12月'!CF4:CF34,$B27)+COUNTIF('12月'!CG4:CG34,$B27)+COUNTIF('12月'!CK4:CK34,$B27)+COUNTIF('12月'!CL4:CL34,$B27)+COUNTIF('12月'!CP4:CP34,$B27)+COUNTIF('12月'!CQ4:CQ34,$B27)+COUNTIF('12月'!CU4:CU34,$B27)+COUNTIF('12月'!CV4:CV34,$B27)+COUNTIF('12月'!CZ4:CZ34,$B27)+COUNTIF('12月'!DA4:DA34,$B27)+COUNTIF('12月'!DE4:DE34,$B27)+COUNTIF('12月'!DF4:DF34,$B27)+COUNTIF('12月'!DJ4:DJ34,$B27)+COUNTIF('12月'!DK4:DK34,$B27)+COUNTIF('12月'!DO4:DO34,$B27)+COUNTIF('12月'!DP4:DP34,$B27)+COUNTIF('12月'!DT4:DT34,$B27)+COUNTIF('12月'!DU4:DU34,$B27)+COUNTIF('12月'!DY4:DY34,$B27)+COUNTIF('12月'!DZ4:DZ34,$B27)+COUNTIF('12月'!ED4:ED34,$B27)+COUNTIF('12月'!EE4:EE34,$B27)+COUNTIF('12月'!EI4:EI34,$B27)+COUNTIF('12月'!EJ4:EJ34,$B27)+COUNTIF('12月'!EN4:EN34,$B27)+COUNTIF('12月'!EO4:EO34,$B27)+COUNTIF('12月'!ES4:ES34,$B27)+COUNTIF('12月'!ET4:ET34,$B27)),0)</f>
        <v>0</v>
      </c>
      <c r="O27" s="78">
        <f t="shared" si="0"/>
        <v>0</v>
      </c>
    </row>
    <row r="28" spans="1:15" ht="19.5" customHeight="1">
      <c r="A28" s="76">
        <v>26</v>
      </c>
      <c r="B28" s="77">
        <f>IFERROR(現場マスタ!$C$29,"")</f>
        <v>0</v>
      </c>
      <c r="C28" s="76">
        <f>IFERROR(IF($B28="","",COUNTIF('1月'!D4:D34,$B28)+COUNTIF('1月'!E4:E34,$B28)+COUNTIF('1月'!I4:I34,$B28)+COUNTIF('1月'!J4:J34,$B28)+COUNTIF('1月'!N4:N34,$B28)+COUNTIF('1月'!O4:O34,$B28)+COUNTIF('1月'!S4:S34,$B28)+COUNTIF('1月'!T4:T34,$B28)+COUNTIF('1月'!X4:X34,$B28)+COUNTIF('1月'!Y4:Y34,$B28)+COUNTIF('1月'!AC4:AC34,$B28)+COUNTIF('1月'!AD4:AD34,$B28)+COUNTIF('1月'!AH4:AH34,$B28)+COUNTIF('1月'!AI4:AI34,$B28)+COUNTIF('1月'!AM4:AM34,$B28)+COUNTIF('1月'!AN4:AN34,$B28)+COUNTIF('1月'!AR4:AR34,$B28)+COUNTIF('1月'!AS4:AS34,$B28)+COUNTIF('1月'!AW4:AW34,$B28)+COUNTIF('1月'!AX4:AX34,$B28)+COUNTIF('1月'!BB4:BB34,$B28)+COUNTIF('1月'!BC4:BC34,$B28)+COUNTIF('1月'!BG4:BG34,$B28)+COUNTIF('1月'!BH4:BH34,$B28)+COUNTIF('1月'!BL4:BL34,$B28)+COUNTIF('1月'!BM4:BM34,$B28)+COUNTIF('1月'!BQ4:BQ34,$B28)+COUNTIF('1月'!BR4:BR34,$B28)+COUNTIF('1月'!BV4:BV34,$B28)+COUNTIF('1月'!BW4:BW34,$B28)+COUNTIF('1月'!CA4:CA34,$B28)+COUNTIF('1月'!CB4:CB34,$B28)+COUNTIF('1月'!CF4:CF34,$B28)+COUNTIF('1月'!CG4:CG34,$B28)+COUNTIF('1月'!CK4:CK34,$B28)+COUNTIF('1月'!CL4:CL34,$B28)+COUNTIF('1月'!CP4:CP34,$B28)+COUNTIF('1月'!CQ4:CQ34,$B28)+COUNTIF('1月'!CU4:CU34,$B28)+COUNTIF('1月'!CV4:CV34,$B28)+COUNTIF('1月'!CZ4:CZ34,$B28)+COUNTIF('1月'!DA4:DA34,$B28)+COUNTIF('1月'!DE4:DE34,$B28)+COUNTIF('1月'!DF4:DF34,$B28)+COUNTIF('1月'!DJ4:DJ34,$B28)+COUNTIF('1月'!DK4:DK34,$B28)+COUNTIF('1月'!DO4:DO34,$B28)+COUNTIF('1月'!DP4:DP34,$B28)+COUNTIF('1月'!DT4:DT34,$B28)+COUNTIF('1月'!DU4:DU34,$B28)+COUNTIF('1月'!DY4:DY34,$B28)+COUNTIF('1月'!DZ4:DZ34,$B28)+COUNTIF('1月'!ED4:ED34,$B28)+COUNTIF('1月'!EE4:EE34,$B28)+COUNTIF('1月'!EI4:EI34,$B28)+COUNTIF('1月'!EJ4:EJ34,$B28)+COUNTIF('1月'!EN4:EN34,$B28)+COUNTIF('1月'!EO4:EO34,$B28)+COUNTIF('1月'!ES4:ES34,$B28)+COUNTIF('1月'!ET4:ET34,$B28)),0)</f>
        <v>0</v>
      </c>
      <c r="D28" s="76">
        <f>IFERROR(IF($B28="","",COUNTIF('2月'!D4:D34,$B28)+COUNTIF('2月'!E4:E34,$B28)+COUNTIF('2月'!I4:I34,$B28)+COUNTIF('2月'!J4:J34,$B28)+COUNTIF('2月'!N4:N34,$B28)+COUNTIF('2月'!O4:O34,$B28)+COUNTIF('2月'!S4:S34,$B28)+COUNTIF('2月'!T4:T34,$B28)+COUNTIF('2月'!X4:X34,$B28)+COUNTIF('2月'!Y4:Y34,$B28)+COUNTIF('2月'!AC4:AC34,$B28)+COUNTIF('2月'!AD4:AD34,$B28)+COUNTIF('2月'!AH4:AH34,$B28)+COUNTIF('2月'!AI4:AI34,$B28)+COUNTIF('2月'!AM4:AM34,$B28)+COUNTIF('2月'!AN4:AN34,$B28)+COUNTIF('2月'!AR4:AR34,$B28)+COUNTIF('2月'!AS4:AS34,$B28)+COUNTIF('2月'!AW4:AW34,$B28)+COUNTIF('2月'!AX4:AX34,$B28)+COUNTIF('2月'!BB4:BB34,$B28)+COUNTIF('2月'!BC4:BC34,$B28)+COUNTIF('2月'!BG4:BG34,$B28)+COUNTIF('2月'!BH4:BH34,$B28)+COUNTIF('2月'!BL4:BL34,$B28)+COUNTIF('2月'!BM4:BM34,$B28)+COUNTIF('2月'!BQ4:BQ34,$B28)+COUNTIF('2月'!BR4:BR34,$B28)+COUNTIF('2月'!BV4:BV34,$B28)+COUNTIF('2月'!BW4:BW34,$B28)+COUNTIF('2月'!CA4:CA34,$B28)+COUNTIF('2月'!CB4:CB34,$B28)+COUNTIF('2月'!CF4:CF34,$B28)+COUNTIF('2月'!CG4:CG34,$B28)+COUNTIF('2月'!CK4:CK34,$B28)+COUNTIF('2月'!CL4:CL34,$B28)+COUNTIF('2月'!CP4:CP34,$B28)+COUNTIF('2月'!CQ4:CQ34,$B28)+COUNTIF('2月'!CU4:CU34,$B28)+COUNTIF('2月'!CV4:CV34,$B28)+COUNTIF('2月'!CZ4:CZ34,$B28)+COUNTIF('2月'!DA4:DA34,$B28)+COUNTIF('2月'!DE4:DE34,$B28)+COUNTIF('2月'!DF4:DF34,$B28)+COUNTIF('2月'!DJ4:DJ34,$B28)+COUNTIF('2月'!DK4:DK34,$B28)+COUNTIF('2月'!DO4:DO34,$B28)+COUNTIF('2月'!DP4:DP34,$B28)+COUNTIF('2月'!DT4:DT34,$B28)+COUNTIF('2月'!DU4:DU34,$B28)+COUNTIF('2月'!DY4:DY34,$B28)+COUNTIF('2月'!DZ4:DZ34,$B28)+COUNTIF('2月'!ED4:ED34,$B28)+COUNTIF('2月'!EE4:EE34,$B28)+COUNTIF('2月'!EI4:EI34,$B28)+COUNTIF('2月'!EJ4:EJ34,$B28)+COUNTIF('2月'!EN4:EN34,$B28)+COUNTIF('2月'!EO4:EO34,$B28)+COUNTIF('2月'!ES4:ES34,$B28)+COUNTIF('2月'!ET4:ET34,$B28)),0)</f>
        <v>0</v>
      </c>
      <c r="E28" s="76">
        <f>IFERROR(IF($B28="","",COUNTIF('3月'!D4:D34,$B28)+COUNTIF('3月'!E4:E34,$B28)+COUNTIF('3月'!I4:I34,$B28)+COUNTIF('3月'!J4:J34,$B28)+COUNTIF('3月'!N4:N34,$B28)+COUNTIF('3月'!O4:O34,$B28)+COUNTIF('3月'!S4:S34,$B28)+COUNTIF('3月'!T4:T34,$B28)+COUNTIF('3月'!X4:X34,$B28)+COUNTIF('3月'!Y4:Y34,$B28)+COUNTIF('3月'!AC4:AC34,$B28)+COUNTIF('3月'!AD4:AD34,$B28)+COUNTIF('3月'!AH4:AH34,$B28)+COUNTIF('3月'!AI4:AI34,$B28)+COUNTIF('3月'!AM4:AM34,$B28)+COUNTIF('3月'!AN4:AN34,$B28)+COUNTIF('3月'!AR4:AR34,$B28)+COUNTIF('3月'!AS4:AS34,$B28)+COUNTIF('3月'!AW4:AW34,$B28)+COUNTIF('3月'!AX4:AX34,$B28)+COUNTIF('3月'!BB4:BB34,$B28)+COUNTIF('3月'!BC4:BC34,$B28)+COUNTIF('3月'!BG4:BG34,$B28)+COUNTIF('3月'!BH4:BH34,$B28)+COUNTIF('3月'!BL4:BL34,$B28)+COUNTIF('3月'!BM4:BM34,$B28)+COUNTIF('3月'!BQ4:BQ34,$B28)+COUNTIF('3月'!BR4:BR34,$B28)+COUNTIF('3月'!BV4:BV34,$B28)+COUNTIF('3月'!BW4:BW34,$B28)+COUNTIF('3月'!CA4:CA34,$B28)+COUNTIF('3月'!CB4:CB34,$B28)+COUNTIF('3月'!CF4:CF34,$B28)+COUNTIF('3月'!CG4:CG34,$B28)+COUNTIF('3月'!CK4:CK34,$B28)+COUNTIF('3月'!CL4:CL34,$B28)+COUNTIF('3月'!CP4:CP34,$B28)+COUNTIF('3月'!CQ4:CQ34,$B28)+COUNTIF('3月'!CU4:CU34,$B28)+COUNTIF('3月'!CV4:CV34,$B28)+COUNTIF('3月'!CZ4:CZ34,$B28)+COUNTIF('3月'!DA4:DA34,$B28)+COUNTIF('3月'!DE4:DE34,$B28)+COUNTIF('3月'!DF4:DF34,$B28)+COUNTIF('3月'!DJ4:DJ34,$B28)+COUNTIF('3月'!DK4:DK34,$B28)+COUNTIF('3月'!DO4:DO34,$B28)+COUNTIF('3月'!DP4:DP34,$B28)+COUNTIF('3月'!DT4:DT34,$B28)+COUNTIF('3月'!DU4:DU34,$B28)+COUNTIF('3月'!DY4:DY34,$B28)+COUNTIF('3月'!DZ4:DZ34,$B28)+COUNTIF('3月'!ED4:ED34,$B28)+COUNTIF('3月'!EE4:EE34,$B28)+COUNTIF('3月'!EI4:EI34,$B28)+COUNTIF('3月'!EJ4:EJ34,$B28)+COUNTIF('3月'!EN4:EN34,$B28)+COUNTIF('3月'!EO4:EO34,$B28)+COUNTIF('3月'!ES4:ES34,$B28)+COUNTIF('3月'!ET4:ET34,$B28)),0)</f>
        <v>0</v>
      </c>
      <c r="F28" s="76">
        <f>IFERROR(IF($B28="","",COUNTIF('4月'!D4:D34,$B28)+COUNTIF('4月'!E4:E34,$B28)+COUNTIF('4月'!I4:I34,$B28)+COUNTIF('4月'!J4:J34,$B28)+COUNTIF('4月'!N4:N34,$B28)+COUNTIF('4月'!O4:O34,$B28)+COUNTIF('4月'!S4:S34,$B28)+COUNTIF('4月'!T4:T34,$B28)+COUNTIF('4月'!X4:X34,$B28)+COUNTIF('4月'!Y4:Y34,$B28)+COUNTIF('4月'!AC4:AC34,$B28)+COUNTIF('4月'!AD4:AD34,$B28)+COUNTIF('4月'!AH4:AH34,$B28)+COUNTIF('4月'!AI4:AI34,$B28)+COUNTIF('4月'!AM4:AM34,$B28)+COUNTIF('4月'!AN4:AN34,$B28)+COUNTIF('4月'!AR4:AR34,$B28)+COUNTIF('4月'!AS4:AS34,$B28)+COUNTIF('4月'!AW4:AW34,$B28)+COUNTIF('4月'!AX4:AX34,$B28)+COUNTIF('4月'!BB4:BB34,$B28)+COUNTIF('4月'!BC4:BC34,$B28)+COUNTIF('4月'!BG4:BG34,$B28)+COUNTIF('4月'!BH4:BH34,$B28)+COUNTIF('4月'!BL4:BL34,$B28)+COUNTIF('4月'!BM4:BM34,$B28)+COUNTIF('4月'!BQ4:BQ34,$B28)+COUNTIF('4月'!BR4:BR34,$B28)+COUNTIF('4月'!BV4:BV34,$B28)+COUNTIF('4月'!BW4:BW34,$B28)+COUNTIF('4月'!CA4:CA34,$B28)+COUNTIF('4月'!CB4:CB34,$B28)+COUNTIF('4月'!CF4:CF34,$B28)+COUNTIF('4月'!CG4:CG34,$B28)+COUNTIF('4月'!CK4:CK34,$B28)+COUNTIF('4月'!CL4:CL34,$B28)+COUNTIF('4月'!CP4:CP34,$B28)+COUNTIF('4月'!CQ4:CQ34,$B28)+COUNTIF('4月'!CU4:CU34,$B28)+COUNTIF('4月'!CV4:CV34,$B28)+COUNTIF('4月'!CZ4:CZ34,$B28)+COUNTIF('4月'!DA4:DA34,$B28)+COUNTIF('4月'!DE4:DE34,$B28)+COUNTIF('4月'!DF4:DF34,$B28)+COUNTIF('4月'!DJ4:DJ34,$B28)+COUNTIF('4月'!DK4:DK34,$B28)+COUNTIF('4月'!DO4:DO34,$B28)+COUNTIF('4月'!DP4:DP34,$B28)+COUNTIF('4月'!DT4:DT34,$B28)+COUNTIF('4月'!DU4:DU34,$B28)+COUNTIF('4月'!DY4:DY34,$B28)+COUNTIF('4月'!DZ4:DZ34,$B28)+COUNTIF('4月'!ED4:ED34,$B28)+COUNTIF('4月'!EE4:EE34,$B28)+COUNTIF('4月'!EI4:EI34,$B28)+COUNTIF('4月'!EJ4:EJ34,$B28)+COUNTIF('4月'!EN4:EN34,$B28)+COUNTIF('4月'!EO4:EO34,$B28)+COUNTIF('4月'!ES4:ES34,$B28)+COUNTIF('4月'!ET4:ET34,$B28)),0)</f>
        <v>0</v>
      </c>
      <c r="G28" s="76">
        <f>IFERROR(IF($B28="","",COUNTIF('5月'!D4:D34,$B28)+COUNTIF('5月'!E4:E34,$B28)+COUNTIF('5月'!I4:I34,$B28)+COUNTIF('5月'!J4:J34,$B28)+COUNTIF('5月'!N4:N34,$B28)+COUNTIF('5月'!O4:O34,$B28)+COUNTIF('5月'!S4:S34,$B28)+COUNTIF('5月'!T4:T34,$B28)+COUNTIF('5月'!X4:X34,$B28)+COUNTIF('5月'!Y4:Y34,$B28)+COUNTIF('5月'!AC4:AC34,$B28)+COUNTIF('5月'!AD4:AD34,$B28)+COUNTIF('5月'!AH4:AH34,$B28)+COUNTIF('5月'!AI4:AI34,$B28)+COUNTIF('5月'!AM4:AM34,$B28)+COUNTIF('5月'!AN4:AN34,$B28)+COUNTIF('5月'!AR4:AR34,$B28)+COUNTIF('5月'!AS4:AS34,$B28)+COUNTIF('5月'!AW4:AW34,$B28)+COUNTIF('5月'!AX4:AX34,$B28)+COUNTIF('5月'!BB4:BB34,$B28)+COUNTIF('5月'!BC4:BC34,$B28)+COUNTIF('5月'!BG4:BG34,$B28)+COUNTIF('5月'!BH4:BH34,$B28)+COUNTIF('5月'!BL4:BL34,$B28)+COUNTIF('5月'!BM4:BM34,$B28)+COUNTIF('5月'!BQ4:BQ34,$B28)+COUNTIF('5月'!BR4:BR34,$B28)+COUNTIF('5月'!BV4:BV34,$B28)+COUNTIF('5月'!BW4:BW34,$B28)+COUNTIF('5月'!CA4:CA34,$B28)+COUNTIF('5月'!CB4:CB34,$B28)+COUNTIF('5月'!CF4:CF34,$B28)+COUNTIF('5月'!CG4:CG34,$B28)+COUNTIF('5月'!CK4:CK34,$B28)+COUNTIF('5月'!CL4:CL34,$B28)+COUNTIF('5月'!CP4:CP34,$B28)+COUNTIF('5月'!CQ4:CQ34,$B28)+COUNTIF('5月'!CU4:CU34,$B28)+COUNTIF('5月'!CV4:CV34,$B28)+COUNTIF('5月'!CZ4:CZ34,$B28)+COUNTIF('5月'!DA4:DA34,$B28)+COUNTIF('5月'!DE4:DE34,$B28)+COUNTIF('5月'!DF4:DF34,$B28)+COUNTIF('5月'!DJ4:DJ34,$B28)+COUNTIF('5月'!DK4:DK34,$B28)+COUNTIF('5月'!DO4:DO34,$B28)+COUNTIF('5月'!DP4:DP34,$B28)+COUNTIF('5月'!DT4:DT34,$B28)+COUNTIF('5月'!DU4:DU34,$B28)+COUNTIF('5月'!DY4:DY34,$B28)+COUNTIF('5月'!DZ4:DZ34,$B28)+COUNTIF('5月'!ED4:ED34,$B28)+COUNTIF('5月'!EE4:EE34,$B28)+COUNTIF('5月'!EI4:EI34,$B28)+COUNTIF('5月'!EJ4:EJ34,$B28)+COUNTIF('5月'!EN4:EN34,$B28)+COUNTIF('5月'!EO4:EO34,$B28)+COUNTIF('5月'!ES4:ES34,$B28)+COUNTIF('5月'!ET4:ET34,$B28)),0)</f>
        <v>0</v>
      </c>
      <c r="H28" s="76">
        <f>IFERROR(IF($B28="","",COUNTIF('6月'!D4:D34,$B28)+COUNTIF('6月'!E4:E34,$B28)+COUNTIF('6月'!I4:I34,$B28)+COUNTIF('6月'!J4:J34,$B28)+COUNTIF('6月'!N4:N34,$B28)+COUNTIF('6月'!O4:O34,$B28)+COUNTIF('6月'!S4:S34,$B28)+COUNTIF('6月'!T4:T34,$B28)+COUNTIF('6月'!X4:X34,$B28)+COUNTIF('6月'!Y4:Y34,$B28)+COUNTIF('6月'!AC4:AC34,$B28)+COUNTIF('6月'!AD4:AD34,$B28)+COUNTIF('6月'!AH4:AH34,$B28)+COUNTIF('6月'!AI4:AI34,$B28)+COUNTIF('6月'!AM4:AM34,$B28)+COUNTIF('6月'!AN4:AN34,$B28)+COUNTIF('6月'!AR4:AR34,$B28)+COUNTIF('6月'!AS4:AS34,$B28)+COUNTIF('6月'!AW4:AW34,$B28)+COUNTIF('6月'!AX4:AX34,$B28)+COUNTIF('6月'!BB4:BB34,$B28)+COUNTIF('6月'!BC4:BC34,$B28)+COUNTIF('6月'!BG4:BG34,$B28)+COUNTIF('6月'!BH4:BH34,$B28)+COUNTIF('6月'!BL4:BL34,$B28)+COUNTIF('6月'!BM4:BM34,$B28)+COUNTIF('6月'!BQ4:BQ34,$B28)+COUNTIF('6月'!BR4:BR34,$B28)+COUNTIF('6月'!BV4:BV34,$B28)+COUNTIF('6月'!BW4:BW34,$B28)+COUNTIF('6月'!CA4:CA34,$B28)+COUNTIF('6月'!CB4:CB34,$B28)+COUNTIF('6月'!CF4:CF34,$B28)+COUNTIF('6月'!CG4:CG34,$B28)+COUNTIF('6月'!CK4:CK34,$B28)+COUNTIF('6月'!CL4:CL34,$B28)+COUNTIF('6月'!CP4:CP34,$B28)+COUNTIF('6月'!CQ4:CQ34,$B28)+COUNTIF('6月'!CU4:CU34,$B28)+COUNTIF('6月'!CV4:CV34,$B28)+COUNTIF('6月'!CZ4:CZ34,$B28)+COUNTIF('6月'!DA4:DA34,$B28)+COUNTIF('6月'!DE4:DE34,$B28)+COUNTIF('6月'!DF4:DF34,$B28)+COUNTIF('6月'!DJ4:DJ34,$B28)+COUNTIF('6月'!DK4:DK34,$B28)+COUNTIF('6月'!DO4:DO34,$B28)+COUNTIF('6月'!DP4:DP34,$B28)+COUNTIF('6月'!DT4:DT34,$B28)+COUNTIF('6月'!DU4:DU34,$B28)+COUNTIF('6月'!DY4:DY34,$B28)+COUNTIF('6月'!DZ4:DZ34,$B28)+COUNTIF('6月'!ED4:ED34,$B28)+COUNTIF('6月'!EE4:EE34,$B28)+COUNTIF('6月'!EI4:EI34,$B28)+COUNTIF('6月'!EJ4:EJ34,$B28)+COUNTIF('6月'!EN4:EN34,$B28)+COUNTIF('6月'!EO4:EO34,$B28)+COUNTIF('6月'!ES4:ES34,$B28)+COUNTIF('6月'!ET4:ET34,$B28)),0)</f>
        <v>0</v>
      </c>
      <c r="I28" s="76">
        <f>IFERROR(IF($B28="","",COUNTIF('7月'!D4:D34,$B28)+COUNTIF('7月'!E4:E34,$B28)+COUNTIF('7月'!I4:I34,$B28)+COUNTIF('7月'!J4:J34,$B28)+COUNTIF('7月'!N4:N34,$B28)+COUNTIF('7月'!O4:O34,$B28)+COUNTIF('7月'!S4:S34,$B28)+COUNTIF('7月'!T4:T34,$B28)+COUNTIF('7月'!X4:X34,$B28)+COUNTIF('7月'!Y4:Y34,$B28)+COUNTIF('7月'!AC4:AC34,$B28)+COUNTIF('7月'!AD4:AD34,$B28)+COUNTIF('7月'!AH4:AH34,$B28)+COUNTIF('7月'!AI4:AI34,$B28)+COUNTIF('7月'!AM4:AM34,$B28)+COUNTIF('7月'!AN4:AN34,$B28)+COUNTIF('7月'!AR4:AR34,$B28)+COUNTIF('7月'!AS4:AS34,$B28)+COUNTIF('7月'!AW4:AW34,$B28)+COUNTIF('7月'!AX4:AX34,$B28)+COUNTIF('7月'!BB4:BB34,$B28)+COUNTIF('7月'!BC4:BC34,$B28)+COUNTIF('7月'!BG4:BG34,$B28)+COUNTIF('7月'!BH4:BH34,$B28)+COUNTIF('7月'!BL4:BL34,$B28)+COUNTIF('7月'!BM4:BM34,$B28)+COUNTIF('7月'!BQ4:BQ34,$B28)+COUNTIF('7月'!BR4:BR34,$B28)+COUNTIF('7月'!BV4:BV34,$B28)+COUNTIF('7月'!BW4:BW34,$B28)+COUNTIF('7月'!CA4:CA34,$B28)+COUNTIF('7月'!CB4:CB34,$B28)+COUNTIF('7月'!CF4:CF34,$B28)+COUNTIF('7月'!CG4:CG34,$B28)+COUNTIF('7月'!CK4:CK34,$B28)+COUNTIF('7月'!CL4:CL34,$B28)+COUNTIF('7月'!CP4:CP34,$B28)+COUNTIF('7月'!CQ4:CQ34,$B28)+COUNTIF('7月'!CU4:CU34,$B28)+COUNTIF('7月'!CV4:CV34,$B28)+COUNTIF('7月'!CZ4:CZ34,$B28)+COUNTIF('7月'!DA4:DA34,$B28)+COUNTIF('7月'!DE4:DE34,$B28)+COUNTIF('7月'!DF4:DF34,$B28)+COUNTIF('7月'!DJ4:DJ34,$B28)+COUNTIF('7月'!DK4:DK34,$B28)+COUNTIF('7月'!DO4:DO34,$B28)+COUNTIF('7月'!DP4:DP34,$B28)+COUNTIF('7月'!DT4:DT34,$B28)+COUNTIF('7月'!DU4:DU34,$B28)+COUNTIF('7月'!DY4:DY34,$B28)+COUNTIF('7月'!DZ4:DZ34,$B28)+COUNTIF('7月'!ED4:ED34,$B28)+COUNTIF('7月'!EE4:EE34,$B28)+COUNTIF('7月'!EI4:EI34,$B28)+COUNTIF('7月'!EJ4:EJ34,$B28)+COUNTIF('7月'!EN4:EN34,$B28)+COUNTIF('7月'!EO4:EO34,$B28)+COUNTIF('7月'!ES4:ES34,$B28)+COUNTIF('7月'!ET4:ET34,$B28)),0)</f>
        <v>0</v>
      </c>
      <c r="J28" s="76">
        <f>IFERROR(IF($B28="","",COUNTIF('8月'!D4:D34,$B28)+COUNTIF('8月'!E4:E34,$B28)+COUNTIF('8月'!I4:I34,$B28)+COUNTIF('8月'!J4:J34,$B28)+COUNTIF('8月'!N4:N34,$B28)+COUNTIF('8月'!O4:O34,$B28)+COUNTIF('8月'!S4:S34,$B28)+COUNTIF('8月'!T4:T34,$B28)+COUNTIF('8月'!X4:X34,$B28)+COUNTIF('8月'!Y4:Y34,$B28)+COUNTIF('8月'!AC4:AC34,$B28)+COUNTIF('8月'!AD4:AD34,$B28)+COUNTIF('8月'!AH4:AH34,$B28)+COUNTIF('8月'!AI4:AI34,$B28)+COUNTIF('8月'!AM4:AM34,$B28)+COUNTIF('8月'!AN4:AN34,$B28)+COUNTIF('8月'!AR4:AR34,$B28)+COUNTIF('8月'!AS4:AS34,$B28)+COUNTIF('8月'!AW4:AW34,$B28)+COUNTIF('8月'!AX4:AX34,$B28)+COUNTIF('8月'!BB4:BB34,$B28)+COUNTIF('8月'!BC4:BC34,$B28)+COUNTIF('8月'!BG4:BG34,$B28)+COUNTIF('8月'!BH4:BH34,$B28)+COUNTIF('8月'!BL4:BL34,$B28)+COUNTIF('8月'!BM4:BM34,$B28)+COUNTIF('8月'!BQ4:BQ34,$B28)+COUNTIF('8月'!BR4:BR34,$B28)+COUNTIF('8月'!BV4:BV34,$B28)+COUNTIF('8月'!BW4:BW34,$B28)+COUNTIF('8月'!CA4:CA34,$B28)+COUNTIF('8月'!CB4:CB34,$B28)+COUNTIF('8月'!CF4:CF34,$B28)+COUNTIF('8月'!CG4:CG34,$B28)+COUNTIF('8月'!CK4:CK34,$B28)+COUNTIF('8月'!CL4:CL34,$B28)+COUNTIF('8月'!CP4:CP34,$B28)+COUNTIF('8月'!CQ4:CQ34,$B28)+COUNTIF('8月'!CU4:CU34,$B28)+COUNTIF('8月'!CV4:CV34,$B28)+COUNTIF('8月'!CZ4:CZ34,$B28)+COUNTIF('8月'!DA4:DA34,$B28)+COUNTIF('8月'!DE4:DE34,$B28)+COUNTIF('8月'!DF4:DF34,$B28)+COUNTIF('8月'!DJ4:DJ34,$B28)+COUNTIF('8月'!DK4:DK34,$B28)+COUNTIF('8月'!DO4:DO34,$B28)+COUNTIF('8月'!DP4:DP34,$B28)+COUNTIF('8月'!DT4:DT34,$B28)+COUNTIF('8月'!DU4:DU34,$B28)+COUNTIF('8月'!DY4:DY34,$B28)+COUNTIF('8月'!DZ4:DZ34,$B28)+COUNTIF('8月'!ED4:ED34,$B28)+COUNTIF('8月'!EE4:EE34,$B28)+COUNTIF('8月'!EI4:EI34,$B28)+COUNTIF('8月'!EJ4:EJ34,$B28)+COUNTIF('8月'!EN4:EN34,$B28)+COUNTIF('8月'!EO4:EO34,$B28)+COUNTIF('8月'!ES4:ES34,$B28)+COUNTIF('8月'!ET4:ET34,$B28)),0)</f>
        <v>0</v>
      </c>
      <c r="K28" s="76">
        <f>IFERROR(IF($B28="","",COUNTIF('9月'!D4:D34,$B28)+COUNTIF('9月'!E4:E34,$B28)+COUNTIF('9月'!I4:I34,$B28)+COUNTIF('9月'!J4:J34,$B28)+COUNTIF('9月'!N4:N34,$B28)+COUNTIF('9月'!O4:O34,$B28)+COUNTIF('9月'!S4:S34,$B28)+COUNTIF('9月'!T4:T34,$B28)+COUNTIF('9月'!X4:X34,$B28)+COUNTIF('9月'!Y4:Y34,$B28)+COUNTIF('9月'!AC4:AC34,$B28)+COUNTIF('9月'!AD4:AD34,$B28)+COUNTIF('9月'!AH4:AH34,$B28)+COUNTIF('9月'!AI4:AI34,$B28)+COUNTIF('9月'!AM4:AM34,$B28)+COUNTIF('9月'!AN4:AN34,$B28)+COUNTIF('9月'!AR4:AR34,$B28)+COUNTIF('9月'!AS4:AS34,$B28)+COUNTIF('9月'!AW4:AW34,$B28)+COUNTIF('9月'!AX4:AX34,$B28)+COUNTIF('9月'!BB4:BB34,$B28)+COUNTIF('9月'!BC4:BC34,$B28)+COUNTIF('9月'!BG4:BG34,$B28)+COUNTIF('9月'!BH4:BH34,$B28)+COUNTIF('9月'!BL4:BL34,$B28)+COUNTIF('9月'!BM4:BM34,$B28)+COUNTIF('9月'!BQ4:BQ34,$B28)+COUNTIF('9月'!BR4:BR34,$B28)+COUNTIF('9月'!BV4:BV34,$B28)+COUNTIF('9月'!BW4:BW34,$B28)+COUNTIF('9月'!CA4:CA34,$B28)+COUNTIF('9月'!CB4:CB34,$B28)+COUNTIF('9月'!CF4:CF34,$B28)+COUNTIF('9月'!CG4:CG34,$B28)+COUNTIF('9月'!CK4:CK34,$B28)+COUNTIF('9月'!CL4:CL34,$B28)+COUNTIF('9月'!CP4:CP34,$B28)+COUNTIF('9月'!CQ4:CQ34,$B28)+COUNTIF('9月'!CU4:CU34,$B28)+COUNTIF('9月'!CV4:CV34,$B28)+COUNTIF('9月'!CZ4:CZ34,$B28)+COUNTIF('9月'!DA4:DA34,$B28)+COUNTIF('9月'!DE4:DE34,$B28)+COUNTIF('9月'!DF4:DF34,$B28)+COUNTIF('9月'!DJ4:DJ34,$B28)+COUNTIF('9月'!DK4:DK34,$B28)+COUNTIF('9月'!DO4:DO34,$B28)+COUNTIF('9月'!DP4:DP34,$B28)+COUNTIF('9月'!DT4:DT34,$B28)+COUNTIF('9月'!DU4:DU34,$B28)+COUNTIF('9月'!DY4:DY34,$B28)+COUNTIF('9月'!DZ4:DZ34,$B28)+COUNTIF('9月'!ED4:ED34,$B28)+COUNTIF('9月'!EE4:EE34,$B28)+COUNTIF('9月'!EI4:EI34,$B28)+COUNTIF('9月'!EJ4:EJ34,$B28)+COUNTIF('9月'!EN4:EN34,$B28)+COUNTIF('9月'!EO4:EO34,$B28)+COUNTIF('9月'!ES4:ES34,$B28)+COUNTIF('9月'!ET4:ET34,$B28)),0)</f>
        <v>0</v>
      </c>
      <c r="L28" s="76">
        <f>IFERROR(IF($B28="","",COUNTIF('10月'!D4:D34,$B28)+COUNTIF('10月'!E4:E34,$B28)+COUNTIF('10月'!I4:I34,$B28)+COUNTIF('10月'!J4:J34,$B28)+COUNTIF('10月'!N4:N34,$B28)+COUNTIF('10月'!O4:O34,$B28)+COUNTIF('10月'!S4:S34,$B28)+COUNTIF('10月'!T4:T34,$B28)+COUNTIF('10月'!X4:X34,$B28)+COUNTIF('10月'!Y4:Y34,$B28)+COUNTIF('10月'!AC4:AC34,$B28)+COUNTIF('10月'!AD4:AD34,$B28)+COUNTIF('10月'!AH4:AH34,$B28)+COUNTIF('10月'!AI4:AI34,$B28)+COUNTIF('10月'!AM4:AM34,$B28)+COUNTIF('10月'!AN4:AN34,$B28)+COUNTIF('10月'!AR4:AR34,$B28)+COUNTIF('10月'!AS4:AS34,$B28)+COUNTIF('10月'!AW4:AW34,$B28)+COUNTIF('10月'!AX4:AX34,$B28)+COUNTIF('10月'!BB4:BB34,$B28)+COUNTIF('10月'!BC4:BC34,$B28)+COUNTIF('10月'!BG4:BG34,$B28)+COUNTIF('10月'!BH4:BH34,$B28)+COUNTIF('10月'!BL4:BL34,$B28)+COUNTIF('10月'!BM4:BM34,$B28)+COUNTIF('10月'!BQ4:BQ34,$B28)+COUNTIF('10月'!BR4:BR34,$B28)+COUNTIF('10月'!BV4:BV34,$B28)+COUNTIF('10月'!BW4:BW34,$B28)+COUNTIF('10月'!CA4:CA34,$B28)+COUNTIF('10月'!CB4:CB34,$B28)+COUNTIF('10月'!CF4:CF34,$B28)+COUNTIF('10月'!CG4:CG34,$B28)+COUNTIF('10月'!CK4:CK34,$B28)+COUNTIF('10月'!CL4:CL34,$B28)+COUNTIF('10月'!CP4:CP34,$B28)+COUNTIF('10月'!CQ4:CQ34,$B28)+COUNTIF('10月'!CU4:CU34,$B28)+COUNTIF('10月'!CV4:CV34,$B28)+COUNTIF('10月'!CZ4:CZ34,$B28)+COUNTIF('10月'!DA4:DA34,$B28)+COUNTIF('10月'!DE4:DE34,$B28)+COUNTIF('10月'!DF4:DF34,$B28)+COUNTIF('10月'!DJ4:DJ34,$B28)+COUNTIF('10月'!DK4:DK34,$B28)+COUNTIF('10月'!DO4:DO34,$B28)+COUNTIF('10月'!DP4:DP34,$B28)+COUNTIF('10月'!DT4:DT34,$B28)+COUNTIF('10月'!DU4:DU34,$B28)+COUNTIF('10月'!DY4:DY34,$B28)+COUNTIF('10月'!DZ4:DZ34,$B28)+COUNTIF('10月'!ED4:ED34,$B28)+COUNTIF('10月'!EE4:EE34,$B28)+COUNTIF('10月'!EI4:EI34,$B28)+COUNTIF('10月'!EJ4:EJ34,$B28)+COUNTIF('10月'!EN4:EN34,$B28)+COUNTIF('10月'!EO4:EO34,$B28)+COUNTIF('10月'!ES4:ES34,$B28)+COUNTIF('10月'!ET4:ET34,$B28)),0)</f>
        <v>0</v>
      </c>
      <c r="M28" s="76">
        <f>IFERROR(IF($B28="","",COUNTIF('11月'!D4:D34,$B28)+COUNTIF('11月'!E4:E34,$B28)+COUNTIF('11月'!I4:I34,$B28)+COUNTIF('11月'!J4:J34,$B28)+COUNTIF('11月'!N4:N34,$B28)+COUNTIF('11月'!O4:O34,$B28)+COUNTIF('11月'!S4:S34,$B28)+COUNTIF('11月'!T4:T34,$B28)+COUNTIF('11月'!X4:X34,$B28)+COUNTIF('11月'!Y4:Y34,$B28)+COUNTIF('11月'!AC4:AC34,$B28)+COUNTIF('11月'!AD4:AD34,$B28)+COUNTIF('11月'!AH4:AH34,$B28)+COUNTIF('11月'!AI4:AI34,$B28)+COUNTIF('11月'!AM4:AM34,$B28)+COUNTIF('11月'!AN4:AN34,$B28)+COUNTIF('11月'!AR4:AR34,$B28)+COUNTIF('11月'!AS4:AS34,$B28)+COUNTIF('11月'!AW4:AW34,$B28)+COUNTIF('11月'!AX4:AX34,$B28)+COUNTIF('11月'!BB4:BB34,$B28)+COUNTIF('11月'!BC4:BC34,$B28)+COUNTIF('11月'!BG4:BG34,$B28)+COUNTIF('11月'!BH4:BH34,$B28)+COUNTIF('11月'!BL4:BL34,$B28)+COUNTIF('11月'!BM4:BM34,$B28)+COUNTIF('11月'!BQ4:BQ34,$B28)+COUNTIF('11月'!BR4:BR34,$B28)+COUNTIF('11月'!BV4:BV34,$B28)+COUNTIF('11月'!BW4:BW34,$B28)+COUNTIF('11月'!CA4:CA34,$B28)+COUNTIF('11月'!CB4:CB34,$B28)+COUNTIF('11月'!CF4:CF34,$B28)+COUNTIF('11月'!CG4:CG34,$B28)+COUNTIF('11月'!CK4:CK34,$B28)+COUNTIF('11月'!CL4:CL34,$B28)+COUNTIF('11月'!CP4:CP34,$B28)+COUNTIF('11月'!CQ4:CQ34,$B28)+COUNTIF('11月'!CU4:CU34,$B28)+COUNTIF('11月'!CV4:CV34,$B28)+COUNTIF('11月'!CZ4:CZ34,$B28)+COUNTIF('11月'!DA4:DA34,$B28)+COUNTIF('11月'!DE4:DE34,$B28)+COUNTIF('11月'!DF4:DF34,$B28)+COUNTIF('11月'!DJ4:DJ34,$B28)+COUNTIF('11月'!DK4:DK34,$B28)+COUNTIF('11月'!DO4:DO34,$B28)+COUNTIF('11月'!DP4:DP34,$B28)+COUNTIF('11月'!DT4:DT34,$B28)+COUNTIF('11月'!DU4:DU34,$B28)+COUNTIF('11月'!DY4:DY34,$B28)+COUNTIF('11月'!DZ4:DZ34,$B28)+COUNTIF('11月'!ED4:ED34,$B28)+COUNTIF('11月'!EE4:EE34,$B28)+COUNTIF('11月'!EI4:EI34,$B28)+COUNTIF('11月'!EJ4:EJ34,$B28)+COUNTIF('11月'!EN4:EN34,$B28)+COUNTIF('11月'!EO4:EO34,$B28)+COUNTIF('11月'!ES4:ES34,$B28)+COUNTIF('11月'!ET4:ET34,$B28)),0)</f>
        <v>0</v>
      </c>
      <c r="N28" s="76">
        <f>IFERROR(IF($B28="","",COUNTIF('12月'!D4:D34,$B28)+COUNTIF('12月'!E4:E34,$B28)+COUNTIF('12月'!I4:I34,$B28)+COUNTIF('12月'!J4:J34,$B28)+COUNTIF('12月'!N4:N34,$B28)+COUNTIF('12月'!O4:O34,$B28)+COUNTIF('12月'!S4:S34,$B28)+COUNTIF('12月'!T4:T34,$B28)+COUNTIF('12月'!X4:X34,$B28)+COUNTIF('12月'!Y4:Y34,$B28)+COUNTIF('12月'!AC4:AC34,$B28)+COUNTIF('12月'!AD4:AD34,$B28)+COUNTIF('12月'!AH4:AH34,$B28)+COUNTIF('12月'!AI4:AI34,$B28)+COUNTIF('12月'!AM4:AM34,$B28)+COUNTIF('12月'!AN4:AN34,$B28)+COUNTIF('12月'!AR4:AR34,$B28)+COUNTIF('12月'!AS4:AS34,$B28)+COUNTIF('12月'!AW4:AW34,$B28)+COUNTIF('12月'!AX4:AX34,$B28)+COUNTIF('12月'!BB4:BB34,$B28)+COUNTIF('12月'!BC4:BC34,$B28)+COUNTIF('12月'!BG4:BG34,$B28)+COUNTIF('12月'!BH4:BH34,$B28)+COUNTIF('12月'!BL4:BL34,$B28)+COUNTIF('12月'!BM4:BM34,$B28)+COUNTIF('12月'!BQ4:BQ34,$B28)+COUNTIF('12月'!BR4:BR34,$B28)+COUNTIF('12月'!BV4:BV34,$B28)+COUNTIF('12月'!BW4:BW34,$B28)+COUNTIF('12月'!CA4:CA34,$B28)+COUNTIF('12月'!CB4:CB34,$B28)+COUNTIF('12月'!CF4:CF34,$B28)+COUNTIF('12月'!CG4:CG34,$B28)+COUNTIF('12月'!CK4:CK34,$B28)+COUNTIF('12月'!CL4:CL34,$B28)+COUNTIF('12月'!CP4:CP34,$B28)+COUNTIF('12月'!CQ4:CQ34,$B28)+COUNTIF('12月'!CU4:CU34,$B28)+COUNTIF('12月'!CV4:CV34,$B28)+COUNTIF('12月'!CZ4:CZ34,$B28)+COUNTIF('12月'!DA4:DA34,$B28)+COUNTIF('12月'!DE4:DE34,$B28)+COUNTIF('12月'!DF4:DF34,$B28)+COUNTIF('12月'!DJ4:DJ34,$B28)+COUNTIF('12月'!DK4:DK34,$B28)+COUNTIF('12月'!DO4:DO34,$B28)+COUNTIF('12月'!DP4:DP34,$B28)+COUNTIF('12月'!DT4:DT34,$B28)+COUNTIF('12月'!DU4:DU34,$B28)+COUNTIF('12月'!DY4:DY34,$B28)+COUNTIF('12月'!DZ4:DZ34,$B28)+COUNTIF('12月'!ED4:ED34,$B28)+COUNTIF('12月'!EE4:EE34,$B28)+COUNTIF('12月'!EI4:EI34,$B28)+COUNTIF('12月'!EJ4:EJ34,$B28)+COUNTIF('12月'!EN4:EN34,$B28)+COUNTIF('12月'!EO4:EO34,$B28)+COUNTIF('12月'!ES4:ES34,$B28)+COUNTIF('12月'!ET4:ET34,$B28)),0)</f>
        <v>0</v>
      </c>
      <c r="O28" s="78">
        <f t="shared" si="0"/>
        <v>0</v>
      </c>
    </row>
    <row r="29" spans="1:15" ht="19.5" customHeight="1">
      <c r="A29" s="76">
        <v>27</v>
      </c>
      <c r="B29" s="77">
        <f>IFERROR(現場マスタ!$C$30,"")</f>
        <v>0</v>
      </c>
      <c r="C29" s="76">
        <f>IFERROR(IF($B29="","",COUNTIF('1月'!D4:D34,$B29)+COUNTIF('1月'!E4:E34,$B29)+COUNTIF('1月'!I4:I34,$B29)+COUNTIF('1月'!J4:J34,$B29)+COUNTIF('1月'!N4:N34,$B29)+COUNTIF('1月'!O4:O34,$B29)+COUNTIF('1月'!S4:S34,$B29)+COUNTIF('1月'!T4:T34,$B29)+COUNTIF('1月'!X4:X34,$B29)+COUNTIF('1月'!Y4:Y34,$B29)+COUNTIF('1月'!AC4:AC34,$B29)+COUNTIF('1月'!AD4:AD34,$B29)+COUNTIF('1月'!AH4:AH34,$B29)+COUNTIF('1月'!AI4:AI34,$B29)+COUNTIF('1月'!AM4:AM34,$B29)+COUNTIF('1月'!AN4:AN34,$B29)+COUNTIF('1月'!AR4:AR34,$B29)+COUNTIF('1月'!AS4:AS34,$B29)+COUNTIF('1月'!AW4:AW34,$B29)+COUNTIF('1月'!AX4:AX34,$B29)+COUNTIF('1月'!BB4:BB34,$B29)+COUNTIF('1月'!BC4:BC34,$B29)+COUNTIF('1月'!BG4:BG34,$B29)+COUNTIF('1月'!BH4:BH34,$B29)+COUNTIF('1月'!BL4:BL34,$B29)+COUNTIF('1月'!BM4:BM34,$B29)+COUNTIF('1月'!BQ4:BQ34,$B29)+COUNTIF('1月'!BR4:BR34,$B29)+COUNTIF('1月'!BV4:BV34,$B29)+COUNTIF('1月'!BW4:BW34,$B29)+COUNTIF('1月'!CA4:CA34,$B29)+COUNTIF('1月'!CB4:CB34,$B29)+COUNTIF('1月'!CF4:CF34,$B29)+COUNTIF('1月'!CG4:CG34,$B29)+COUNTIF('1月'!CK4:CK34,$B29)+COUNTIF('1月'!CL4:CL34,$B29)+COUNTIF('1月'!CP4:CP34,$B29)+COUNTIF('1月'!CQ4:CQ34,$B29)+COUNTIF('1月'!CU4:CU34,$B29)+COUNTIF('1月'!CV4:CV34,$B29)+COUNTIF('1月'!CZ4:CZ34,$B29)+COUNTIF('1月'!DA4:DA34,$B29)+COUNTIF('1月'!DE4:DE34,$B29)+COUNTIF('1月'!DF4:DF34,$B29)+COUNTIF('1月'!DJ4:DJ34,$B29)+COUNTIF('1月'!DK4:DK34,$B29)+COUNTIF('1月'!DO4:DO34,$B29)+COUNTIF('1月'!DP4:DP34,$B29)+COUNTIF('1月'!DT4:DT34,$B29)+COUNTIF('1月'!DU4:DU34,$B29)+COUNTIF('1月'!DY4:DY34,$B29)+COUNTIF('1月'!DZ4:DZ34,$B29)+COUNTIF('1月'!ED4:ED34,$B29)+COUNTIF('1月'!EE4:EE34,$B29)+COUNTIF('1月'!EI4:EI34,$B29)+COUNTIF('1月'!EJ4:EJ34,$B29)+COUNTIF('1月'!EN4:EN34,$B29)+COUNTIF('1月'!EO4:EO34,$B29)+COUNTIF('1月'!ES4:ES34,$B29)+COUNTIF('1月'!ET4:ET34,$B29)),0)</f>
        <v>0</v>
      </c>
      <c r="D29" s="76">
        <f>IFERROR(IF($B29="","",COUNTIF('2月'!D4:D34,$B29)+COUNTIF('2月'!E4:E34,$B29)+COUNTIF('2月'!I4:I34,$B29)+COUNTIF('2月'!J4:J34,$B29)+COUNTIF('2月'!N4:N34,$B29)+COUNTIF('2月'!O4:O34,$B29)+COUNTIF('2月'!S4:S34,$B29)+COUNTIF('2月'!T4:T34,$B29)+COUNTIF('2月'!X4:X34,$B29)+COUNTIF('2月'!Y4:Y34,$B29)+COUNTIF('2月'!AC4:AC34,$B29)+COUNTIF('2月'!AD4:AD34,$B29)+COUNTIF('2月'!AH4:AH34,$B29)+COUNTIF('2月'!AI4:AI34,$B29)+COUNTIF('2月'!AM4:AM34,$B29)+COUNTIF('2月'!AN4:AN34,$B29)+COUNTIF('2月'!AR4:AR34,$B29)+COUNTIF('2月'!AS4:AS34,$B29)+COUNTIF('2月'!AW4:AW34,$B29)+COUNTIF('2月'!AX4:AX34,$B29)+COUNTIF('2月'!BB4:BB34,$B29)+COUNTIF('2月'!BC4:BC34,$B29)+COUNTIF('2月'!BG4:BG34,$B29)+COUNTIF('2月'!BH4:BH34,$B29)+COUNTIF('2月'!BL4:BL34,$B29)+COUNTIF('2月'!BM4:BM34,$B29)+COUNTIF('2月'!BQ4:BQ34,$B29)+COUNTIF('2月'!BR4:BR34,$B29)+COUNTIF('2月'!BV4:BV34,$B29)+COUNTIF('2月'!BW4:BW34,$B29)+COUNTIF('2月'!CA4:CA34,$B29)+COUNTIF('2月'!CB4:CB34,$B29)+COUNTIF('2月'!CF4:CF34,$B29)+COUNTIF('2月'!CG4:CG34,$B29)+COUNTIF('2月'!CK4:CK34,$B29)+COUNTIF('2月'!CL4:CL34,$B29)+COUNTIF('2月'!CP4:CP34,$B29)+COUNTIF('2月'!CQ4:CQ34,$B29)+COUNTIF('2月'!CU4:CU34,$B29)+COUNTIF('2月'!CV4:CV34,$B29)+COUNTIF('2月'!CZ4:CZ34,$B29)+COUNTIF('2月'!DA4:DA34,$B29)+COUNTIF('2月'!DE4:DE34,$B29)+COUNTIF('2月'!DF4:DF34,$B29)+COUNTIF('2月'!DJ4:DJ34,$B29)+COUNTIF('2月'!DK4:DK34,$B29)+COUNTIF('2月'!DO4:DO34,$B29)+COUNTIF('2月'!DP4:DP34,$B29)+COUNTIF('2月'!DT4:DT34,$B29)+COUNTIF('2月'!DU4:DU34,$B29)+COUNTIF('2月'!DY4:DY34,$B29)+COUNTIF('2月'!DZ4:DZ34,$B29)+COUNTIF('2月'!ED4:ED34,$B29)+COUNTIF('2月'!EE4:EE34,$B29)+COUNTIF('2月'!EI4:EI34,$B29)+COUNTIF('2月'!EJ4:EJ34,$B29)+COUNTIF('2月'!EN4:EN34,$B29)+COUNTIF('2月'!EO4:EO34,$B29)+COUNTIF('2月'!ES4:ES34,$B29)+COUNTIF('2月'!ET4:ET34,$B29)),0)</f>
        <v>0</v>
      </c>
      <c r="E29" s="76">
        <f>IFERROR(IF($B29="","",COUNTIF('3月'!D4:D34,$B29)+COUNTIF('3月'!E4:E34,$B29)+COUNTIF('3月'!I4:I34,$B29)+COUNTIF('3月'!J4:J34,$B29)+COUNTIF('3月'!N4:N34,$B29)+COUNTIF('3月'!O4:O34,$B29)+COUNTIF('3月'!S4:S34,$B29)+COUNTIF('3月'!T4:T34,$B29)+COUNTIF('3月'!X4:X34,$B29)+COUNTIF('3月'!Y4:Y34,$B29)+COUNTIF('3月'!AC4:AC34,$B29)+COUNTIF('3月'!AD4:AD34,$B29)+COUNTIF('3月'!AH4:AH34,$B29)+COUNTIF('3月'!AI4:AI34,$B29)+COUNTIF('3月'!AM4:AM34,$B29)+COUNTIF('3月'!AN4:AN34,$B29)+COUNTIF('3月'!AR4:AR34,$B29)+COUNTIF('3月'!AS4:AS34,$B29)+COUNTIF('3月'!AW4:AW34,$B29)+COUNTIF('3月'!AX4:AX34,$B29)+COUNTIF('3月'!BB4:BB34,$B29)+COUNTIF('3月'!BC4:BC34,$B29)+COUNTIF('3月'!BG4:BG34,$B29)+COUNTIF('3月'!BH4:BH34,$B29)+COUNTIF('3月'!BL4:BL34,$B29)+COUNTIF('3月'!BM4:BM34,$B29)+COUNTIF('3月'!BQ4:BQ34,$B29)+COUNTIF('3月'!BR4:BR34,$B29)+COUNTIF('3月'!BV4:BV34,$B29)+COUNTIF('3月'!BW4:BW34,$B29)+COUNTIF('3月'!CA4:CA34,$B29)+COUNTIF('3月'!CB4:CB34,$B29)+COUNTIF('3月'!CF4:CF34,$B29)+COUNTIF('3月'!CG4:CG34,$B29)+COUNTIF('3月'!CK4:CK34,$B29)+COUNTIF('3月'!CL4:CL34,$B29)+COUNTIF('3月'!CP4:CP34,$B29)+COUNTIF('3月'!CQ4:CQ34,$B29)+COUNTIF('3月'!CU4:CU34,$B29)+COUNTIF('3月'!CV4:CV34,$B29)+COUNTIF('3月'!CZ4:CZ34,$B29)+COUNTIF('3月'!DA4:DA34,$B29)+COUNTIF('3月'!DE4:DE34,$B29)+COUNTIF('3月'!DF4:DF34,$B29)+COUNTIF('3月'!DJ4:DJ34,$B29)+COUNTIF('3月'!DK4:DK34,$B29)+COUNTIF('3月'!DO4:DO34,$B29)+COUNTIF('3月'!DP4:DP34,$B29)+COUNTIF('3月'!DT4:DT34,$B29)+COUNTIF('3月'!DU4:DU34,$B29)+COUNTIF('3月'!DY4:DY34,$B29)+COUNTIF('3月'!DZ4:DZ34,$B29)+COUNTIF('3月'!ED4:ED34,$B29)+COUNTIF('3月'!EE4:EE34,$B29)+COUNTIF('3月'!EI4:EI34,$B29)+COUNTIF('3月'!EJ4:EJ34,$B29)+COUNTIF('3月'!EN4:EN34,$B29)+COUNTIF('3月'!EO4:EO34,$B29)+COUNTIF('3月'!ES4:ES34,$B29)+COUNTIF('3月'!ET4:ET34,$B29)),0)</f>
        <v>0</v>
      </c>
      <c r="F29" s="76">
        <f>IFERROR(IF($B29="","",COUNTIF('4月'!D4:D34,$B29)+COUNTIF('4月'!E4:E34,$B29)+COUNTIF('4月'!I4:I34,$B29)+COUNTIF('4月'!J4:J34,$B29)+COUNTIF('4月'!N4:N34,$B29)+COUNTIF('4月'!O4:O34,$B29)+COUNTIF('4月'!S4:S34,$B29)+COUNTIF('4月'!T4:T34,$B29)+COUNTIF('4月'!X4:X34,$B29)+COUNTIF('4月'!Y4:Y34,$B29)+COUNTIF('4月'!AC4:AC34,$B29)+COUNTIF('4月'!AD4:AD34,$B29)+COUNTIF('4月'!AH4:AH34,$B29)+COUNTIF('4月'!AI4:AI34,$B29)+COUNTIF('4月'!AM4:AM34,$B29)+COUNTIF('4月'!AN4:AN34,$B29)+COUNTIF('4月'!AR4:AR34,$B29)+COUNTIF('4月'!AS4:AS34,$B29)+COUNTIF('4月'!AW4:AW34,$B29)+COUNTIF('4月'!AX4:AX34,$B29)+COUNTIF('4月'!BB4:BB34,$B29)+COUNTIF('4月'!BC4:BC34,$B29)+COUNTIF('4月'!BG4:BG34,$B29)+COUNTIF('4月'!BH4:BH34,$B29)+COUNTIF('4月'!BL4:BL34,$B29)+COUNTIF('4月'!BM4:BM34,$B29)+COUNTIF('4月'!BQ4:BQ34,$B29)+COUNTIF('4月'!BR4:BR34,$B29)+COUNTIF('4月'!BV4:BV34,$B29)+COUNTIF('4月'!BW4:BW34,$B29)+COUNTIF('4月'!CA4:CA34,$B29)+COUNTIF('4月'!CB4:CB34,$B29)+COUNTIF('4月'!CF4:CF34,$B29)+COUNTIF('4月'!CG4:CG34,$B29)+COUNTIF('4月'!CK4:CK34,$B29)+COUNTIF('4月'!CL4:CL34,$B29)+COUNTIF('4月'!CP4:CP34,$B29)+COUNTIF('4月'!CQ4:CQ34,$B29)+COUNTIF('4月'!CU4:CU34,$B29)+COUNTIF('4月'!CV4:CV34,$B29)+COUNTIF('4月'!CZ4:CZ34,$B29)+COUNTIF('4月'!DA4:DA34,$B29)+COUNTIF('4月'!DE4:DE34,$B29)+COUNTIF('4月'!DF4:DF34,$B29)+COUNTIF('4月'!DJ4:DJ34,$B29)+COUNTIF('4月'!DK4:DK34,$B29)+COUNTIF('4月'!DO4:DO34,$B29)+COUNTIF('4月'!DP4:DP34,$B29)+COUNTIF('4月'!DT4:DT34,$B29)+COUNTIF('4月'!DU4:DU34,$B29)+COUNTIF('4月'!DY4:DY34,$B29)+COUNTIF('4月'!DZ4:DZ34,$B29)+COUNTIF('4月'!ED4:ED34,$B29)+COUNTIF('4月'!EE4:EE34,$B29)+COUNTIF('4月'!EI4:EI34,$B29)+COUNTIF('4月'!EJ4:EJ34,$B29)+COUNTIF('4月'!EN4:EN34,$B29)+COUNTIF('4月'!EO4:EO34,$B29)+COUNTIF('4月'!ES4:ES34,$B29)+COUNTIF('4月'!ET4:ET34,$B29)),0)</f>
        <v>0</v>
      </c>
      <c r="G29" s="76">
        <f>IFERROR(IF($B29="","",COUNTIF('5月'!D4:D34,$B29)+COUNTIF('5月'!E4:E34,$B29)+COUNTIF('5月'!I4:I34,$B29)+COUNTIF('5月'!J4:J34,$B29)+COUNTIF('5月'!N4:N34,$B29)+COUNTIF('5月'!O4:O34,$B29)+COUNTIF('5月'!S4:S34,$B29)+COUNTIF('5月'!T4:T34,$B29)+COUNTIF('5月'!X4:X34,$B29)+COUNTIF('5月'!Y4:Y34,$B29)+COUNTIF('5月'!AC4:AC34,$B29)+COUNTIF('5月'!AD4:AD34,$B29)+COUNTIF('5月'!AH4:AH34,$B29)+COUNTIF('5月'!AI4:AI34,$B29)+COUNTIF('5月'!AM4:AM34,$B29)+COUNTIF('5月'!AN4:AN34,$B29)+COUNTIF('5月'!AR4:AR34,$B29)+COUNTIF('5月'!AS4:AS34,$B29)+COUNTIF('5月'!AW4:AW34,$B29)+COUNTIF('5月'!AX4:AX34,$B29)+COUNTIF('5月'!BB4:BB34,$B29)+COUNTIF('5月'!BC4:BC34,$B29)+COUNTIF('5月'!BG4:BG34,$B29)+COUNTIF('5月'!BH4:BH34,$B29)+COUNTIF('5月'!BL4:BL34,$B29)+COUNTIF('5月'!BM4:BM34,$B29)+COUNTIF('5月'!BQ4:BQ34,$B29)+COUNTIF('5月'!BR4:BR34,$B29)+COUNTIF('5月'!BV4:BV34,$B29)+COUNTIF('5月'!BW4:BW34,$B29)+COUNTIF('5月'!CA4:CA34,$B29)+COUNTIF('5月'!CB4:CB34,$B29)+COUNTIF('5月'!CF4:CF34,$B29)+COUNTIF('5月'!CG4:CG34,$B29)+COUNTIF('5月'!CK4:CK34,$B29)+COUNTIF('5月'!CL4:CL34,$B29)+COUNTIF('5月'!CP4:CP34,$B29)+COUNTIF('5月'!CQ4:CQ34,$B29)+COUNTIF('5月'!CU4:CU34,$B29)+COUNTIF('5月'!CV4:CV34,$B29)+COUNTIF('5月'!CZ4:CZ34,$B29)+COUNTIF('5月'!DA4:DA34,$B29)+COUNTIF('5月'!DE4:DE34,$B29)+COUNTIF('5月'!DF4:DF34,$B29)+COUNTIF('5月'!DJ4:DJ34,$B29)+COUNTIF('5月'!DK4:DK34,$B29)+COUNTIF('5月'!DO4:DO34,$B29)+COUNTIF('5月'!DP4:DP34,$B29)+COUNTIF('5月'!DT4:DT34,$B29)+COUNTIF('5月'!DU4:DU34,$B29)+COUNTIF('5月'!DY4:DY34,$B29)+COUNTIF('5月'!DZ4:DZ34,$B29)+COUNTIF('5月'!ED4:ED34,$B29)+COUNTIF('5月'!EE4:EE34,$B29)+COUNTIF('5月'!EI4:EI34,$B29)+COUNTIF('5月'!EJ4:EJ34,$B29)+COUNTIF('5月'!EN4:EN34,$B29)+COUNTIF('5月'!EO4:EO34,$B29)+COUNTIF('5月'!ES4:ES34,$B29)+COUNTIF('5月'!ET4:ET34,$B29)),0)</f>
        <v>0</v>
      </c>
      <c r="H29" s="76">
        <f>IFERROR(IF($B29="","",COUNTIF('6月'!D4:D34,$B29)+COUNTIF('6月'!E4:E34,$B29)+COUNTIF('6月'!I4:I34,$B29)+COUNTIF('6月'!J4:J34,$B29)+COUNTIF('6月'!N4:N34,$B29)+COUNTIF('6月'!O4:O34,$B29)+COUNTIF('6月'!S4:S34,$B29)+COUNTIF('6月'!T4:T34,$B29)+COUNTIF('6月'!X4:X34,$B29)+COUNTIF('6月'!Y4:Y34,$B29)+COUNTIF('6月'!AC4:AC34,$B29)+COUNTIF('6月'!AD4:AD34,$B29)+COUNTIF('6月'!AH4:AH34,$B29)+COUNTIF('6月'!AI4:AI34,$B29)+COUNTIF('6月'!AM4:AM34,$B29)+COUNTIF('6月'!AN4:AN34,$B29)+COUNTIF('6月'!AR4:AR34,$B29)+COUNTIF('6月'!AS4:AS34,$B29)+COUNTIF('6月'!AW4:AW34,$B29)+COUNTIF('6月'!AX4:AX34,$B29)+COUNTIF('6月'!BB4:BB34,$B29)+COUNTIF('6月'!BC4:BC34,$B29)+COUNTIF('6月'!BG4:BG34,$B29)+COUNTIF('6月'!BH4:BH34,$B29)+COUNTIF('6月'!BL4:BL34,$B29)+COUNTIF('6月'!BM4:BM34,$B29)+COUNTIF('6月'!BQ4:BQ34,$B29)+COUNTIF('6月'!BR4:BR34,$B29)+COUNTIF('6月'!BV4:BV34,$B29)+COUNTIF('6月'!BW4:BW34,$B29)+COUNTIF('6月'!CA4:CA34,$B29)+COUNTIF('6月'!CB4:CB34,$B29)+COUNTIF('6月'!CF4:CF34,$B29)+COUNTIF('6月'!CG4:CG34,$B29)+COUNTIF('6月'!CK4:CK34,$B29)+COUNTIF('6月'!CL4:CL34,$B29)+COUNTIF('6月'!CP4:CP34,$B29)+COUNTIF('6月'!CQ4:CQ34,$B29)+COUNTIF('6月'!CU4:CU34,$B29)+COUNTIF('6月'!CV4:CV34,$B29)+COUNTIF('6月'!CZ4:CZ34,$B29)+COUNTIF('6月'!DA4:DA34,$B29)+COUNTIF('6月'!DE4:DE34,$B29)+COUNTIF('6月'!DF4:DF34,$B29)+COUNTIF('6月'!DJ4:DJ34,$B29)+COUNTIF('6月'!DK4:DK34,$B29)+COUNTIF('6月'!DO4:DO34,$B29)+COUNTIF('6月'!DP4:DP34,$B29)+COUNTIF('6月'!DT4:DT34,$B29)+COUNTIF('6月'!DU4:DU34,$B29)+COUNTIF('6月'!DY4:DY34,$B29)+COUNTIF('6月'!DZ4:DZ34,$B29)+COUNTIF('6月'!ED4:ED34,$B29)+COUNTIF('6月'!EE4:EE34,$B29)+COUNTIF('6月'!EI4:EI34,$B29)+COUNTIF('6月'!EJ4:EJ34,$B29)+COUNTIF('6月'!EN4:EN34,$B29)+COUNTIF('6月'!EO4:EO34,$B29)+COUNTIF('6月'!ES4:ES34,$B29)+COUNTIF('6月'!ET4:ET34,$B29)),0)</f>
        <v>0</v>
      </c>
      <c r="I29" s="76">
        <f>IFERROR(IF($B29="","",COUNTIF('7月'!D4:D34,$B29)+COUNTIF('7月'!E4:E34,$B29)+COUNTIF('7月'!I4:I34,$B29)+COUNTIF('7月'!J4:J34,$B29)+COUNTIF('7月'!N4:N34,$B29)+COUNTIF('7月'!O4:O34,$B29)+COUNTIF('7月'!S4:S34,$B29)+COUNTIF('7月'!T4:T34,$B29)+COUNTIF('7月'!X4:X34,$B29)+COUNTIF('7月'!Y4:Y34,$B29)+COUNTIF('7月'!AC4:AC34,$B29)+COUNTIF('7月'!AD4:AD34,$B29)+COUNTIF('7月'!AH4:AH34,$B29)+COUNTIF('7月'!AI4:AI34,$B29)+COUNTIF('7月'!AM4:AM34,$B29)+COUNTIF('7月'!AN4:AN34,$B29)+COUNTIF('7月'!AR4:AR34,$B29)+COUNTIF('7月'!AS4:AS34,$B29)+COUNTIF('7月'!AW4:AW34,$B29)+COUNTIF('7月'!AX4:AX34,$B29)+COUNTIF('7月'!BB4:BB34,$B29)+COUNTIF('7月'!BC4:BC34,$B29)+COUNTIF('7月'!BG4:BG34,$B29)+COUNTIF('7月'!BH4:BH34,$B29)+COUNTIF('7月'!BL4:BL34,$B29)+COUNTIF('7月'!BM4:BM34,$B29)+COUNTIF('7月'!BQ4:BQ34,$B29)+COUNTIF('7月'!BR4:BR34,$B29)+COUNTIF('7月'!BV4:BV34,$B29)+COUNTIF('7月'!BW4:BW34,$B29)+COUNTIF('7月'!CA4:CA34,$B29)+COUNTIF('7月'!CB4:CB34,$B29)+COUNTIF('7月'!CF4:CF34,$B29)+COUNTIF('7月'!CG4:CG34,$B29)+COUNTIF('7月'!CK4:CK34,$B29)+COUNTIF('7月'!CL4:CL34,$B29)+COUNTIF('7月'!CP4:CP34,$B29)+COUNTIF('7月'!CQ4:CQ34,$B29)+COUNTIF('7月'!CU4:CU34,$B29)+COUNTIF('7月'!CV4:CV34,$B29)+COUNTIF('7月'!CZ4:CZ34,$B29)+COUNTIF('7月'!DA4:DA34,$B29)+COUNTIF('7月'!DE4:DE34,$B29)+COUNTIF('7月'!DF4:DF34,$B29)+COUNTIF('7月'!DJ4:DJ34,$B29)+COUNTIF('7月'!DK4:DK34,$B29)+COUNTIF('7月'!DO4:DO34,$B29)+COUNTIF('7月'!DP4:DP34,$B29)+COUNTIF('7月'!DT4:DT34,$B29)+COUNTIF('7月'!DU4:DU34,$B29)+COUNTIF('7月'!DY4:DY34,$B29)+COUNTIF('7月'!DZ4:DZ34,$B29)+COUNTIF('7月'!ED4:ED34,$B29)+COUNTIF('7月'!EE4:EE34,$B29)+COUNTIF('7月'!EI4:EI34,$B29)+COUNTIF('7月'!EJ4:EJ34,$B29)+COUNTIF('7月'!EN4:EN34,$B29)+COUNTIF('7月'!EO4:EO34,$B29)+COUNTIF('7月'!ES4:ES34,$B29)+COUNTIF('7月'!ET4:ET34,$B29)),0)</f>
        <v>0</v>
      </c>
      <c r="J29" s="76">
        <f>IFERROR(IF($B29="","",COUNTIF('8月'!D4:D34,$B29)+COUNTIF('8月'!E4:E34,$B29)+COUNTIF('8月'!I4:I34,$B29)+COUNTIF('8月'!J4:J34,$B29)+COUNTIF('8月'!N4:N34,$B29)+COUNTIF('8月'!O4:O34,$B29)+COUNTIF('8月'!S4:S34,$B29)+COUNTIF('8月'!T4:T34,$B29)+COUNTIF('8月'!X4:X34,$B29)+COUNTIF('8月'!Y4:Y34,$B29)+COUNTIF('8月'!AC4:AC34,$B29)+COUNTIF('8月'!AD4:AD34,$B29)+COUNTIF('8月'!AH4:AH34,$B29)+COUNTIF('8月'!AI4:AI34,$B29)+COUNTIF('8月'!AM4:AM34,$B29)+COUNTIF('8月'!AN4:AN34,$B29)+COUNTIF('8月'!AR4:AR34,$B29)+COUNTIF('8月'!AS4:AS34,$B29)+COUNTIF('8月'!AW4:AW34,$B29)+COUNTIF('8月'!AX4:AX34,$B29)+COUNTIF('8月'!BB4:BB34,$B29)+COUNTIF('8月'!BC4:BC34,$B29)+COUNTIF('8月'!BG4:BG34,$B29)+COUNTIF('8月'!BH4:BH34,$B29)+COUNTIF('8月'!BL4:BL34,$B29)+COUNTIF('8月'!BM4:BM34,$B29)+COUNTIF('8月'!BQ4:BQ34,$B29)+COUNTIF('8月'!BR4:BR34,$B29)+COUNTIF('8月'!BV4:BV34,$B29)+COUNTIF('8月'!BW4:BW34,$B29)+COUNTIF('8月'!CA4:CA34,$B29)+COUNTIF('8月'!CB4:CB34,$B29)+COUNTIF('8月'!CF4:CF34,$B29)+COUNTIF('8月'!CG4:CG34,$B29)+COUNTIF('8月'!CK4:CK34,$B29)+COUNTIF('8月'!CL4:CL34,$B29)+COUNTIF('8月'!CP4:CP34,$B29)+COUNTIF('8月'!CQ4:CQ34,$B29)+COUNTIF('8月'!CU4:CU34,$B29)+COUNTIF('8月'!CV4:CV34,$B29)+COUNTIF('8月'!CZ4:CZ34,$B29)+COUNTIF('8月'!DA4:DA34,$B29)+COUNTIF('8月'!DE4:DE34,$B29)+COUNTIF('8月'!DF4:DF34,$B29)+COUNTIF('8月'!DJ4:DJ34,$B29)+COUNTIF('8月'!DK4:DK34,$B29)+COUNTIF('8月'!DO4:DO34,$B29)+COUNTIF('8月'!DP4:DP34,$B29)+COUNTIF('8月'!DT4:DT34,$B29)+COUNTIF('8月'!DU4:DU34,$B29)+COUNTIF('8月'!DY4:DY34,$B29)+COUNTIF('8月'!DZ4:DZ34,$B29)+COUNTIF('8月'!ED4:ED34,$B29)+COUNTIF('8月'!EE4:EE34,$B29)+COUNTIF('8月'!EI4:EI34,$B29)+COUNTIF('8月'!EJ4:EJ34,$B29)+COUNTIF('8月'!EN4:EN34,$B29)+COUNTIF('8月'!EO4:EO34,$B29)+COUNTIF('8月'!ES4:ES34,$B29)+COUNTIF('8月'!ET4:ET34,$B29)),0)</f>
        <v>0</v>
      </c>
      <c r="K29" s="76">
        <f>IFERROR(IF($B29="","",COUNTIF('9月'!D4:D34,$B29)+COUNTIF('9月'!E4:E34,$B29)+COUNTIF('9月'!I4:I34,$B29)+COUNTIF('9月'!J4:J34,$B29)+COUNTIF('9月'!N4:N34,$B29)+COUNTIF('9月'!O4:O34,$B29)+COUNTIF('9月'!S4:S34,$B29)+COUNTIF('9月'!T4:T34,$B29)+COUNTIF('9月'!X4:X34,$B29)+COUNTIF('9月'!Y4:Y34,$B29)+COUNTIF('9月'!AC4:AC34,$B29)+COUNTIF('9月'!AD4:AD34,$B29)+COUNTIF('9月'!AH4:AH34,$B29)+COUNTIF('9月'!AI4:AI34,$B29)+COUNTIF('9月'!AM4:AM34,$B29)+COUNTIF('9月'!AN4:AN34,$B29)+COUNTIF('9月'!AR4:AR34,$B29)+COUNTIF('9月'!AS4:AS34,$B29)+COUNTIF('9月'!AW4:AW34,$B29)+COUNTIF('9月'!AX4:AX34,$B29)+COUNTIF('9月'!BB4:BB34,$B29)+COUNTIF('9月'!BC4:BC34,$B29)+COUNTIF('9月'!BG4:BG34,$B29)+COUNTIF('9月'!BH4:BH34,$B29)+COUNTIF('9月'!BL4:BL34,$B29)+COUNTIF('9月'!BM4:BM34,$B29)+COUNTIF('9月'!BQ4:BQ34,$B29)+COUNTIF('9月'!BR4:BR34,$B29)+COUNTIF('9月'!BV4:BV34,$B29)+COUNTIF('9月'!BW4:BW34,$B29)+COUNTIF('9月'!CA4:CA34,$B29)+COUNTIF('9月'!CB4:CB34,$B29)+COUNTIF('9月'!CF4:CF34,$B29)+COUNTIF('9月'!CG4:CG34,$B29)+COUNTIF('9月'!CK4:CK34,$B29)+COUNTIF('9月'!CL4:CL34,$B29)+COUNTIF('9月'!CP4:CP34,$B29)+COUNTIF('9月'!CQ4:CQ34,$B29)+COUNTIF('9月'!CU4:CU34,$B29)+COUNTIF('9月'!CV4:CV34,$B29)+COUNTIF('9月'!CZ4:CZ34,$B29)+COUNTIF('9月'!DA4:DA34,$B29)+COUNTIF('9月'!DE4:DE34,$B29)+COUNTIF('9月'!DF4:DF34,$B29)+COUNTIF('9月'!DJ4:DJ34,$B29)+COUNTIF('9月'!DK4:DK34,$B29)+COUNTIF('9月'!DO4:DO34,$B29)+COUNTIF('9月'!DP4:DP34,$B29)+COUNTIF('9月'!DT4:DT34,$B29)+COUNTIF('9月'!DU4:DU34,$B29)+COUNTIF('9月'!DY4:DY34,$B29)+COUNTIF('9月'!DZ4:DZ34,$B29)+COUNTIF('9月'!ED4:ED34,$B29)+COUNTIF('9月'!EE4:EE34,$B29)+COUNTIF('9月'!EI4:EI34,$B29)+COUNTIF('9月'!EJ4:EJ34,$B29)+COUNTIF('9月'!EN4:EN34,$B29)+COUNTIF('9月'!EO4:EO34,$B29)+COUNTIF('9月'!ES4:ES34,$B29)+COUNTIF('9月'!ET4:ET34,$B29)),0)</f>
        <v>0</v>
      </c>
      <c r="L29" s="76">
        <f>IFERROR(IF($B29="","",COUNTIF('10月'!D4:D34,$B29)+COUNTIF('10月'!E4:E34,$B29)+COUNTIF('10月'!I4:I34,$B29)+COUNTIF('10月'!J4:J34,$B29)+COUNTIF('10月'!N4:N34,$B29)+COUNTIF('10月'!O4:O34,$B29)+COUNTIF('10月'!S4:S34,$B29)+COUNTIF('10月'!T4:T34,$B29)+COUNTIF('10月'!X4:X34,$B29)+COUNTIF('10月'!Y4:Y34,$B29)+COUNTIF('10月'!AC4:AC34,$B29)+COUNTIF('10月'!AD4:AD34,$B29)+COUNTIF('10月'!AH4:AH34,$B29)+COUNTIF('10月'!AI4:AI34,$B29)+COUNTIF('10月'!AM4:AM34,$B29)+COUNTIF('10月'!AN4:AN34,$B29)+COUNTIF('10月'!AR4:AR34,$B29)+COUNTIF('10月'!AS4:AS34,$B29)+COUNTIF('10月'!AW4:AW34,$B29)+COUNTIF('10月'!AX4:AX34,$B29)+COUNTIF('10月'!BB4:BB34,$B29)+COUNTIF('10月'!BC4:BC34,$B29)+COUNTIF('10月'!BG4:BG34,$B29)+COUNTIF('10月'!BH4:BH34,$B29)+COUNTIF('10月'!BL4:BL34,$B29)+COUNTIF('10月'!BM4:BM34,$B29)+COUNTIF('10月'!BQ4:BQ34,$B29)+COUNTIF('10月'!BR4:BR34,$B29)+COUNTIF('10月'!BV4:BV34,$B29)+COUNTIF('10月'!BW4:BW34,$B29)+COUNTIF('10月'!CA4:CA34,$B29)+COUNTIF('10月'!CB4:CB34,$B29)+COUNTIF('10月'!CF4:CF34,$B29)+COUNTIF('10月'!CG4:CG34,$B29)+COUNTIF('10月'!CK4:CK34,$B29)+COUNTIF('10月'!CL4:CL34,$B29)+COUNTIF('10月'!CP4:CP34,$B29)+COUNTIF('10月'!CQ4:CQ34,$B29)+COUNTIF('10月'!CU4:CU34,$B29)+COUNTIF('10月'!CV4:CV34,$B29)+COUNTIF('10月'!CZ4:CZ34,$B29)+COUNTIF('10月'!DA4:DA34,$B29)+COUNTIF('10月'!DE4:DE34,$B29)+COUNTIF('10月'!DF4:DF34,$B29)+COUNTIF('10月'!DJ4:DJ34,$B29)+COUNTIF('10月'!DK4:DK34,$B29)+COUNTIF('10月'!DO4:DO34,$B29)+COUNTIF('10月'!DP4:DP34,$B29)+COUNTIF('10月'!DT4:DT34,$B29)+COUNTIF('10月'!DU4:DU34,$B29)+COUNTIF('10月'!DY4:DY34,$B29)+COUNTIF('10月'!DZ4:DZ34,$B29)+COUNTIF('10月'!ED4:ED34,$B29)+COUNTIF('10月'!EE4:EE34,$B29)+COUNTIF('10月'!EI4:EI34,$B29)+COUNTIF('10月'!EJ4:EJ34,$B29)+COUNTIF('10月'!EN4:EN34,$B29)+COUNTIF('10月'!EO4:EO34,$B29)+COUNTIF('10月'!ES4:ES34,$B29)+COUNTIF('10月'!ET4:ET34,$B29)),0)</f>
        <v>0</v>
      </c>
      <c r="M29" s="76">
        <f>IFERROR(IF($B29="","",COUNTIF('11月'!D4:D34,$B29)+COUNTIF('11月'!E4:E34,$B29)+COUNTIF('11月'!I4:I34,$B29)+COUNTIF('11月'!J4:J34,$B29)+COUNTIF('11月'!N4:N34,$B29)+COUNTIF('11月'!O4:O34,$B29)+COUNTIF('11月'!S4:S34,$B29)+COUNTIF('11月'!T4:T34,$B29)+COUNTIF('11月'!X4:X34,$B29)+COUNTIF('11月'!Y4:Y34,$B29)+COUNTIF('11月'!AC4:AC34,$B29)+COUNTIF('11月'!AD4:AD34,$B29)+COUNTIF('11月'!AH4:AH34,$B29)+COUNTIF('11月'!AI4:AI34,$B29)+COUNTIF('11月'!AM4:AM34,$B29)+COUNTIF('11月'!AN4:AN34,$B29)+COUNTIF('11月'!AR4:AR34,$B29)+COUNTIF('11月'!AS4:AS34,$B29)+COUNTIF('11月'!AW4:AW34,$B29)+COUNTIF('11月'!AX4:AX34,$B29)+COUNTIF('11月'!BB4:BB34,$B29)+COUNTIF('11月'!BC4:BC34,$B29)+COUNTIF('11月'!BG4:BG34,$B29)+COUNTIF('11月'!BH4:BH34,$B29)+COUNTIF('11月'!BL4:BL34,$B29)+COUNTIF('11月'!BM4:BM34,$B29)+COUNTIF('11月'!BQ4:BQ34,$B29)+COUNTIF('11月'!BR4:BR34,$B29)+COUNTIF('11月'!BV4:BV34,$B29)+COUNTIF('11月'!BW4:BW34,$B29)+COUNTIF('11月'!CA4:CA34,$B29)+COUNTIF('11月'!CB4:CB34,$B29)+COUNTIF('11月'!CF4:CF34,$B29)+COUNTIF('11月'!CG4:CG34,$B29)+COUNTIF('11月'!CK4:CK34,$B29)+COUNTIF('11月'!CL4:CL34,$B29)+COUNTIF('11月'!CP4:CP34,$B29)+COUNTIF('11月'!CQ4:CQ34,$B29)+COUNTIF('11月'!CU4:CU34,$B29)+COUNTIF('11月'!CV4:CV34,$B29)+COUNTIF('11月'!CZ4:CZ34,$B29)+COUNTIF('11月'!DA4:DA34,$B29)+COUNTIF('11月'!DE4:DE34,$B29)+COUNTIF('11月'!DF4:DF34,$B29)+COUNTIF('11月'!DJ4:DJ34,$B29)+COUNTIF('11月'!DK4:DK34,$B29)+COUNTIF('11月'!DO4:DO34,$B29)+COUNTIF('11月'!DP4:DP34,$B29)+COUNTIF('11月'!DT4:DT34,$B29)+COUNTIF('11月'!DU4:DU34,$B29)+COUNTIF('11月'!DY4:DY34,$B29)+COUNTIF('11月'!DZ4:DZ34,$B29)+COUNTIF('11月'!ED4:ED34,$B29)+COUNTIF('11月'!EE4:EE34,$B29)+COUNTIF('11月'!EI4:EI34,$B29)+COUNTIF('11月'!EJ4:EJ34,$B29)+COUNTIF('11月'!EN4:EN34,$B29)+COUNTIF('11月'!EO4:EO34,$B29)+COUNTIF('11月'!ES4:ES34,$B29)+COUNTIF('11月'!ET4:ET34,$B29)),0)</f>
        <v>0</v>
      </c>
      <c r="N29" s="76">
        <f>IFERROR(IF($B29="","",COUNTIF('12月'!D4:D34,$B29)+COUNTIF('12月'!E4:E34,$B29)+COUNTIF('12月'!I4:I34,$B29)+COUNTIF('12月'!J4:J34,$B29)+COUNTIF('12月'!N4:N34,$B29)+COUNTIF('12月'!O4:O34,$B29)+COUNTIF('12月'!S4:S34,$B29)+COUNTIF('12月'!T4:T34,$B29)+COUNTIF('12月'!X4:X34,$B29)+COUNTIF('12月'!Y4:Y34,$B29)+COUNTIF('12月'!AC4:AC34,$B29)+COUNTIF('12月'!AD4:AD34,$B29)+COUNTIF('12月'!AH4:AH34,$B29)+COUNTIF('12月'!AI4:AI34,$B29)+COUNTIF('12月'!AM4:AM34,$B29)+COUNTIF('12月'!AN4:AN34,$B29)+COUNTIF('12月'!AR4:AR34,$B29)+COUNTIF('12月'!AS4:AS34,$B29)+COUNTIF('12月'!AW4:AW34,$B29)+COUNTIF('12月'!AX4:AX34,$B29)+COUNTIF('12月'!BB4:BB34,$B29)+COUNTIF('12月'!BC4:BC34,$B29)+COUNTIF('12月'!BG4:BG34,$B29)+COUNTIF('12月'!BH4:BH34,$B29)+COUNTIF('12月'!BL4:BL34,$B29)+COUNTIF('12月'!BM4:BM34,$B29)+COUNTIF('12月'!BQ4:BQ34,$B29)+COUNTIF('12月'!BR4:BR34,$B29)+COUNTIF('12月'!BV4:BV34,$B29)+COUNTIF('12月'!BW4:BW34,$B29)+COUNTIF('12月'!CA4:CA34,$B29)+COUNTIF('12月'!CB4:CB34,$B29)+COUNTIF('12月'!CF4:CF34,$B29)+COUNTIF('12月'!CG4:CG34,$B29)+COUNTIF('12月'!CK4:CK34,$B29)+COUNTIF('12月'!CL4:CL34,$B29)+COUNTIF('12月'!CP4:CP34,$B29)+COUNTIF('12月'!CQ4:CQ34,$B29)+COUNTIF('12月'!CU4:CU34,$B29)+COUNTIF('12月'!CV4:CV34,$B29)+COUNTIF('12月'!CZ4:CZ34,$B29)+COUNTIF('12月'!DA4:DA34,$B29)+COUNTIF('12月'!DE4:DE34,$B29)+COUNTIF('12月'!DF4:DF34,$B29)+COUNTIF('12月'!DJ4:DJ34,$B29)+COUNTIF('12月'!DK4:DK34,$B29)+COUNTIF('12月'!DO4:DO34,$B29)+COUNTIF('12月'!DP4:DP34,$B29)+COUNTIF('12月'!DT4:DT34,$B29)+COUNTIF('12月'!DU4:DU34,$B29)+COUNTIF('12月'!DY4:DY34,$B29)+COUNTIF('12月'!DZ4:DZ34,$B29)+COUNTIF('12月'!ED4:ED34,$B29)+COUNTIF('12月'!EE4:EE34,$B29)+COUNTIF('12月'!EI4:EI34,$B29)+COUNTIF('12月'!EJ4:EJ34,$B29)+COUNTIF('12月'!EN4:EN34,$B29)+COUNTIF('12月'!EO4:EO34,$B29)+COUNTIF('12月'!ES4:ES34,$B29)+COUNTIF('12月'!ET4:ET34,$B29)),0)</f>
        <v>0</v>
      </c>
      <c r="O29" s="78">
        <f t="shared" si="0"/>
        <v>0</v>
      </c>
    </row>
    <row r="30" spans="1:15" ht="19.5" customHeight="1">
      <c r="A30" s="76">
        <v>28</v>
      </c>
      <c r="B30" s="77">
        <f>IFERROR(現場マスタ!$C$31,"")</f>
        <v>0</v>
      </c>
      <c r="C30" s="76">
        <f>IFERROR(IF($B30="","",COUNTIF('1月'!D4:D34,$B30)+COUNTIF('1月'!E4:E34,$B30)+COUNTIF('1月'!I4:I34,$B30)+COUNTIF('1月'!J4:J34,$B30)+COUNTIF('1月'!N4:N34,$B30)+COUNTIF('1月'!O4:O34,$B30)+COUNTIF('1月'!S4:S34,$B30)+COUNTIF('1月'!T4:T34,$B30)+COUNTIF('1月'!X4:X34,$B30)+COUNTIF('1月'!Y4:Y34,$B30)+COUNTIF('1月'!AC4:AC34,$B30)+COUNTIF('1月'!AD4:AD34,$B30)+COUNTIF('1月'!AH4:AH34,$B30)+COUNTIF('1月'!AI4:AI34,$B30)+COUNTIF('1月'!AM4:AM34,$B30)+COUNTIF('1月'!AN4:AN34,$B30)+COUNTIF('1月'!AR4:AR34,$B30)+COUNTIF('1月'!AS4:AS34,$B30)+COUNTIF('1月'!AW4:AW34,$B30)+COUNTIF('1月'!AX4:AX34,$B30)+COUNTIF('1月'!BB4:BB34,$B30)+COUNTIF('1月'!BC4:BC34,$B30)+COUNTIF('1月'!BG4:BG34,$B30)+COUNTIF('1月'!BH4:BH34,$B30)+COUNTIF('1月'!BL4:BL34,$B30)+COUNTIF('1月'!BM4:BM34,$B30)+COUNTIF('1月'!BQ4:BQ34,$B30)+COUNTIF('1月'!BR4:BR34,$B30)+COUNTIF('1月'!BV4:BV34,$B30)+COUNTIF('1月'!BW4:BW34,$B30)+COUNTIF('1月'!CA4:CA34,$B30)+COUNTIF('1月'!CB4:CB34,$B30)+COUNTIF('1月'!CF4:CF34,$B30)+COUNTIF('1月'!CG4:CG34,$B30)+COUNTIF('1月'!CK4:CK34,$B30)+COUNTIF('1月'!CL4:CL34,$B30)+COUNTIF('1月'!CP4:CP34,$B30)+COUNTIF('1月'!CQ4:CQ34,$B30)+COUNTIF('1月'!CU4:CU34,$B30)+COUNTIF('1月'!CV4:CV34,$B30)+COUNTIF('1月'!CZ4:CZ34,$B30)+COUNTIF('1月'!DA4:DA34,$B30)+COUNTIF('1月'!DE4:DE34,$B30)+COUNTIF('1月'!DF4:DF34,$B30)+COUNTIF('1月'!DJ4:DJ34,$B30)+COUNTIF('1月'!DK4:DK34,$B30)+COUNTIF('1月'!DO4:DO34,$B30)+COUNTIF('1月'!DP4:DP34,$B30)+COUNTIF('1月'!DT4:DT34,$B30)+COUNTIF('1月'!DU4:DU34,$B30)+COUNTIF('1月'!DY4:DY34,$B30)+COUNTIF('1月'!DZ4:DZ34,$B30)+COUNTIF('1月'!ED4:ED34,$B30)+COUNTIF('1月'!EE4:EE34,$B30)+COUNTIF('1月'!EI4:EI34,$B30)+COUNTIF('1月'!EJ4:EJ34,$B30)+COUNTIF('1月'!EN4:EN34,$B30)+COUNTIF('1月'!EO4:EO34,$B30)+COUNTIF('1月'!ES4:ES34,$B30)+COUNTIF('1月'!ET4:ET34,$B30)),0)</f>
        <v>0</v>
      </c>
      <c r="D30" s="76">
        <f>IFERROR(IF($B30="","",COUNTIF('2月'!D4:D34,$B30)+COUNTIF('2月'!E4:E34,$B30)+COUNTIF('2月'!I4:I34,$B30)+COUNTIF('2月'!J4:J34,$B30)+COUNTIF('2月'!N4:N34,$B30)+COUNTIF('2月'!O4:O34,$B30)+COUNTIF('2月'!S4:S34,$B30)+COUNTIF('2月'!T4:T34,$B30)+COUNTIF('2月'!X4:X34,$B30)+COUNTIF('2月'!Y4:Y34,$B30)+COUNTIF('2月'!AC4:AC34,$B30)+COUNTIF('2月'!AD4:AD34,$B30)+COUNTIF('2月'!AH4:AH34,$B30)+COUNTIF('2月'!AI4:AI34,$B30)+COUNTIF('2月'!AM4:AM34,$B30)+COUNTIF('2月'!AN4:AN34,$B30)+COUNTIF('2月'!AR4:AR34,$B30)+COUNTIF('2月'!AS4:AS34,$B30)+COUNTIF('2月'!AW4:AW34,$B30)+COUNTIF('2月'!AX4:AX34,$B30)+COUNTIF('2月'!BB4:BB34,$B30)+COUNTIF('2月'!BC4:BC34,$B30)+COUNTIF('2月'!BG4:BG34,$B30)+COUNTIF('2月'!BH4:BH34,$B30)+COUNTIF('2月'!BL4:BL34,$B30)+COUNTIF('2月'!BM4:BM34,$B30)+COUNTIF('2月'!BQ4:BQ34,$B30)+COUNTIF('2月'!BR4:BR34,$B30)+COUNTIF('2月'!BV4:BV34,$B30)+COUNTIF('2月'!BW4:BW34,$B30)+COUNTIF('2月'!CA4:CA34,$B30)+COUNTIF('2月'!CB4:CB34,$B30)+COUNTIF('2月'!CF4:CF34,$B30)+COUNTIF('2月'!CG4:CG34,$B30)+COUNTIF('2月'!CK4:CK34,$B30)+COUNTIF('2月'!CL4:CL34,$B30)+COUNTIF('2月'!CP4:CP34,$B30)+COUNTIF('2月'!CQ4:CQ34,$B30)+COUNTIF('2月'!CU4:CU34,$B30)+COUNTIF('2月'!CV4:CV34,$B30)+COUNTIF('2月'!CZ4:CZ34,$B30)+COUNTIF('2月'!DA4:DA34,$B30)+COUNTIF('2月'!DE4:DE34,$B30)+COUNTIF('2月'!DF4:DF34,$B30)+COUNTIF('2月'!DJ4:DJ34,$B30)+COUNTIF('2月'!DK4:DK34,$B30)+COUNTIF('2月'!DO4:DO34,$B30)+COUNTIF('2月'!DP4:DP34,$B30)+COUNTIF('2月'!DT4:DT34,$B30)+COUNTIF('2月'!DU4:DU34,$B30)+COUNTIF('2月'!DY4:DY34,$B30)+COUNTIF('2月'!DZ4:DZ34,$B30)+COUNTIF('2月'!ED4:ED34,$B30)+COUNTIF('2月'!EE4:EE34,$B30)+COUNTIF('2月'!EI4:EI34,$B30)+COUNTIF('2月'!EJ4:EJ34,$B30)+COUNTIF('2月'!EN4:EN34,$B30)+COUNTIF('2月'!EO4:EO34,$B30)+COUNTIF('2月'!ES4:ES34,$B30)+COUNTIF('2月'!ET4:ET34,$B30)),0)</f>
        <v>0</v>
      </c>
      <c r="E30" s="76">
        <f>IFERROR(IF($B30="","",COUNTIF('3月'!D4:D34,$B30)+COUNTIF('3月'!E4:E34,$B30)+COUNTIF('3月'!I4:I34,$B30)+COUNTIF('3月'!J4:J34,$B30)+COUNTIF('3月'!N4:N34,$B30)+COUNTIF('3月'!O4:O34,$B30)+COUNTIF('3月'!S4:S34,$B30)+COUNTIF('3月'!T4:T34,$B30)+COUNTIF('3月'!X4:X34,$B30)+COUNTIF('3月'!Y4:Y34,$B30)+COUNTIF('3月'!AC4:AC34,$B30)+COUNTIF('3月'!AD4:AD34,$B30)+COUNTIF('3月'!AH4:AH34,$B30)+COUNTIF('3月'!AI4:AI34,$B30)+COUNTIF('3月'!AM4:AM34,$B30)+COUNTIF('3月'!AN4:AN34,$B30)+COUNTIF('3月'!AR4:AR34,$B30)+COUNTIF('3月'!AS4:AS34,$B30)+COUNTIF('3月'!AW4:AW34,$B30)+COUNTIF('3月'!AX4:AX34,$B30)+COUNTIF('3月'!BB4:BB34,$B30)+COUNTIF('3月'!BC4:BC34,$B30)+COUNTIF('3月'!BG4:BG34,$B30)+COUNTIF('3月'!BH4:BH34,$B30)+COUNTIF('3月'!BL4:BL34,$B30)+COUNTIF('3月'!BM4:BM34,$B30)+COUNTIF('3月'!BQ4:BQ34,$B30)+COUNTIF('3月'!BR4:BR34,$B30)+COUNTIF('3月'!BV4:BV34,$B30)+COUNTIF('3月'!BW4:BW34,$B30)+COUNTIF('3月'!CA4:CA34,$B30)+COUNTIF('3月'!CB4:CB34,$B30)+COUNTIF('3月'!CF4:CF34,$B30)+COUNTIF('3月'!CG4:CG34,$B30)+COUNTIF('3月'!CK4:CK34,$B30)+COUNTIF('3月'!CL4:CL34,$B30)+COUNTIF('3月'!CP4:CP34,$B30)+COUNTIF('3月'!CQ4:CQ34,$B30)+COUNTIF('3月'!CU4:CU34,$B30)+COUNTIF('3月'!CV4:CV34,$B30)+COUNTIF('3月'!CZ4:CZ34,$B30)+COUNTIF('3月'!DA4:DA34,$B30)+COUNTIF('3月'!DE4:DE34,$B30)+COUNTIF('3月'!DF4:DF34,$B30)+COUNTIF('3月'!DJ4:DJ34,$B30)+COUNTIF('3月'!DK4:DK34,$B30)+COUNTIF('3月'!DO4:DO34,$B30)+COUNTIF('3月'!DP4:DP34,$B30)+COUNTIF('3月'!DT4:DT34,$B30)+COUNTIF('3月'!DU4:DU34,$B30)+COUNTIF('3月'!DY4:DY34,$B30)+COUNTIF('3月'!DZ4:DZ34,$B30)+COUNTIF('3月'!ED4:ED34,$B30)+COUNTIF('3月'!EE4:EE34,$B30)+COUNTIF('3月'!EI4:EI34,$B30)+COUNTIF('3月'!EJ4:EJ34,$B30)+COUNTIF('3月'!EN4:EN34,$B30)+COUNTIF('3月'!EO4:EO34,$B30)+COUNTIF('3月'!ES4:ES34,$B30)+COUNTIF('3月'!ET4:ET34,$B30)),0)</f>
        <v>0</v>
      </c>
      <c r="F30" s="76">
        <f>IFERROR(IF($B30="","",COUNTIF('4月'!D4:D34,$B30)+COUNTIF('4月'!E4:E34,$B30)+COUNTIF('4月'!I4:I34,$B30)+COUNTIF('4月'!J4:J34,$B30)+COUNTIF('4月'!N4:N34,$B30)+COUNTIF('4月'!O4:O34,$B30)+COUNTIF('4月'!S4:S34,$B30)+COUNTIF('4月'!T4:T34,$B30)+COUNTIF('4月'!X4:X34,$B30)+COUNTIF('4月'!Y4:Y34,$B30)+COUNTIF('4月'!AC4:AC34,$B30)+COUNTIF('4月'!AD4:AD34,$B30)+COUNTIF('4月'!AH4:AH34,$B30)+COUNTIF('4月'!AI4:AI34,$B30)+COUNTIF('4月'!AM4:AM34,$B30)+COUNTIF('4月'!AN4:AN34,$B30)+COUNTIF('4月'!AR4:AR34,$B30)+COUNTIF('4月'!AS4:AS34,$B30)+COUNTIF('4月'!AW4:AW34,$B30)+COUNTIF('4月'!AX4:AX34,$B30)+COUNTIF('4月'!BB4:BB34,$B30)+COUNTIF('4月'!BC4:BC34,$B30)+COUNTIF('4月'!BG4:BG34,$B30)+COUNTIF('4月'!BH4:BH34,$B30)+COUNTIF('4月'!BL4:BL34,$B30)+COUNTIF('4月'!BM4:BM34,$B30)+COUNTIF('4月'!BQ4:BQ34,$B30)+COUNTIF('4月'!BR4:BR34,$B30)+COUNTIF('4月'!BV4:BV34,$B30)+COUNTIF('4月'!BW4:BW34,$B30)+COUNTIF('4月'!CA4:CA34,$B30)+COUNTIF('4月'!CB4:CB34,$B30)+COUNTIF('4月'!CF4:CF34,$B30)+COUNTIF('4月'!CG4:CG34,$B30)+COUNTIF('4月'!CK4:CK34,$B30)+COUNTIF('4月'!CL4:CL34,$B30)+COUNTIF('4月'!CP4:CP34,$B30)+COUNTIF('4月'!CQ4:CQ34,$B30)+COUNTIF('4月'!CU4:CU34,$B30)+COUNTIF('4月'!CV4:CV34,$B30)+COUNTIF('4月'!CZ4:CZ34,$B30)+COUNTIF('4月'!DA4:DA34,$B30)+COUNTIF('4月'!DE4:DE34,$B30)+COUNTIF('4月'!DF4:DF34,$B30)+COUNTIF('4月'!DJ4:DJ34,$B30)+COUNTIF('4月'!DK4:DK34,$B30)+COUNTIF('4月'!DO4:DO34,$B30)+COUNTIF('4月'!DP4:DP34,$B30)+COUNTIF('4月'!DT4:DT34,$B30)+COUNTIF('4月'!DU4:DU34,$B30)+COUNTIF('4月'!DY4:DY34,$B30)+COUNTIF('4月'!DZ4:DZ34,$B30)+COUNTIF('4月'!ED4:ED34,$B30)+COUNTIF('4月'!EE4:EE34,$B30)+COUNTIF('4月'!EI4:EI34,$B30)+COUNTIF('4月'!EJ4:EJ34,$B30)+COUNTIF('4月'!EN4:EN34,$B30)+COUNTIF('4月'!EO4:EO34,$B30)+COUNTIF('4月'!ES4:ES34,$B30)+COUNTIF('4月'!ET4:ET34,$B30)),0)</f>
        <v>0</v>
      </c>
      <c r="G30" s="76">
        <f>IFERROR(IF($B30="","",COUNTIF('5月'!D4:D34,$B30)+COUNTIF('5月'!E4:E34,$B30)+COUNTIF('5月'!I4:I34,$B30)+COUNTIF('5月'!J4:J34,$B30)+COUNTIF('5月'!N4:N34,$B30)+COUNTIF('5月'!O4:O34,$B30)+COUNTIF('5月'!S4:S34,$B30)+COUNTIF('5月'!T4:T34,$B30)+COUNTIF('5月'!X4:X34,$B30)+COUNTIF('5月'!Y4:Y34,$B30)+COUNTIF('5月'!AC4:AC34,$B30)+COUNTIF('5月'!AD4:AD34,$B30)+COUNTIF('5月'!AH4:AH34,$B30)+COUNTIF('5月'!AI4:AI34,$B30)+COUNTIF('5月'!AM4:AM34,$B30)+COUNTIF('5月'!AN4:AN34,$B30)+COUNTIF('5月'!AR4:AR34,$B30)+COUNTIF('5月'!AS4:AS34,$B30)+COUNTIF('5月'!AW4:AW34,$B30)+COUNTIF('5月'!AX4:AX34,$B30)+COUNTIF('5月'!BB4:BB34,$B30)+COUNTIF('5月'!BC4:BC34,$B30)+COUNTIF('5月'!BG4:BG34,$B30)+COUNTIF('5月'!BH4:BH34,$B30)+COUNTIF('5月'!BL4:BL34,$B30)+COUNTIF('5月'!BM4:BM34,$B30)+COUNTIF('5月'!BQ4:BQ34,$B30)+COUNTIF('5月'!BR4:BR34,$B30)+COUNTIF('5月'!BV4:BV34,$B30)+COUNTIF('5月'!BW4:BW34,$B30)+COUNTIF('5月'!CA4:CA34,$B30)+COUNTIF('5月'!CB4:CB34,$B30)+COUNTIF('5月'!CF4:CF34,$B30)+COUNTIF('5月'!CG4:CG34,$B30)+COUNTIF('5月'!CK4:CK34,$B30)+COUNTIF('5月'!CL4:CL34,$B30)+COUNTIF('5月'!CP4:CP34,$B30)+COUNTIF('5月'!CQ4:CQ34,$B30)+COUNTIF('5月'!CU4:CU34,$B30)+COUNTIF('5月'!CV4:CV34,$B30)+COUNTIF('5月'!CZ4:CZ34,$B30)+COUNTIF('5月'!DA4:DA34,$B30)+COUNTIF('5月'!DE4:DE34,$B30)+COUNTIF('5月'!DF4:DF34,$B30)+COUNTIF('5月'!DJ4:DJ34,$B30)+COUNTIF('5月'!DK4:DK34,$B30)+COUNTIF('5月'!DO4:DO34,$B30)+COUNTIF('5月'!DP4:DP34,$B30)+COUNTIF('5月'!DT4:DT34,$B30)+COUNTIF('5月'!DU4:DU34,$B30)+COUNTIF('5月'!DY4:DY34,$B30)+COUNTIF('5月'!DZ4:DZ34,$B30)+COUNTIF('5月'!ED4:ED34,$B30)+COUNTIF('5月'!EE4:EE34,$B30)+COUNTIF('5月'!EI4:EI34,$B30)+COUNTIF('5月'!EJ4:EJ34,$B30)+COUNTIF('5月'!EN4:EN34,$B30)+COUNTIF('5月'!EO4:EO34,$B30)+COUNTIF('5月'!ES4:ES34,$B30)+COUNTIF('5月'!ET4:ET34,$B30)),0)</f>
        <v>0</v>
      </c>
      <c r="H30" s="76">
        <f>IFERROR(IF($B30="","",COUNTIF('6月'!D4:D34,$B30)+COUNTIF('6月'!E4:E34,$B30)+COUNTIF('6月'!I4:I34,$B30)+COUNTIF('6月'!J4:J34,$B30)+COUNTIF('6月'!N4:N34,$B30)+COUNTIF('6月'!O4:O34,$B30)+COUNTIF('6月'!S4:S34,$B30)+COUNTIF('6月'!T4:T34,$B30)+COUNTIF('6月'!X4:X34,$B30)+COUNTIF('6月'!Y4:Y34,$B30)+COUNTIF('6月'!AC4:AC34,$B30)+COUNTIF('6月'!AD4:AD34,$B30)+COUNTIF('6月'!AH4:AH34,$B30)+COUNTIF('6月'!AI4:AI34,$B30)+COUNTIF('6月'!AM4:AM34,$B30)+COUNTIF('6月'!AN4:AN34,$B30)+COUNTIF('6月'!AR4:AR34,$B30)+COUNTIF('6月'!AS4:AS34,$B30)+COUNTIF('6月'!AW4:AW34,$B30)+COUNTIF('6月'!AX4:AX34,$B30)+COUNTIF('6月'!BB4:BB34,$B30)+COUNTIF('6月'!BC4:BC34,$B30)+COUNTIF('6月'!BG4:BG34,$B30)+COUNTIF('6月'!BH4:BH34,$B30)+COUNTIF('6月'!BL4:BL34,$B30)+COUNTIF('6月'!BM4:BM34,$B30)+COUNTIF('6月'!BQ4:BQ34,$B30)+COUNTIF('6月'!BR4:BR34,$B30)+COUNTIF('6月'!BV4:BV34,$B30)+COUNTIF('6月'!BW4:BW34,$B30)+COUNTIF('6月'!CA4:CA34,$B30)+COUNTIF('6月'!CB4:CB34,$B30)+COUNTIF('6月'!CF4:CF34,$B30)+COUNTIF('6月'!CG4:CG34,$B30)+COUNTIF('6月'!CK4:CK34,$B30)+COUNTIF('6月'!CL4:CL34,$B30)+COUNTIF('6月'!CP4:CP34,$B30)+COUNTIF('6月'!CQ4:CQ34,$B30)+COUNTIF('6月'!CU4:CU34,$B30)+COUNTIF('6月'!CV4:CV34,$B30)+COUNTIF('6月'!CZ4:CZ34,$B30)+COUNTIF('6月'!DA4:DA34,$B30)+COUNTIF('6月'!DE4:DE34,$B30)+COUNTIF('6月'!DF4:DF34,$B30)+COUNTIF('6月'!DJ4:DJ34,$B30)+COUNTIF('6月'!DK4:DK34,$B30)+COUNTIF('6月'!DO4:DO34,$B30)+COUNTIF('6月'!DP4:DP34,$B30)+COUNTIF('6月'!DT4:DT34,$B30)+COUNTIF('6月'!DU4:DU34,$B30)+COUNTIF('6月'!DY4:DY34,$B30)+COUNTIF('6月'!DZ4:DZ34,$B30)+COUNTIF('6月'!ED4:ED34,$B30)+COUNTIF('6月'!EE4:EE34,$B30)+COUNTIF('6月'!EI4:EI34,$B30)+COUNTIF('6月'!EJ4:EJ34,$B30)+COUNTIF('6月'!EN4:EN34,$B30)+COUNTIF('6月'!EO4:EO34,$B30)+COUNTIF('6月'!ES4:ES34,$B30)+COUNTIF('6月'!ET4:ET34,$B30)),0)</f>
        <v>0</v>
      </c>
      <c r="I30" s="76">
        <f>IFERROR(IF($B30="","",COUNTIF('7月'!D4:D34,$B30)+COUNTIF('7月'!E4:E34,$B30)+COUNTIF('7月'!I4:I34,$B30)+COUNTIF('7月'!J4:J34,$B30)+COUNTIF('7月'!N4:N34,$B30)+COUNTIF('7月'!O4:O34,$B30)+COUNTIF('7月'!S4:S34,$B30)+COUNTIF('7月'!T4:T34,$B30)+COUNTIF('7月'!X4:X34,$B30)+COUNTIF('7月'!Y4:Y34,$B30)+COUNTIF('7月'!AC4:AC34,$B30)+COUNTIF('7月'!AD4:AD34,$B30)+COUNTIF('7月'!AH4:AH34,$B30)+COUNTIF('7月'!AI4:AI34,$B30)+COUNTIF('7月'!AM4:AM34,$B30)+COUNTIF('7月'!AN4:AN34,$B30)+COUNTIF('7月'!AR4:AR34,$B30)+COUNTIF('7月'!AS4:AS34,$B30)+COUNTIF('7月'!AW4:AW34,$B30)+COUNTIF('7月'!AX4:AX34,$B30)+COUNTIF('7月'!BB4:BB34,$B30)+COUNTIF('7月'!BC4:BC34,$B30)+COUNTIF('7月'!BG4:BG34,$B30)+COUNTIF('7月'!BH4:BH34,$B30)+COUNTIF('7月'!BL4:BL34,$B30)+COUNTIF('7月'!BM4:BM34,$B30)+COUNTIF('7月'!BQ4:BQ34,$B30)+COUNTIF('7月'!BR4:BR34,$B30)+COUNTIF('7月'!BV4:BV34,$B30)+COUNTIF('7月'!BW4:BW34,$B30)+COUNTIF('7月'!CA4:CA34,$B30)+COUNTIF('7月'!CB4:CB34,$B30)+COUNTIF('7月'!CF4:CF34,$B30)+COUNTIF('7月'!CG4:CG34,$B30)+COUNTIF('7月'!CK4:CK34,$B30)+COUNTIF('7月'!CL4:CL34,$B30)+COUNTIF('7月'!CP4:CP34,$B30)+COUNTIF('7月'!CQ4:CQ34,$B30)+COUNTIF('7月'!CU4:CU34,$B30)+COUNTIF('7月'!CV4:CV34,$B30)+COUNTIF('7月'!CZ4:CZ34,$B30)+COUNTIF('7月'!DA4:DA34,$B30)+COUNTIF('7月'!DE4:DE34,$B30)+COUNTIF('7月'!DF4:DF34,$B30)+COUNTIF('7月'!DJ4:DJ34,$B30)+COUNTIF('7月'!DK4:DK34,$B30)+COUNTIF('7月'!DO4:DO34,$B30)+COUNTIF('7月'!DP4:DP34,$B30)+COUNTIF('7月'!DT4:DT34,$B30)+COUNTIF('7月'!DU4:DU34,$B30)+COUNTIF('7月'!DY4:DY34,$B30)+COUNTIF('7月'!DZ4:DZ34,$B30)+COUNTIF('7月'!ED4:ED34,$B30)+COUNTIF('7月'!EE4:EE34,$B30)+COUNTIF('7月'!EI4:EI34,$B30)+COUNTIF('7月'!EJ4:EJ34,$B30)+COUNTIF('7月'!EN4:EN34,$B30)+COUNTIF('7月'!EO4:EO34,$B30)+COUNTIF('7月'!ES4:ES34,$B30)+COUNTIF('7月'!ET4:ET34,$B30)),0)</f>
        <v>0</v>
      </c>
      <c r="J30" s="76">
        <f>IFERROR(IF($B30="","",COUNTIF('8月'!D4:D34,$B30)+COUNTIF('8月'!E4:E34,$B30)+COUNTIF('8月'!I4:I34,$B30)+COUNTIF('8月'!J4:J34,$B30)+COUNTIF('8月'!N4:N34,$B30)+COUNTIF('8月'!O4:O34,$B30)+COUNTIF('8月'!S4:S34,$B30)+COUNTIF('8月'!T4:T34,$B30)+COUNTIF('8月'!X4:X34,$B30)+COUNTIF('8月'!Y4:Y34,$B30)+COUNTIF('8月'!AC4:AC34,$B30)+COUNTIF('8月'!AD4:AD34,$B30)+COUNTIF('8月'!AH4:AH34,$B30)+COUNTIF('8月'!AI4:AI34,$B30)+COUNTIF('8月'!AM4:AM34,$B30)+COUNTIF('8月'!AN4:AN34,$B30)+COUNTIF('8月'!AR4:AR34,$B30)+COUNTIF('8月'!AS4:AS34,$B30)+COUNTIF('8月'!AW4:AW34,$B30)+COUNTIF('8月'!AX4:AX34,$B30)+COUNTIF('8月'!BB4:BB34,$B30)+COUNTIF('8月'!BC4:BC34,$B30)+COUNTIF('8月'!BG4:BG34,$B30)+COUNTIF('8月'!BH4:BH34,$B30)+COUNTIF('8月'!BL4:BL34,$B30)+COUNTIF('8月'!BM4:BM34,$B30)+COUNTIF('8月'!BQ4:BQ34,$B30)+COUNTIF('8月'!BR4:BR34,$B30)+COUNTIF('8月'!BV4:BV34,$B30)+COUNTIF('8月'!BW4:BW34,$B30)+COUNTIF('8月'!CA4:CA34,$B30)+COUNTIF('8月'!CB4:CB34,$B30)+COUNTIF('8月'!CF4:CF34,$B30)+COUNTIF('8月'!CG4:CG34,$B30)+COUNTIF('8月'!CK4:CK34,$B30)+COUNTIF('8月'!CL4:CL34,$B30)+COUNTIF('8月'!CP4:CP34,$B30)+COUNTIF('8月'!CQ4:CQ34,$B30)+COUNTIF('8月'!CU4:CU34,$B30)+COUNTIF('8月'!CV4:CV34,$B30)+COUNTIF('8月'!CZ4:CZ34,$B30)+COUNTIF('8月'!DA4:DA34,$B30)+COUNTIF('8月'!DE4:DE34,$B30)+COUNTIF('8月'!DF4:DF34,$B30)+COUNTIF('8月'!DJ4:DJ34,$B30)+COUNTIF('8月'!DK4:DK34,$B30)+COUNTIF('8月'!DO4:DO34,$B30)+COUNTIF('8月'!DP4:DP34,$B30)+COUNTIF('8月'!DT4:DT34,$B30)+COUNTIF('8月'!DU4:DU34,$B30)+COUNTIF('8月'!DY4:DY34,$B30)+COUNTIF('8月'!DZ4:DZ34,$B30)+COUNTIF('8月'!ED4:ED34,$B30)+COUNTIF('8月'!EE4:EE34,$B30)+COUNTIF('8月'!EI4:EI34,$B30)+COUNTIF('8月'!EJ4:EJ34,$B30)+COUNTIF('8月'!EN4:EN34,$B30)+COUNTIF('8月'!EO4:EO34,$B30)+COUNTIF('8月'!ES4:ES34,$B30)+COUNTIF('8月'!ET4:ET34,$B30)),0)</f>
        <v>0</v>
      </c>
      <c r="K30" s="76">
        <f>IFERROR(IF($B30="","",COUNTIF('9月'!D4:D34,$B30)+COUNTIF('9月'!E4:E34,$B30)+COUNTIF('9月'!I4:I34,$B30)+COUNTIF('9月'!J4:J34,$B30)+COUNTIF('9月'!N4:N34,$B30)+COUNTIF('9月'!O4:O34,$B30)+COUNTIF('9月'!S4:S34,$B30)+COUNTIF('9月'!T4:T34,$B30)+COUNTIF('9月'!X4:X34,$B30)+COUNTIF('9月'!Y4:Y34,$B30)+COUNTIF('9月'!AC4:AC34,$B30)+COUNTIF('9月'!AD4:AD34,$B30)+COUNTIF('9月'!AH4:AH34,$B30)+COUNTIF('9月'!AI4:AI34,$B30)+COUNTIF('9月'!AM4:AM34,$B30)+COUNTIF('9月'!AN4:AN34,$B30)+COUNTIF('9月'!AR4:AR34,$B30)+COUNTIF('9月'!AS4:AS34,$B30)+COUNTIF('9月'!AW4:AW34,$B30)+COUNTIF('9月'!AX4:AX34,$B30)+COUNTIF('9月'!BB4:BB34,$B30)+COUNTIF('9月'!BC4:BC34,$B30)+COUNTIF('9月'!BG4:BG34,$B30)+COUNTIF('9月'!BH4:BH34,$B30)+COUNTIF('9月'!BL4:BL34,$B30)+COUNTIF('9月'!BM4:BM34,$B30)+COUNTIF('9月'!BQ4:BQ34,$B30)+COUNTIF('9月'!BR4:BR34,$B30)+COUNTIF('9月'!BV4:BV34,$B30)+COUNTIF('9月'!BW4:BW34,$B30)+COUNTIF('9月'!CA4:CA34,$B30)+COUNTIF('9月'!CB4:CB34,$B30)+COUNTIF('9月'!CF4:CF34,$B30)+COUNTIF('9月'!CG4:CG34,$B30)+COUNTIF('9月'!CK4:CK34,$B30)+COUNTIF('9月'!CL4:CL34,$B30)+COUNTIF('9月'!CP4:CP34,$B30)+COUNTIF('9月'!CQ4:CQ34,$B30)+COUNTIF('9月'!CU4:CU34,$B30)+COUNTIF('9月'!CV4:CV34,$B30)+COUNTIF('9月'!CZ4:CZ34,$B30)+COUNTIF('9月'!DA4:DA34,$B30)+COUNTIF('9月'!DE4:DE34,$B30)+COUNTIF('9月'!DF4:DF34,$B30)+COUNTIF('9月'!DJ4:DJ34,$B30)+COUNTIF('9月'!DK4:DK34,$B30)+COUNTIF('9月'!DO4:DO34,$B30)+COUNTIF('9月'!DP4:DP34,$B30)+COUNTIF('9月'!DT4:DT34,$B30)+COUNTIF('9月'!DU4:DU34,$B30)+COUNTIF('9月'!DY4:DY34,$B30)+COUNTIF('9月'!DZ4:DZ34,$B30)+COUNTIF('9月'!ED4:ED34,$B30)+COUNTIF('9月'!EE4:EE34,$B30)+COUNTIF('9月'!EI4:EI34,$B30)+COUNTIF('9月'!EJ4:EJ34,$B30)+COUNTIF('9月'!EN4:EN34,$B30)+COUNTIF('9月'!EO4:EO34,$B30)+COUNTIF('9月'!ES4:ES34,$B30)+COUNTIF('9月'!ET4:ET34,$B30)),0)</f>
        <v>0</v>
      </c>
      <c r="L30" s="76">
        <f>IFERROR(IF($B30="","",COUNTIF('10月'!D4:D34,$B30)+COUNTIF('10月'!E4:E34,$B30)+COUNTIF('10月'!I4:I34,$B30)+COUNTIF('10月'!J4:J34,$B30)+COUNTIF('10月'!N4:N34,$B30)+COUNTIF('10月'!O4:O34,$B30)+COUNTIF('10月'!S4:S34,$B30)+COUNTIF('10月'!T4:T34,$B30)+COUNTIF('10月'!X4:X34,$B30)+COUNTIF('10月'!Y4:Y34,$B30)+COUNTIF('10月'!AC4:AC34,$B30)+COUNTIF('10月'!AD4:AD34,$B30)+COUNTIF('10月'!AH4:AH34,$B30)+COUNTIF('10月'!AI4:AI34,$B30)+COUNTIF('10月'!AM4:AM34,$B30)+COUNTIF('10月'!AN4:AN34,$B30)+COUNTIF('10月'!AR4:AR34,$B30)+COUNTIF('10月'!AS4:AS34,$B30)+COUNTIF('10月'!AW4:AW34,$B30)+COUNTIF('10月'!AX4:AX34,$B30)+COUNTIF('10月'!BB4:BB34,$B30)+COUNTIF('10月'!BC4:BC34,$B30)+COUNTIF('10月'!BG4:BG34,$B30)+COUNTIF('10月'!BH4:BH34,$B30)+COUNTIF('10月'!BL4:BL34,$B30)+COUNTIF('10月'!BM4:BM34,$B30)+COUNTIF('10月'!BQ4:BQ34,$B30)+COUNTIF('10月'!BR4:BR34,$B30)+COUNTIF('10月'!BV4:BV34,$B30)+COUNTIF('10月'!BW4:BW34,$B30)+COUNTIF('10月'!CA4:CA34,$B30)+COUNTIF('10月'!CB4:CB34,$B30)+COUNTIF('10月'!CF4:CF34,$B30)+COUNTIF('10月'!CG4:CG34,$B30)+COUNTIF('10月'!CK4:CK34,$B30)+COUNTIF('10月'!CL4:CL34,$B30)+COUNTIF('10月'!CP4:CP34,$B30)+COUNTIF('10月'!CQ4:CQ34,$B30)+COUNTIF('10月'!CU4:CU34,$B30)+COUNTIF('10月'!CV4:CV34,$B30)+COUNTIF('10月'!CZ4:CZ34,$B30)+COUNTIF('10月'!DA4:DA34,$B30)+COUNTIF('10月'!DE4:DE34,$B30)+COUNTIF('10月'!DF4:DF34,$B30)+COUNTIF('10月'!DJ4:DJ34,$B30)+COUNTIF('10月'!DK4:DK34,$B30)+COUNTIF('10月'!DO4:DO34,$B30)+COUNTIF('10月'!DP4:DP34,$B30)+COUNTIF('10月'!DT4:DT34,$B30)+COUNTIF('10月'!DU4:DU34,$B30)+COUNTIF('10月'!DY4:DY34,$B30)+COUNTIF('10月'!DZ4:DZ34,$B30)+COUNTIF('10月'!ED4:ED34,$B30)+COUNTIF('10月'!EE4:EE34,$B30)+COUNTIF('10月'!EI4:EI34,$B30)+COUNTIF('10月'!EJ4:EJ34,$B30)+COUNTIF('10月'!EN4:EN34,$B30)+COUNTIF('10月'!EO4:EO34,$B30)+COUNTIF('10月'!ES4:ES34,$B30)+COUNTIF('10月'!ET4:ET34,$B30)),0)</f>
        <v>0</v>
      </c>
      <c r="M30" s="76">
        <f>IFERROR(IF($B30="","",COUNTIF('11月'!D4:D34,$B30)+COUNTIF('11月'!E4:E34,$B30)+COUNTIF('11月'!I4:I34,$B30)+COUNTIF('11月'!J4:J34,$B30)+COUNTIF('11月'!N4:N34,$B30)+COUNTIF('11月'!O4:O34,$B30)+COUNTIF('11月'!S4:S34,$B30)+COUNTIF('11月'!T4:T34,$B30)+COUNTIF('11月'!X4:X34,$B30)+COUNTIF('11月'!Y4:Y34,$B30)+COUNTIF('11月'!AC4:AC34,$B30)+COUNTIF('11月'!AD4:AD34,$B30)+COUNTIF('11月'!AH4:AH34,$B30)+COUNTIF('11月'!AI4:AI34,$B30)+COUNTIF('11月'!AM4:AM34,$B30)+COUNTIF('11月'!AN4:AN34,$B30)+COUNTIF('11月'!AR4:AR34,$B30)+COUNTIF('11月'!AS4:AS34,$B30)+COUNTIF('11月'!AW4:AW34,$B30)+COUNTIF('11月'!AX4:AX34,$B30)+COUNTIF('11月'!BB4:BB34,$B30)+COUNTIF('11月'!BC4:BC34,$B30)+COUNTIF('11月'!BG4:BG34,$B30)+COUNTIF('11月'!BH4:BH34,$B30)+COUNTIF('11月'!BL4:BL34,$B30)+COUNTIF('11月'!BM4:BM34,$B30)+COUNTIF('11月'!BQ4:BQ34,$B30)+COUNTIF('11月'!BR4:BR34,$B30)+COUNTIF('11月'!BV4:BV34,$B30)+COUNTIF('11月'!BW4:BW34,$B30)+COUNTIF('11月'!CA4:CA34,$B30)+COUNTIF('11月'!CB4:CB34,$B30)+COUNTIF('11月'!CF4:CF34,$B30)+COUNTIF('11月'!CG4:CG34,$B30)+COUNTIF('11月'!CK4:CK34,$B30)+COUNTIF('11月'!CL4:CL34,$B30)+COUNTIF('11月'!CP4:CP34,$B30)+COUNTIF('11月'!CQ4:CQ34,$B30)+COUNTIF('11月'!CU4:CU34,$B30)+COUNTIF('11月'!CV4:CV34,$B30)+COUNTIF('11月'!CZ4:CZ34,$B30)+COUNTIF('11月'!DA4:DA34,$B30)+COUNTIF('11月'!DE4:DE34,$B30)+COUNTIF('11月'!DF4:DF34,$B30)+COUNTIF('11月'!DJ4:DJ34,$B30)+COUNTIF('11月'!DK4:DK34,$B30)+COUNTIF('11月'!DO4:DO34,$B30)+COUNTIF('11月'!DP4:DP34,$B30)+COUNTIF('11月'!DT4:DT34,$B30)+COUNTIF('11月'!DU4:DU34,$B30)+COUNTIF('11月'!DY4:DY34,$B30)+COUNTIF('11月'!DZ4:DZ34,$B30)+COUNTIF('11月'!ED4:ED34,$B30)+COUNTIF('11月'!EE4:EE34,$B30)+COUNTIF('11月'!EI4:EI34,$B30)+COUNTIF('11月'!EJ4:EJ34,$B30)+COUNTIF('11月'!EN4:EN34,$B30)+COUNTIF('11月'!EO4:EO34,$B30)+COUNTIF('11月'!ES4:ES34,$B30)+COUNTIF('11月'!ET4:ET34,$B30)),0)</f>
        <v>0</v>
      </c>
      <c r="N30" s="76">
        <f>IFERROR(IF($B30="","",COUNTIF('12月'!D4:D34,$B30)+COUNTIF('12月'!E4:E34,$B30)+COUNTIF('12月'!I4:I34,$B30)+COUNTIF('12月'!J4:J34,$B30)+COUNTIF('12月'!N4:N34,$B30)+COUNTIF('12月'!O4:O34,$B30)+COUNTIF('12月'!S4:S34,$B30)+COUNTIF('12月'!T4:T34,$B30)+COUNTIF('12月'!X4:X34,$B30)+COUNTIF('12月'!Y4:Y34,$B30)+COUNTIF('12月'!AC4:AC34,$B30)+COUNTIF('12月'!AD4:AD34,$B30)+COUNTIF('12月'!AH4:AH34,$B30)+COUNTIF('12月'!AI4:AI34,$B30)+COUNTIF('12月'!AM4:AM34,$B30)+COUNTIF('12月'!AN4:AN34,$B30)+COUNTIF('12月'!AR4:AR34,$B30)+COUNTIF('12月'!AS4:AS34,$B30)+COUNTIF('12月'!AW4:AW34,$B30)+COUNTIF('12月'!AX4:AX34,$B30)+COUNTIF('12月'!BB4:BB34,$B30)+COUNTIF('12月'!BC4:BC34,$B30)+COUNTIF('12月'!BG4:BG34,$B30)+COUNTIF('12月'!BH4:BH34,$B30)+COUNTIF('12月'!BL4:BL34,$B30)+COUNTIF('12月'!BM4:BM34,$B30)+COUNTIF('12月'!BQ4:BQ34,$B30)+COUNTIF('12月'!BR4:BR34,$B30)+COUNTIF('12月'!BV4:BV34,$B30)+COUNTIF('12月'!BW4:BW34,$B30)+COUNTIF('12月'!CA4:CA34,$B30)+COUNTIF('12月'!CB4:CB34,$B30)+COUNTIF('12月'!CF4:CF34,$B30)+COUNTIF('12月'!CG4:CG34,$B30)+COUNTIF('12月'!CK4:CK34,$B30)+COUNTIF('12月'!CL4:CL34,$B30)+COUNTIF('12月'!CP4:CP34,$B30)+COUNTIF('12月'!CQ4:CQ34,$B30)+COUNTIF('12月'!CU4:CU34,$B30)+COUNTIF('12月'!CV4:CV34,$B30)+COUNTIF('12月'!CZ4:CZ34,$B30)+COUNTIF('12月'!DA4:DA34,$B30)+COUNTIF('12月'!DE4:DE34,$B30)+COUNTIF('12月'!DF4:DF34,$B30)+COUNTIF('12月'!DJ4:DJ34,$B30)+COUNTIF('12月'!DK4:DK34,$B30)+COUNTIF('12月'!DO4:DO34,$B30)+COUNTIF('12月'!DP4:DP34,$B30)+COUNTIF('12月'!DT4:DT34,$B30)+COUNTIF('12月'!DU4:DU34,$B30)+COUNTIF('12月'!DY4:DY34,$B30)+COUNTIF('12月'!DZ4:DZ34,$B30)+COUNTIF('12月'!ED4:ED34,$B30)+COUNTIF('12月'!EE4:EE34,$B30)+COUNTIF('12月'!EI4:EI34,$B30)+COUNTIF('12月'!EJ4:EJ34,$B30)+COUNTIF('12月'!EN4:EN34,$B30)+COUNTIF('12月'!EO4:EO34,$B30)+COUNTIF('12月'!ES4:ES34,$B30)+COUNTIF('12月'!ET4:ET34,$B30)),0)</f>
        <v>0</v>
      </c>
      <c r="O30" s="78">
        <f t="shared" si="0"/>
        <v>0</v>
      </c>
    </row>
    <row r="31" spans="1:15" ht="19.5" customHeight="1">
      <c r="A31" s="76">
        <v>29</v>
      </c>
      <c r="B31" s="77">
        <f>IFERROR(現場マスタ!$C$32,"")</f>
        <v>0</v>
      </c>
      <c r="C31" s="76">
        <f>IFERROR(IF($B31="","",COUNTIF('1月'!D4:D34,$B31)+COUNTIF('1月'!E4:E34,$B31)+COUNTIF('1月'!I4:I34,$B31)+COUNTIF('1月'!J4:J34,$B31)+COUNTIF('1月'!N4:N34,$B31)+COUNTIF('1月'!O4:O34,$B31)+COUNTIF('1月'!S4:S34,$B31)+COUNTIF('1月'!T4:T34,$B31)+COUNTIF('1月'!X4:X34,$B31)+COUNTIF('1月'!Y4:Y34,$B31)+COUNTIF('1月'!AC4:AC34,$B31)+COUNTIF('1月'!AD4:AD34,$B31)+COUNTIF('1月'!AH4:AH34,$B31)+COUNTIF('1月'!AI4:AI34,$B31)+COUNTIF('1月'!AM4:AM34,$B31)+COUNTIF('1月'!AN4:AN34,$B31)+COUNTIF('1月'!AR4:AR34,$B31)+COUNTIF('1月'!AS4:AS34,$B31)+COUNTIF('1月'!AW4:AW34,$B31)+COUNTIF('1月'!AX4:AX34,$B31)+COUNTIF('1月'!BB4:BB34,$B31)+COUNTIF('1月'!BC4:BC34,$B31)+COUNTIF('1月'!BG4:BG34,$B31)+COUNTIF('1月'!BH4:BH34,$B31)+COUNTIF('1月'!BL4:BL34,$B31)+COUNTIF('1月'!BM4:BM34,$B31)+COUNTIF('1月'!BQ4:BQ34,$B31)+COUNTIF('1月'!BR4:BR34,$B31)+COUNTIF('1月'!BV4:BV34,$B31)+COUNTIF('1月'!BW4:BW34,$B31)+COUNTIF('1月'!CA4:CA34,$B31)+COUNTIF('1月'!CB4:CB34,$B31)+COUNTIF('1月'!CF4:CF34,$B31)+COUNTIF('1月'!CG4:CG34,$B31)+COUNTIF('1月'!CK4:CK34,$B31)+COUNTIF('1月'!CL4:CL34,$B31)+COUNTIF('1月'!CP4:CP34,$B31)+COUNTIF('1月'!CQ4:CQ34,$B31)+COUNTIF('1月'!CU4:CU34,$B31)+COUNTIF('1月'!CV4:CV34,$B31)+COUNTIF('1月'!CZ4:CZ34,$B31)+COUNTIF('1月'!DA4:DA34,$B31)+COUNTIF('1月'!DE4:DE34,$B31)+COUNTIF('1月'!DF4:DF34,$B31)+COUNTIF('1月'!DJ4:DJ34,$B31)+COUNTIF('1月'!DK4:DK34,$B31)+COUNTIF('1月'!DO4:DO34,$B31)+COUNTIF('1月'!DP4:DP34,$B31)+COUNTIF('1月'!DT4:DT34,$B31)+COUNTIF('1月'!DU4:DU34,$B31)+COUNTIF('1月'!DY4:DY34,$B31)+COUNTIF('1月'!DZ4:DZ34,$B31)+COUNTIF('1月'!ED4:ED34,$B31)+COUNTIF('1月'!EE4:EE34,$B31)+COUNTIF('1月'!EI4:EI34,$B31)+COUNTIF('1月'!EJ4:EJ34,$B31)+COUNTIF('1月'!EN4:EN34,$B31)+COUNTIF('1月'!EO4:EO34,$B31)+COUNTIF('1月'!ES4:ES34,$B31)+COUNTIF('1月'!ET4:ET34,$B31)),0)</f>
        <v>0</v>
      </c>
      <c r="D31" s="76">
        <f>IFERROR(IF($B31="","",COUNTIF('2月'!D4:D34,$B31)+COUNTIF('2月'!E4:E34,$B31)+COUNTIF('2月'!I4:I34,$B31)+COUNTIF('2月'!J4:J34,$B31)+COUNTIF('2月'!N4:N34,$B31)+COUNTIF('2月'!O4:O34,$B31)+COUNTIF('2月'!S4:S34,$B31)+COUNTIF('2月'!T4:T34,$B31)+COUNTIF('2月'!X4:X34,$B31)+COUNTIF('2月'!Y4:Y34,$B31)+COUNTIF('2月'!AC4:AC34,$B31)+COUNTIF('2月'!AD4:AD34,$B31)+COUNTIF('2月'!AH4:AH34,$B31)+COUNTIF('2月'!AI4:AI34,$B31)+COUNTIF('2月'!AM4:AM34,$B31)+COUNTIF('2月'!AN4:AN34,$B31)+COUNTIF('2月'!AR4:AR34,$B31)+COUNTIF('2月'!AS4:AS34,$B31)+COUNTIF('2月'!AW4:AW34,$B31)+COUNTIF('2月'!AX4:AX34,$B31)+COUNTIF('2月'!BB4:BB34,$B31)+COUNTIF('2月'!BC4:BC34,$B31)+COUNTIF('2月'!BG4:BG34,$B31)+COUNTIF('2月'!BH4:BH34,$B31)+COUNTIF('2月'!BL4:BL34,$B31)+COUNTIF('2月'!BM4:BM34,$B31)+COUNTIF('2月'!BQ4:BQ34,$B31)+COUNTIF('2月'!BR4:BR34,$B31)+COUNTIF('2月'!BV4:BV34,$B31)+COUNTIF('2月'!BW4:BW34,$B31)+COUNTIF('2月'!CA4:CA34,$B31)+COUNTIF('2月'!CB4:CB34,$B31)+COUNTIF('2月'!CF4:CF34,$B31)+COUNTIF('2月'!CG4:CG34,$B31)+COUNTIF('2月'!CK4:CK34,$B31)+COUNTIF('2月'!CL4:CL34,$B31)+COUNTIF('2月'!CP4:CP34,$B31)+COUNTIF('2月'!CQ4:CQ34,$B31)+COUNTIF('2月'!CU4:CU34,$B31)+COUNTIF('2月'!CV4:CV34,$B31)+COUNTIF('2月'!CZ4:CZ34,$B31)+COUNTIF('2月'!DA4:DA34,$B31)+COUNTIF('2月'!DE4:DE34,$B31)+COUNTIF('2月'!DF4:DF34,$B31)+COUNTIF('2月'!DJ4:DJ34,$B31)+COUNTIF('2月'!DK4:DK34,$B31)+COUNTIF('2月'!DO4:DO34,$B31)+COUNTIF('2月'!DP4:DP34,$B31)+COUNTIF('2月'!DT4:DT34,$B31)+COUNTIF('2月'!DU4:DU34,$B31)+COUNTIF('2月'!DY4:DY34,$B31)+COUNTIF('2月'!DZ4:DZ34,$B31)+COUNTIF('2月'!ED4:ED34,$B31)+COUNTIF('2月'!EE4:EE34,$B31)+COUNTIF('2月'!EI4:EI34,$B31)+COUNTIF('2月'!EJ4:EJ34,$B31)+COUNTIF('2月'!EN4:EN34,$B31)+COUNTIF('2月'!EO4:EO34,$B31)+COUNTIF('2月'!ES4:ES34,$B31)+COUNTIF('2月'!ET4:ET34,$B31)),0)</f>
        <v>0</v>
      </c>
      <c r="E31" s="76">
        <f>IFERROR(IF($B31="","",COUNTIF('3月'!D4:D34,$B31)+COUNTIF('3月'!E4:E34,$B31)+COUNTIF('3月'!I4:I34,$B31)+COUNTIF('3月'!J4:J34,$B31)+COUNTIF('3月'!N4:N34,$B31)+COUNTIF('3月'!O4:O34,$B31)+COUNTIF('3月'!S4:S34,$B31)+COUNTIF('3月'!T4:T34,$B31)+COUNTIF('3月'!X4:X34,$B31)+COUNTIF('3月'!Y4:Y34,$B31)+COUNTIF('3月'!AC4:AC34,$B31)+COUNTIF('3月'!AD4:AD34,$B31)+COUNTIF('3月'!AH4:AH34,$B31)+COUNTIF('3月'!AI4:AI34,$B31)+COUNTIF('3月'!AM4:AM34,$B31)+COUNTIF('3月'!AN4:AN34,$B31)+COUNTIF('3月'!AR4:AR34,$B31)+COUNTIF('3月'!AS4:AS34,$B31)+COUNTIF('3月'!AW4:AW34,$B31)+COUNTIF('3月'!AX4:AX34,$B31)+COUNTIF('3月'!BB4:BB34,$B31)+COUNTIF('3月'!BC4:BC34,$B31)+COUNTIF('3月'!BG4:BG34,$B31)+COUNTIF('3月'!BH4:BH34,$B31)+COUNTIF('3月'!BL4:BL34,$B31)+COUNTIF('3月'!BM4:BM34,$B31)+COUNTIF('3月'!BQ4:BQ34,$B31)+COUNTIF('3月'!BR4:BR34,$B31)+COUNTIF('3月'!BV4:BV34,$B31)+COUNTIF('3月'!BW4:BW34,$B31)+COUNTIF('3月'!CA4:CA34,$B31)+COUNTIF('3月'!CB4:CB34,$B31)+COUNTIF('3月'!CF4:CF34,$B31)+COUNTIF('3月'!CG4:CG34,$B31)+COUNTIF('3月'!CK4:CK34,$B31)+COUNTIF('3月'!CL4:CL34,$B31)+COUNTIF('3月'!CP4:CP34,$B31)+COUNTIF('3月'!CQ4:CQ34,$B31)+COUNTIF('3月'!CU4:CU34,$B31)+COUNTIF('3月'!CV4:CV34,$B31)+COUNTIF('3月'!CZ4:CZ34,$B31)+COUNTIF('3月'!DA4:DA34,$B31)+COUNTIF('3月'!DE4:DE34,$B31)+COUNTIF('3月'!DF4:DF34,$B31)+COUNTIF('3月'!DJ4:DJ34,$B31)+COUNTIF('3月'!DK4:DK34,$B31)+COUNTIF('3月'!DO4:DO34,$B31)+COUNTIF('3月'!DP4:DP34,$B31)+COUNTIF('3月'!DT4:DT34,$B31)+COUNTIF('3月'!DU4:DU34,$B31)+COUNTIF('3月'!DY4:DY34,$B31)+COUNTIF('3月'!DZ4:DZ34,$B31)+COUNTIF('3月'!ED4:ED34,$B31)+COUNTIF('3月'!EE4:EE34,$B31)+COUNTIF('3月'!EI4:EI34,$B31)+COUNTIF('3月'!EJ4:EJ34,$B31)+COUNTIF('3月'!EN4:EN34,$B31)+COUNTIF('3月'!EO4:EO34,$B31)+COUNTIF('3月'!ES4:ES34,$B31)+COUNTIF('3月'!ET4:ET34,$B31)),0)</f>
        <v>0</v>
      </c>
      <c r="F31" s="76">
        <f>IFERROR(IF($B31="","",COUNTIF('4月'!D4:D34,$B31)+COUNTIF('4月'!E4:E34,$B31)+COUNTIF('4月'!I4:I34,$B31)+COUNTIF('4月'!J4:J34,$B31)+COUNTIF('4月'!N4:N34,$B31)+COUNTIF('4月'!O4:O34,$B31)+COUNTIF('4月'!S4:S34,$B31)+COUNTIF('4月'!T4:T34,$B31)+COUNTIF('4月'!X4:X34,$B31)+COUNTIF('4月'!Y4:Y34,$B31)+COUNTIF('4月'!AC4:AC34,$B31)+COUNTIF('4月'!AD4:AD34,$B31)+COUNTIF('4月'!AH4:AH34,$B31)+COUNTIF('4月'!AI4:AI34,$B31)+COUNTIF('4月'!AM4:AM34,$B31)+COUNTIF('4月'!AN4:AN34,$B31)+COUNTIF('4月'!AR4:AR34,$B31)+COUNTIF('4月'!AS4:AS34,$B31)+COUNTIF('4月'!AW4:AW34,$B31)+COUNTIF('4月'!AX4:AX34,$B31)+COUNTIF('4月'!BB4:BB34,$B31)+COUNTIF('4月'!BC4:BC34,$B31)+COUNTIF('4月'!BG4:BG34,$B31)+COUNTIF('4月'!BH4:BH34,$B31)+COUNTIF('4月'!BL4:BL34,$B31)+COUNTIF('4月'!BM4:BM34,$B31)+COUNTIF('4月'!BQ4:BQ34,$B31)+COUNTIF('4月'!BR4:BR34,$B31)+COUNTIF('4月'!BV4:BV34,$B31)+COUNTIF('4月'!BW4:BW34,$B31)+COUNTIF('4月'!CA4:CA34,$B31)+COUNTIF('4月'!CB4:CB34,$B31)+COUNTIF('4月'!CF4:CF34,$B31)+COUNTIF('4月'!CG4:CG34,$B31)+COUNTIF('4月'!CK4:CK34,$B31)+COUNTIF('4月'!CL4:CL34,$B31)+COUNTIF('4月'!CP4:CP34,$B31)+COUNTIF('4月'!CQ4:CQ34,$B31)+COUNTIF('4月'!CU4:CU34,$B31)+COUNTIF('4月'!CV4:CV34,$B31)+COUNTIF('4月'!CZ4:CZ34,$B31)+COUNTIF('4月'!DA4:DA34,$B31)+COUNTIF('4月'!DE4:DE34,$B31)+COUNTIF('4月'!DF4:DF34,$B31)+COUNTIF('4月'!DJ4:DJ34,$B31)+COUNTIF('4月'!DK4:DK34,$B31)+COUNTIF('4月'!DO4:DO34,$B31)+COUNTIF('4月'!DP4:DP34,$B31)+COUNTIF('4月'!DT4:DT34,$B31)+COUNTIF('4月'!DU4:DU34,$B31)+COUNTIF('4月'!DY4:DY34,$B31)+COUNTIF('4月'!DZ4:DZ34,$B31)+COUNTIF('4月'!ED4:ED34,$B31)+COUNTIF('4月'!EE4:EE34,$B31)+COUNTIF('4月'!EI4:EI34,$B31)+COUNTIF('4月'!EJ4:EJ34,$B31)+COUNTIF('4月'!EN4:EN34,$B31)+COUNTIF('4月'!EO4:EO34,$B31)+COUNTIF('4月'!ES4:ES34,$B31)+COUNTIF('4月'!ET4:ET34,$B31)),0)</f>
        <v>0</v>
      </c>
      <c r="G31" s="76">
        <f>IFERROR(IF($B31="","",COUNTIF('5月'!D4:D34,$B31)+COUNTIF('5月'!E4:E34,$B31)+COUNTIF('5月'!I4:I34,$B31)+COUNTIF('5月'!J4:J34,$B31)+COUNTIF('5月'!N4:N34,$B31)+COUNTIF('5月'!O4:O34,$B31)+COUNTIF('5月'!S4:S34,$B31)+COUNTIF('5月'!T4:T34,$B31)+COUNTIF('5月'!X4:X34,$B31)+COUNTIF('5月'!Y4:Y34,$B31)+COUNTIF('5月'!AC4:AC34,$B31)+COUNTIF('5月'!AD4:AD34,$B31)+COUNTIF('5月'!AH4:AH34,$B31)+COUNTIF('5月'!AI4:AI34,$B31)+COUNTIF('5月'!AM4:AM34,$B31)+COUNTIF('5月'!AN4:AN34,$B31)+COUNTIF('5月'!AR4:AR34,$B31)+COUNTIF('5月'!AS4:AS34,$B31)+COUNTIF('5月'!AW4:AW34,$B31)+COUNTIF('5月'!AX4:AX34,$B31)+COUNTIF('5月'!BB4:BB34,$B31)+COUNTIF('5月'!BC4:BC34,$B31)+COUNTIF('5月'!BG4:BG34,$B31)+COUNTIF('5月'!BH4:BH34,$B31)+COUNTIF('5月'!BL4:BL34,$B31)+COUNTIF('5月'!BM4:BM34,$B31)+COUNTIF('5月'!BQ4:BQ34,$B31)+COUNTIF('5月'!BR4:BR34,$B31)+COUNTIF('5月'!BV4:BV34,$B31)+COUNTIF('5月'!BW4:BW34,$B31)+COUNTIF('5月'!CA4:CA34,$B31)+COUNTIF('5月'!CB4:CB34,$B31)+COUNTIF('5月'!CF4:CF34,$B31)+COUNTIF('5月'!CG4:CG34,$B31)+COUNTIF('5月'!CK4:CK34,$B31)+COUNTIF('5月'!CL4:CL34,$B31)+COUNTIF('5月'!CP4:CP34,$B31)+COUNTIF('5月'!CQ4:CQ34,$B31)+COUNTIF('5月'!CU4:CU34,$B31)+COUNTIF('5月'!CV4:CV34,$B31)+COUNTIF('5月'!CZ4:CZ34,$B31)+COUNTIF('5月'!DA4:DA34,$B31)+COUNTIF('5月'!DE4:DE34,$B31)+COUNTIF('5月'!DF4:DF34,$B31)+COUNTIF('5月'!DJ4:DJ34,$B31)+COUNTIF('5月'!DK4:DK34,$B31)+COUNTIF('5月'!DO4:DO34,$B31)+COUNTIF('5月'!DP4:DP34,$B31)+COUNTIF('5月'!DT4:DT34,$B31)+COUNTIF('5月'!DU4:DU34,$B31)+COUNTIF('5月'!DY4:DY34,$B31)+COUNTIF('5月'!DZ4:DZ34,$B31)+COUNTIF('5月'!ED4:ED34,$B31)+COUNTIF('5月'!EE4:EE34,$B31)+COUNTIF('5月'!EI4:EI34,$B31)+COUNTIF('5月'!EJ4:EJ34,$B31)+COUNTIF('5月'!EN4:EN34,$B31)+COUNTIF('5月'!EO4:EO34,$B31)+COUNTIF('5月'!ES4:ES34,$B31)+COUNTIF('5月'!ET4:ET34,$B31)),0)</f>
        <v>0</v>
      </c>
      <c r="H31" s="76">
        <f>IFERROR(IF($B31="","",COUNTIF('6月'!D4:D34,$B31)+COUNTIF('6月'!E4:E34,$B31)+COUNTIF('6月'!I4:I34,$B31)+COUNTIF('6月'!J4:J34,$B31)+COUNTIF('6月'!N4:N34,$B31)+COUNTIF('6月'!O4:O34,$B31)+COUNTIF('6月'!S4:S34,$B31)+COUNTIF('6月'!T4:T34,$B31)+COUNTIF('6月'!X4:X34,$B31)+COUNTIF('6月'!Y4:Y34,$B31)+COUNTIF('6月'!AC4:AC34,$B31)+COUNTIF('6月'!AD4:AD34,$B31)+COUNTIF('6月'!AH4:AH34,$B31)+COUNTIF('6月'!AI4:AI34,$B31)+COUNTIF('6月'!AM4:AM34,$B31)+COUNTIF('6月'!AN4:AN34,$B31)+COUNTIF('6月'!AR4:AR34,$B31)+COUNTIF('6月'!AS4:AS34,$B31)+COUNTIF('6月'!AW4:AW34,$B31)+COUNTIF('6月'!AX4:AX34,$B31)+COUNTIF('6月'!BB4:BB34,$B31)+COUNTIF('6月'!BC4:BC34,$B31)+COUNTIF('6月'!BG4:BG34,$B31)+COUNTIF('6月'!BH4:BH34,$B31)+COUNTIF('6月'!BL4:BL34,$B31)+COUNTIF('6月'!BM4:BM34,$B31)+COUNTIF('6月'!BQ4:BQ34,$B31)+COUNTIF('6月'!BR4:BR34,$B31)+COUNTIF('6月'!BV4:BV34,$B31)+COUNTIF('6月'!BW4:BW34,$B31)+COUNTIF('6月'!CA4:CA34,$B31)+COUNTIF('6月'!CB4:CB34,$B31)+COUNTIF('6月'!CF4:CF34,$B31)+COUNTIF('6月'!CG4:CG34,$B31)+COUNTIF('6月'!CK4:CK34,$B31)+COUNTIF('6月'!CL4:CL34,$B31)+COUNTIF('6月'!CP4:CP34,$B31)+COUNTIF('6月'!CQ4:CQ34,$B31)+COUNTIF('6月'!CU4:CU34,$B31)+COUNTIF('6月'!CV4:CV34,$B31)+COUNTIF('6月'!CZ4:CZ34,$B31)+COUNTIF('6月'!DA4:DA34,$B31)+COUNTIF('6月'!DE4:DE34,$B31)+COUNTIF('6月'!DF4:DF34,$B31)+COUNTIF('6月'!DJ4:DJ34,$B31)+COUNTIF('6月'!DK4:DK34,$B31)+COUNTIF('6月'!DO4:DO34,$B31)+COUNTIF('6月'!DP4:DP34,$B31)+COUNTIF('6月'!DT4:DT34,$B31)+COUNTIF('6月'!DU4:DU34,$B31)+COUNTIF('6月'!DY4:DY34,$B31)+COUNTIF('6月'!DZ4:DZ34,$B31)+COUNTIF('6月'!ED4:ED34,$B31)+COUNTIF('6月'!EE4:EE34,$B31)+COUNTIF('6月'!EI4:EI34,$B31)+COUNTIF('6月'!EJ4:EJ34,$B31)+COUNTIF('6月'!EN4:EN34,$B31)+COUNTIF('6月'!EO4:EO34,$B31)+COUNTIF('6月'!ES4:ES34,$B31)+COUNTIF('6月'!ET4:ET34,$B31)),0)</f>
        <v>0</v>
      </c>
      <c r="I31" s="76">
        <f>IFERROR(IF($B31="","",COUNTIF('7月'!D4:D34,$B31)+COUNTIF('7月'!E4:E34,$B31)+COUNTIF('7月'!I4:I34,$B31)+COUNTIF('7月'!J4:J34,$B31)+COUNTIF('7月'!N4:N34,$B31)+COUNTIF('7月'!O4:O34,$B31)+COUNTIF('7月'!S4:S34,$B31)+COUNTIF('7月'!T4:T34,$B31)+COUNTIF('7月'!X4:X34,$B31)+COUNTIF('7月'!Y4:Y34,$B31)+COUNTIF('7月'!AC4:AC34,$B31)+COUNTIF('7月'!AD4:AD34,$B31)+COUNTIF('7月'!AH4:AH34,$B31)+COUNTIF('7月'!AI4:AI34,$B31)+COUNTIF('7月'!AM4:AM34,$B31)+COUNTIF('7月'!AN4:AN34,$B31)+COUNTIF('7月'!AR4:AR34,$B31)+COUNTIF('7月'!AS4:AS34,$B31)+COUNTIF('7月'!AW4:AW34,$B31)+COUNTIF('7月'!AX4:AX34,$B31)+COUNTIF('7月'!BB4:BB34,$B31)+COUNTIF('7月'!BC4:BC34,$B31)+COUNTIF('7月'!BG4:BG34,$B31)+COUNTIF('7月'!BH4:BH34,$B31)+COUNTIF('7月'!BL4:BL34,$B31)+COUNTIF('7月'!BM4:BM34,$B31)+COUNTIF('7月'!BQ4:BQ34,$B31)+COUNTIF('7月'!BR4:BR34,$B31)+COUNTIF('7月'!BV4:BV34,$B31)+COUNTIF('7月'!BW4:BW34,$B31)+COUNTIF('7月'!CA4:CA34,$B31)+COUNTIF('7月'!CB4:CB34,$B31)+COUNTIF('7月'!CF4:CF34,$B31)+COUNTIF('7月'!CG4:CG34,$B31)+COUNTIF('7月'!CK4:CK34,$B31)+COUNTIF('7月'!CL4:CL34,$B31)+COUNTIF('7月'!CP4:CP34,$B31)+COUNTIF('7月'!CQ4:CQ34,$B31)+COUNTIF('7月'!CU4:CU34,$B31)+COUNTIF('7月'!CV4:CV34,$B31)+COUNTIF('7月'!CZ4:CZ34,$B31)+COUNTIF('7月'!DA4:DA34,$B31)+COUNTIF('7月'!DE4:DE34,$B31)+COUNTIF('7月'!DF4:DF34,$B31)+COUNTIF('7月'!DJ4:DJ34,$B31)+COUNTIF('7月'!DK4:DK34,$B31)+COUNTIF('7月'!DO4:DO34,$B31)+COUNTIF('7月'!DP4:DP34,$B31)+COUNTIF('7月'!DT4:DT34,$B31)+COUNTIF('7月'!DU4:DU34,$B31)+COUNTIF('7月'!DY4:DY34,$B31)+COUNTIF('7月'!DZ4:DZ34,$B31)+COUNTIF('7月'!ED4:ED34,$B31)+COUNTIF('7月'!EE4:EE34,$B31)+COUNTIF('7月'!EI4:EI34,$B31)+COUNTIF('7月'!EJ4:EJ34,$B31)+COUNTIF('7月'!EN4:EN34,$B31)+COUNTIF('7月'!EO4:EO34,$B31)+COUNTIF('7月'!ES4:ES34,$B31)+COUNTIF('7月'!ET4:ET34,$B31)),0)</f>
        <v>0</v>
      </c>
      <c r="J31" s="76">
        <f>IFERROR(IF($B31="","",COUNTIF('8月'!D4:D34,$B31)+COUNTIF('8月'!E4:E34,$B31)+COUNTIF('8月'!I4:I34,$B31)+COUNTIF('8月'!J4:J34,$B31)+COUNTIF('8月'!N4:N34,$B31)+COUNTIF('8月'!O4:O34,$B31)+COUNTIF('8月'!S4:S34,$B31)+COUNTIF('8月'!T4:T34,$B31)+COUNTIF('8月'!X4:X34,$B31)+COUNTIF('8月'!Y4:Y34,$B31)+COUNTIF('8月'!AC4:AC34,$B31)+COUNTIF('8月'!AD4:AD34,$B31)+COUNTIF('8月'!AH4:AH34,$B31)+COUNTIF('8月'!AI4:AI34,$B31)+COUNTIF('8月'!AM4:AM34,$B31)+COUNTIF('8月'!AN4:AN34,$B31)+COUNTIF('8月'!AR4:AR34,$B31)+COUNTIF('8月'!AS4:AS34,$B31)+COUNTIF('8月'!AW4:AW34,$B31)+COUNTIF('8月'!AX4:AX34,$B31)+COUNTIF('8月'!BB4:BB34,$B31)+COUNTIF('8月'!BC4:BC34,$B31)+COUNTIF('8月'!BG4:BG34,$B31)+COUNTIF('8月'!BH4:BH34,$B31)+COUNTIF('8月'!BL4:BL34,$B31)+COUNTIF('8月'!BM4:BM34,$B31)+COUNTIF('8月'!BQ4:BQ34,$B31)+COUNTIF('8月'!BR4:BR34,$B31)+COUNTIF('8月'!BV4:BV34,$B31)+COUNTIF('8月'!BW4:BW34,$B31)+COUNTIF('8月'!CA4:CA34,$B31)+COUNTIF('8月'!CB4:CB34,$B31)+COUNTIF('8月'!CF4:CF34,$B31)+COUNTIF('8月'!CG4:CG34,$B31)+COUNTIF('8月'!CK4:CK34,$B31)+COUNTIF('8月'!CL4:CL34,$B31)+COUNTIF('8月'!CP4:CP34,$B31)+COUNTIF('8月'!CQ4:CQ34,$B31)+COUNTIF('8月'!CU4:CU34,$B31)+COUNTIF('8月'!CV4:CV34,$B31)+COUNTIF('8月'!CZ4:CZ34,$B31)+COUNTIF('8月'!DA4:DA34,$B31)+COUNTIF('8月'!DE4:DE34,$B31)+COUNTIF('8月'!DF4:DF34,$B31)+COUNTIF('8月'!DJ4:DJ34,$B31)+COUNTIF('8月'!DK4:DK34,$B31)+COUNTIF('8月'!DO4:DO34,$B31)+COUNTIF('8月'!DP4:DP34,$B31)+COUNTIF('8月'!DT4:DT34,$B31)+COUNTIF('8月'!DU4:DU34,$B31)+COUNTIF('8月'!DY4:DY34,$B31)+COUNTIF('8月'!DZ4:DZ34,$B31)+COUNTIF('8月'!ED4:ED34,$B31)+COUNTIF('8月'!EE4:EE34,$B31)+COUNTIF('8月'!EI4:EI34,$B31)+COUNTIF('8月'!EJ4:EJ34,$B31)+COUNTIF('8月'!EN4:EN34,$B31)+COUNTIF('8月'!EO4:EO34,$B31)+COUNTIF('8月'!ES4:ES34,$B31)+COUNTIF('8月'!ET4:ET34,$B31)),0)</f>
        <v>0</v>
      </c>
      <c r="K31" s="76">
        <f>IFERROR(IF($B31="","",COUNTIF('9月'!D4:D34,$B31)+COUNTIF('9月'!E4:E34,$B31)+COUNTIF('9月'!I4:I34,$B31)+COUNTIF('9月'!J4:J34,$B31)+COUNTIF('9月'!N4:N34,$B31)+COUNTIF('9月'!O4:O34,$B31)+COUNTIF('9月'!S4:S34,$B31)+COUNTIF('9月'!T4:T34,$B31)+COUNTIF('9月'!X4:X34,$B31)+COUNTIF('9月'!Y4:Y34,$B31)+COUNTIF('9月'!AC4:AC34,$B31)+COUNTIF('9月'!AD4:AD34,$B31)+COUNTIF('9月'!AH4:AH34,$B31)+COUNTIF('9月'!AI4:AI34,$B31)+COUNTIF('9月'!AM4:AM34,$B31)+COUNTIF('9月'!AN4:AN34,$B31)+COUNTIF('9月'!AR4:AR34,$B31)+COUNTIF('9月'!AS4:AS34,$B31)+COUNTIF('9月'!AW4:AW34,$B31)+COUNTIF('9月'!AX4:AX34,$B31)+COUNTIF('9月'!BB4:BB34,$B31)+COUNTIF('9月'!BC4:BC34,$B31)+COUNTIF('9月'!BG4:BG34,$B31)+COUNTIF('9月'!BH4:BH34,$B31)+COUNTIF('9月'!BL4:BL34,$B31)+COUNTIF('9月'!BM4:BM34,$B31)+COUNTIF('9月'!BQ4:BQ34,$B31)+COUNTIF('9月'!BR4:BR34,$B31)+COUNTIF('9月'!BV4:BV34,$B31)+COUNTIF('9月'!BW4:BW34,$B31)+COUNTIF('9月'!CA4:CA34,$B31)+COUNTIF('9月'!CB4:CB34,$B31)+COUNTIF('9月'!CF4:CF34,$B31)+COUNTIF('9月'!CG4:CG34,$B31)+COUNTIF('9月'!CK4:CK34,$B31)+COUNTIF('9月'!CL4:CL34,$B31)+COUNTIF('9月'!CP4:CP34,$B31)+COUNTIF('9月'!CQ4:CQ34,$B31)+COUNTIF('9月'!CU4:CU34,$B31)+COUNTIF('9月'!CV4:CV34,$B31)+COUNTIF('9月'!CZ4:CZ34,$B31)+COUNTIF('9月'!DA4:DA34,$B31)+COUNTIF('9月'!DE4:DE34,$B31)+COUNTIF('9月'!DF4:DF34,$B31)+COUNTIF('9月'!DJ4:DJ34,$B31)+COUNTIF('9月'!DK4:DK34,$B31)+COUNTIF('9月'!DO4:DO34,$B31)+COUNTIF('9月'!DP4:DP34,$B31)+COUNTIF('9月'!DT4:DT34,$B31)+COUNTIF('9月'!DU4:DU34,$B31)+COUNTIF('9月'!DY4:DY34,$B31)+COUNTIF('9月'!DZ4:DZ34,$B31)+COUNTIF('9月'!ED4:ED34,$B31)+COUNTIF('9月'!EE4:EE34,$B31)+COUNTIF('9月'!EI4:EI34,$B31)+COUNTIF('9月'!EJ4:EJ34,$B31)+COUNTIF('9月'!EN4:EN34,$B31)+COUNTIF('9月'!EO4:EO34,$B31)+COUNTIF('9月'!ES4:ES34,$B31)+COUNTIF('9月'!ET4:ET34,$B31)),0)</f>
        <v>0</v>
      </c>
      <c r="L31" s="76">
        <f>IFERROR(IF($B31="","",COUNTIF('10月'!D4:D34,$B31)+COUNTIF('10月'!E4:E34,$B31)+COUNTIF('10月'!I4:I34,$B31)+COUNTIF('10月'!J4:J34,$B31)+COUNTIF('10月'!N4:N34,$B31)+COUNTIF('10月'!O4:O34,$B31)+COUNTIF('10月'!S4:S34,$B31)+COUNTIF('10月'!T4:T34,$B31)+COUNTIF('10月'!X4:X34,$B31)+COUNTIF('10月'!Y4:Y34,$B31)+COUNTIF('10月'!AC4:AC34,$B31)+COUNTIF('10月'!AD4:AD34,$B31)+COUNTIF('10月'!AH4:AH34,$B31)+COUNTIF('10月'!AI4:AI34,$B31)+COUNTIF('10月'!AM4:AM34,$B31)+COUNTIF('10月'!AN4:AN34,$B31)+COUNTIF('10月'!AR4:AR34,$B31)+COUNTIF('10月'!AS4:AS34,$B31)+COUNTIF('10月'!AW4:AW34,$B31)+COUNTIF('10月'!AX4:AX34,$B31)+COUNTIF('10月'!BB4:BB34,$B31)+COUNTIF('10月'!BC4:BC34,$B31)+COUNTIF('10月'!BG4:BG34,$B31)+COUNTIF('10月'!BH4:BH34,$B31)+COUNTIF('10月'!BL4:BL34,$B31)+COUNTIF('10月'!BM4:BM34,$B31)+COUNTIF('10月'!BQ4:BQ34,$B31)+COUNTIF('10月'!BR4:BR34,$B31)+COUNTIF('10月'!BV4:BV34,$B31)+COUNTIF('10月'!BW4:BW34,$B31)+COUNTIF('10月'!CA4:CA34,$B31)+COUNTIF('10月'!CB4:CB34,$B31)+COUNTIF('10月'!CF4:CF34,$B31)+COUNTIF('10月'!CG4:CG34,$B31)+COUNTIF('10月'!CK4:CK34,$B31)+COUNTIF('10月'!CL4:CL34,$B31)+COUNTIF('10月'!CP4:CP34,$B31)+COUNTIF('10月'!CQ4:CQ34,$B31)+COUNTIF('10月'!CU4:CU34,$B31)+COUNTIF('10月'!CV4:CV34,$B31)+COUNTIF('10月'!CZ4:CZ34,$B31)+COUNTIF('10月'!DA4:DA34,$B31)+COUNTIF('10月'!DE4:DE34,$B31)+COUNTIF('10月'!DF4:DF34,$B31)+COUNTIF('10月'!DJ4:DJ34,$B31)+COUNTIF('10月'!DK4:DK34,$B31)+COUNTIF('10月'!DO4:DO34,$B31)+COUNTIF('10月'!DP4:DP34,$B31)+COUNTIF('10月'!DT4:DT34,$B31)+COUNTIF('10月'!DU4:DU34,$B31)+COUNTIF('10月'!DY4:DY34,$B31)+COUNTIF('10月'!DZ4:DZ34,$B31)+COUNTIF('10月'!ED4:ED34,$B31)+COUNTIF('10月'!EE4:EE34,$B31)+COUNTIF('10月'!EI4:EI34,$B31)+COUNTIF('10月'!EJ4:EJ34,$B31)+COUNTIF('10月'!EN4:EN34,$B31)+COUNTIF('10月'!EO4:EO34,$B31)+COUNTIF('10月'!ES4:ES34,$B31)+COUNTIF('10月'!ET4:ET34,$B31)),0)</f>
        <v>0</v>
      </c>
      <c r="M31" s="76">
        <f>IFERROR(IF($B31="","",COUNTIF('11月'!D4:D34,$B31)+COUNTIF('11月'!E4:E34,$B31)+COUNTIF('11月'!I4:I34,$B31)+COUNTIF('11月'!J4:J34,$B31)+COUNTIF('11月'!N4:N34,$B31)+COUNTIF('11月'!O4:O34,$B31)+COUNTIF('11月'!S4:S34,$B31)+COUNTIF('11月'!T4:T34,$B31)+COUNTIF('11月'!X4:X34,$B31)+COUNTIF('11月'!Y4:Y34,$B31)+COUNTIF('11月'!AC4:AC34,$B31)+COUNTIF('11月'!AD4:AD34,$B31)+COUNTIF('11月'!AH4:AH34,$B31)+COUNTIF('11月'!AI4:AI34,$B31)+COUNTIF('11月'!AM4:AM34,$B31)+COUNTIF('11月'!AN4:AN34,$B31)+COUNTIF('11月'!AR4:AR34,$B31)+COUNTIF('11月'!AS4:AS34,$B31)+COUNTIF('11月'!AW4:AW34,$B31)+COUNTIF('11月'!AX4:AX34,$B31)+COUNTIF('11月'!BB4:BB34,$B31)+COUNTIF('11月'!BC4:BC34,$B31)+COUNTIF('11月'!BG4:BG34,$B31)+COUNTIF('11月'!BH4:BH34,$B31)+COUNTIF('11月'!BL4:BL34,$B31)+COUNTIF('11月'!BM4:BM34,$B31)+COUNTIF('11月'!BQ4:BQ34,$B31)+COUNTIF('11月'!BR4:BR34,$B31)+COUNTIF('11月'!BV4:BV34,$B31)+COUNTIF('11月'!BW4:BW34,$B31)+COUNTIF('11月'!CA4:CA34,$B31)+COUNTIF('11月'!CB4:CB34,$B31)+COUNTIF('11月'!CF4:CF34,$B31)+COUNTIF('11月'!CG4:CG34,$B31)+COUNTIF('11月'!CK4:CK34,$B31)+COUNTIF('11月'!CL4:CL34,$B31)+COUNTIF('11月'!CP4:CP34,$B31)+COUNTIF('11月'!CQ4:CQ34,$B31)+COUNTIF('11月'!CU4:CU34,$B31)+COUNTIF('11月'!CV4:CV34,$B31)+COUNTIF('11月'!CZ4:CZ34,$B31)+COUNTIF('11月'!DA4:DA34,$B31)+COUNTIF('11月'!DE4:DE34,$B31)+COUNTIF('11月'!DF4:DF34,$B31)+COUNTIF('11月'!DJ4:DJ34,$B31)+COUNTIF('11月'!DK4:DK34,$B31)+COUNTIF('11月'!DO4:DO34,$B31)+COUNTIF('11月'!DP4:DP34,$B31)+COUNTIF('11月'!DT4:DT34,$B31)+COUNTIF('11月'!DU4:DU34,$B31)+COUNTIF('11月'!DY4:DY34,$B31)+COUNTIF('11月'!DZ4:DZ34,$B31)+COUNTIF('11月'!ED4:ED34,$B31)+COUNTIF('11月'!EE4:EE34,$B31)+COUNTIF('11月'!EI4:EI34,$B31)+COUNTIF('11月'!EJ4:EJ34,$B31)+COUNTIF('11月'!EN4:EN34,$B31)+COUNTIF('11月'!EO4:EO34,$B31)+COUNTIF('11月'!ES4:ES34,$B31)+COUNTIF('11月'!ET4:ET34,$B31)),0)</f>
        <v>0</v>
      </c>
      <c r="N31" s="76">
        <f>IFERROR(IF($B31="","",COUNTIF('12月'!D4:D34,$B31)+COUNTIF('12月'!E4:E34,$B31)+COUNTIF('12月'!I4:I34,$B31)+COUNTIF('12月'!J4:J34,$B31)+COUNTIF('12月'!N4:N34,$B31)+COUNTIF('12月'!O4:O34,$B31)+COUNTIF('12月'!S4:S34,$B31)+COUNTIF('12月'!T4:T34,$B31)+COUNTIF('12月'!X4:X34,$B31)+COUNTIF('12月'!Y4:Y34,$B31)+COUNTIF('12月'!AC4:AC34,$B31)+COUNTIF('12月'!AD4:AD34,$B31)+COUNTIF('12月'!AH4:AH34,$B31)+COUNTIF('12月'!AI4:AI34,$B31)+COUNTIF('12月'!AM4:AM34,$B31)+COUNTIF('12月'!AN4:AN34,$B31)+COUNTIF('12月'!AR4:AR34,$B31)+COUNTIF('12月'!AS4:AS34,$B31)+COUNTIF('12月'!AW4:AW34,$B31)+COUNTIF('12月'!AX4:AX34,$B31)+COUNTIF('12月'!BB4:BB34,$B31)+COUNTIF('12月'!BC4:BC34,$B31)+COUNTIF('12月'!BG4:BG34,$B31)+COUNTIF('12月'!BH4:BH34,$B31)+COUNTIF('12月'!BL4:BL34,$B31)+COUNTIF('12月'!BM4:BM34,$B31)+COUNTIF('12月'!BQ4:BQ34,$B31)+COUNTIF('12月'!BR4:BR34,$B31)+COUNTIF('12月'!BV4:BV34,$B31)+COUNTIF('12月'!BW4:BW34,$B31)+COUNTIF('12月'!CA4:CA34,$B31)+COUNTIF('12月'!CB4:CB34,$B31)+COUNTIF('12月'!CF4:CF34,$B31)+COUNTIF('12月'!CG4:CG34,$B31)+COUNTIF('12月'!CK4:CK34,$B31)+COUNTIF('12月'!CL4:CL34,$B31)+COUNTIF('12月'!CP4:CP34,$B31)+COUNTIF('12月'!CQ4:CQ34,$B31)+COUNTIF('12月'!CU4:CU34,$B31)+COUNTIF('12月'!CV4:CV34,$B31)+COUNTIF('12月'!CZ4:CZ34,$B31)+COUNTIF('12月'!DA4:DA34,$B31)+COUNTIF('12月'!DE4:DE34,$B31)+COUNTIF('12月'!DF4:DF34,$B31)+COUNTIF('12月'!DJ4:DJ34,$B31)+COUNTIF('12月'!DK4:DK34,$B31)+COUNTIF('12月'!DO4:DO34,$B31)+COUNTIF('12月'!DP4:DP34,$B31)+COUNTIF('12月'!DT4:DT34,$B31)+COUNTIF('12月'!DU4:DU34,$B31)+COUNTIF('12月'!DY4:DY34,$B31)+COUNTIF('12月'!DZ4:DZ34,$B31)+COUNTIF('12月'!ED4:ED34,$B31)+COUNTIF('12月'!EE4:EE34,$B31)+COUNTIF('12月'!EI4:EI34,$B31)+COUNTIF('12月'!EJ4:EJ34,$B31)+COUNTIF('12月'!EN4:EN34,$B31)+COUNTIF('12月'!EO4:EO34,$B31)+COUNTIF('12月'!ES4:ES34,$B31)+COUNTIF('12月'!ET4:ET34,$B31)),0)</f>
        <v>0</v>
      </c>
      <c r="O31" s="78">
        <f t="shared" si="0"/>
        <v>0</v>
      </c>
    </row>
    <row r="32" spans="1:15" ht="19.5" customHeight="1">
      <c r="A32" s="76">
        <v>30</v>
      </c>
      <c r="B32" s="77">
        <f>IFERROR(現場マスタ!$C$33,"")</f>
        <v>0</v>
      </c>
      <c r="C32" s="76">
        <f>IFERROR(IF($B32="","",COUNTIF('1月'!D4:D34,$B32)+COUNTIF('1月'!E4:E34,$B32)+COUNTIF('1月'!I4:I34,$B32)+COUNTIF('1月'!J4:J34,$B32)+COUNTIF('1月'!N4:N34,$B32)+COUNTIF('1月'!O4:O34,$B32)+COUNTIF('1月'!S4:S34,$B32)+COUNTIF('1月'!T4:T34,$B32)+COUNTIF('1月'!X4:X34,$B32)+COUNTIF('1月'!Y4:Y34,$B32)+COUNTIF('1月'!AC4:AC34,$B32)+COUNTIF('1月'!AD4:AD34,$B32)+COUNTIF('1月'!AH4:AH34,$B32)+COUNTIF('1月'!AI4:AI34,$B32)+COUNTIF('1月'!AM4:AM34,$B32)+COUNTIF('1月'!AN4:AN34,$B32)+COUNTIF('1月'!AR4:AR34,$B32)+COUNTIF('1月'!AS4:AS34,$B32)+COUNTIF('1月'!AW4:AW34,$B32)+COUNTIF('1月'!AX4:AX34,$B32)+COUNTIF('1月'!BB4:BB34,$B32)+COUNTIF('1月'!BC4:BC34,$B32)+COUNTIF('1月'!BG4:BG34,$B32)+COUNTIF('1月'!BH4:BH34,$B32)+COUNTIF('1月'!BL4:BL34,$B32)+COUNTIF('1月'!BM4:BM34,$B32)+COUNTIF('1月'!BQ4:BQ34,$B32)+COUNTIF('1月'!BR4:BR34,$B32)+COUNTIF('1月'!BV4:BV34,$B32)+COUNTIF('1月'!BW4:BW34,$B32)+COUNTIF('1月'!CA4:CA34,$B32)+COUNTIF('1月'!CB4:CB34,$B32)+COUNTIF('1月'!CF4:CF34,$B32)+COUNTIF('1月'!CG4:CG34,$B32)+COUNTIF('1月'!CK4:CK34,$B32)+COUNTIF('1月'!CL4:CL34,$B32)+COUNTIF('1月'!CP4:CP34,$B32)+COUNTIF('1月'!CQ4:CQ34,$B32)+COUNTIF('1月'!CU4:CU34,$B32)+COUNTIF('1月'!CV4:CV34,$B32)+COUNTIF('1月'!CZ4:CZ34,$B32)+COUNTIF('1月'!DA4:DA34,$B32)+COUNTIF('1月'!DE4:DE34,$B32)+COUNTIF('1月'!DF4:DF34,$B32)+COUNTIF('1月'!DJ4:DJ34,$B32)+COUNTIF('1月'!DK4:DK34,$B32)+COUNTIF('1月'!DO4:DO34,$B32)+COUNTIF('1月'!DP4:DP34,$B32)+COUNTIF('1月'!DT4:DT34,$B32)+COUNTIF('1月'!DU4:DU34,$B32)+COUNTIF('1月'!DY4:DY34,$B32)+COUNTIF('1月'!DZ4:DZ34,$B32)+COUNTIF('1月'!ED4:ED34,$B32)+COUNTIF('1月'!EE4:EE34,$B32)+COUNTIF('1月'!EI4:EI34,$B32)+COUNTIF('1月'!EJ4:EJ34,$B32)+COUNTIF('1月'!EN4:EN34,$B32)+COUNTIF('1月'!EO4:EO34,$B32)+COUNTIF('1月'!ES4:ES34,$B32)+COUNTIF('1月'!ET4:ET34,$B32)),0)</f>
        <v>0</v>
      </c>
      <c r="D32" s="76">
        <f>IFERROR(IF($B32="","",COUNTIF('2月'!D4:D34,$B32)+COUNTIF('2月'!E4:E34,$B32)+COUNTIF('2月'!I4:I34,$B32)+COUNTIF('2月'!J4:J34,$B32)+COUNTIF('2月'!N4:N34,$B32)+COUNTIF('2月'!O4:O34,$B32)+COUNTIF('2月'!S4:S34,$B32)+COUNTIF('2月'!T4:T34,$B32)+COUNTIF('2月'!X4:X34,$B32)+COUNTIF('2月'!Y4:Y34,$B32)+COUNTIF('2月'!AC4:AC34,$B32)+COUNTIF('2月'!AD4:AD34,$B32)+COUNTIF('2月'!AH4:AH34,$B32)+COUNTIF('2月'!AI4:AI34,$B32)+COUNTIF('2月'!AM4:AM34,$B32)+COUNTIF('2月'!AN4:AN34,$B32)+COUNTIF('2月'!AR4:AR34,$B32)+COUNTIF('2月'!AS4:AS34,$B32)+COUNTIF('2月'!AW4:AW34,$B32)+COUNTIF('2月'!AX4:AX34,$B32)+COUNTIF('2月'!BB4:BB34,$B32)+COUNTIF('2月'!BC4:BC34,$B32)+COUNTIF('2月'!BG4:BG34,$B32)+COUNTIF('2月'!BH4:BH34,$B32)+COUNTIF('2月'!BL4:BL34,$B32)+COUNTIF('2月'!BM4:BM34,$B32)+COUNTIF('2月'!BQ4:BQ34,$B32)+COUNTIF('2月'!BR4:BR34,$B32)+COUNTIF('2月'!BV4:BV34,$B32)+COUNTIF('2月'!BW4:BW34,$B32)+COUNTIF('2月'!CA4:CA34,$B32)+COUNTIF('2月'!CB4:CB34,$B32)+COUNTIF('2月'!CF4:CF34,$B32)+COUNTIF('2月'!CG4:CG34,$B32)+COUNTIF('2月'!CK4:CK34,$B32)+COUNTIF('2月'!CL4:CL34,$B32)+COUNTIF('2月'!CP4:CP34,$B32)+COUNTIF('2月'!CQ4:CQ34,$B32)+COUNTIF('2月'!CU4:CU34,$B32)+COUNTIF('2月'!CV4:CV34,$B32)+COUNTIF('2月'!CZ4:CZ34,$B32)+COUNTIF('2月'!DA4:DA34,$B32)+COUNTIF('2月'!DE4:DE34,$B32)+COUNTIF('2月'!DF4:DF34,$B32)+COUNTIF('2月'!DJ4:DJ34,$B32)+COUNTIF('2月'!DK4:DK34,$B32)+COUNTIF('2月'!DO4:DO34,$B32)+COUNTIF('2月'!DP4:DP34,$B32)+COUNTIF('2月'!DT4:DT34,$B32)+COUNTIF('2月'!DU4:DU34,$B32)+COUNTIF('2月'!DY4:DY34,$B32)+COUNTIF('2月'!DZ4:DZ34,$B32)+COUNTIF('2月'!ED4:ED34,$B32)+COUNTIF('2月'!EE4:EE34,$B32)+COUNTIF('2月'!EI4:EI34,$B32)+COUNTIF('2月'!EJ4:EJ34,$B32)+COUNTIF('2月'!EN4:EN34,$B32)+COUNTIF('2月'!EO4:EO34,$B32)+COUNTIF('2月'!ES4:ES34,$B32)+COUNTIF('2月'!ET4:ET34,$B32)),0)</f>
        <v>0</v>
      </c>
      <c r="E32" s="76">
        <f>IFERROR(IF($B32="","",COUNTIF('3月'!D4:D34,$B32)+COUNTIF('3月'!E4:E34,$B32)+COUNTIF('3月'!I4:I34,$B32)+COUNTIF('3月'!J4:J34,$B32)+COUNTIF('3月'!N4:N34,$B32)+COUNTIF('3月'!O4:O34,$B32)+COUNTIF('3月'!S4:S34,$B32)+COUNTIF('3月'!T4:T34,$B32)+COUNTIF('3月'!X4:X34,$B32)+COUNTIF('3月'!Y4:Y34,$B32)+COUNTIF('3月'!AC4:AC34,$B32)+COUNTIF('3月'!AD4:AD34,$B32)+COUNTIF('3月'!AH4:AH34,$B32)+COUNTIF('3月'!AI4:AI34,$B32)+COUNTIF('3月'!AM4:AM34,$B32)+COUNTIF('3月'!AN4:AN34,$B32)+COUNTIF('3月'!AR4:AR34,$B32)+COUNTIF('3月'!AS4:AS34,$B32)+COUNTIF('3月'!AW4:AW34,$B32)+COUNTIF('3月'!AX4:AX34,$B32)+COUNTIF('3月'!BB4:BB34,$B32)+COUNTIF('3月'!BC4:BC34,$B32)+COUNTIF('3月'!BG4:BG34,$B32)+COUNTIF('3月'!BH4:BH34,$B32)+COUNTIF('3月'!BL4:BL34,$B32)+COUNTIF('3月'!BM4:BM34,$B32)+COUNTIF('3月'!BQ4:BQ34,$B32)+COUNTIF('3月'!BR4:BR34,$B32)+COUNTIF('3月'!BV4:BV34,$B32)+COUNTIF('3月'!BW4:BW34,$B32)+COUNTIF('3月'!CA4:CA34,$B32)+COUNTIF('3月'!CB4:CB34,$B32)+COUNTIF('3月'!CF4:CF34,$B32)+COUNTIF('3月'!CG4:CG34,$B32)+COUNTIF('3月'!CK4:CK34,$B32)+COUNTIF('3月'!CL4:CL34,$B32)+COUNTIF('3月'!CP4:CP34,$B32)+COUNTIF('3月'!CQ4:CQ34,$B32)+COUNTIF('3月'!CU4:CU34,$B32)+COUNTIF('3月'!CV4:CV34,$B32)+COUNTIF('3月'!CZ4:CZ34,$B32)+COUNTIF('3月'!DA4:DA34,$B32)+COUNTIF('3月'!DE4:DE34,$B32)+COUNTIF('3月'!DF4:DF34,$B32)+COUNTIF('3月'!DJ4:DJ34,$B32)+COUNTIF('3月'!DK4:DK34,$B32)+COUNTIF('3月'!DO4:DO34,$B32)+COUNTIF('3月'!DP4:DP34,$B32)+COUNTIF('3月'!DT4:DT34,$B32)+COUNTIF('3月'!DU4:DU34,$B32)+COUNTIF('3月'!DY4:DY34,$B32)+COUNTIF('3月'!DZ4:DZ34,$B32)+COUNTIF('3月'!ED4:ED34,$B32)+COUNTIF('3月'!EE4:EE34,$B32)+COUNTIF('3月'!EI4:EI34,$B32)+COUNTIF('3月'!EJ4:EJ34,$B32)+COUNTIF('3月'!EN4:EN34,$B32)+COUNTIF('3月'!EO4:EO34,$B32)+COUNTIF('3月'!ES4:ES34,$B32)+COUNTIF('3月'!ET4:ET34,$B32)),0)</f>
        <v>0</v>
      </c>
      <c r="F32" s="76">
        <f>IFERROR(IF($B32="","",COUNTIF('4月'!D4:D34,$B32)+COUNTIF('4月'!E4:E34,$B32)+COUNTIF('4月'!I4:I34,$B32)+COUNTIF('4月'!J4:J34,$B32)+COUNTIF('4月'!N4:N34,$B32)+COUNTIF('4月'!O4:O34,$B32)+COUNTIF('4月'!S4:S34,$B32)+COUNTIF('4月'!T4:T34,$B32)+COUNTIF('4月'!X4:X34,$B32)+COUNTIF('4月'!Y4:Y34,$B32)+COUNTIF('4月'!AC4:AC34,$B32)+COUNTIF('4月'!AD4:AD34,$B32)+COUNTIF('4月'!AH4:AH34,$B32)+COUNTIF('4月'!AI4:AI34,$B32)+COUNTIF('4月'!AM4:AM34,$B32)+COUNTIF('4月'!AN4:AN34,$B32)+COUNTIF('4月'!AR4:AR34,$B32)+COUNTIF('4月'!AS4:AS34,$B32)+COUNTIF('4月'!AW4:AW34,$B32)+COUNTIF('4月'!AX4:AX34,$B32)+COUNTIF('4月'!BB4:BB34,$B32)+COUNTIF('4月'!BC4:BC34,$B32)+COUNTIF('4月'!BG4:BG34,$B32)+COUNTIF('4月'!BH4:BH34,$B32)+COUNTIF('4月'!BL4:BL34,$B32)+COUNTIF('4月'!BM4:BM34,$B32)+COUNTIF('4月'!BQ4:BQ34,$B32)+COUNTIF('4月'!BR4:BR34,$B32)+COUNTIF('4月'!BV4:BV34,$B32)+COUNTIF('4月'!BW4:BW34,$B32)+COUNTIF('4月'!CA4:CA34,$B32)+COUNTIF('4月'!CB4:CB34,$B32)+COUNTIF('4月'!CF4:CF34,$B32)+COUNTIF('4月'!CG4:CG34,$B32)+COUNTIF('4月'!CK4:CK34,$B32)+COUNTIF('4月'!CL4:CL34,$B32)+COUNTIF('4月'!CP4:CP34,$B32)+COUNTIF('4月'!CQ4:CQ34,$B32)+COUNTIF('4月'!CU4:CU34,$B32)+COUNTIF('4月'!CV4:CV34,$B32)+COUNTIF('4月'!CZ4:CZ34,$B32)+COUNTIF('4月'!DA4:DA34,$B32)+COUNTIF('4月'!DE4:DE34,$B32)+COUNTIF('4月'!DF4:DF34,$B32)+COUNTIF('4月'!DJ4:DJ34,$B32)+COUNTIF('4月'!DK4:DK34,$B32)+COUNTIF('4月'!DO4:DO34,$B32)+COUNTIF('4月'!DP4:DP34,$B32)+COUNTIF('4月'!DT4:DT34,$B32)+COUNTIF('4月'!DU4:DU34,$B32)+COUNTIF('4月'!DY4:DY34,$B32)+COUNTIF('4月'!DZ4:DZ34,$B32)+COUNTIF('4月'!ED4:ED34,$B32)+COUNTIF('4月'!EE4:EE34,$B32)+COUNTIF('4月'!EI4:EI34,$B32)+COUNTIF('4月'!EJ4:EJ34,$B32)+COUNTIF('4月'!EN4:EN34,$B32)+COUNTIF('4月'!EO4:EO34,$B32)+COUNTIF('4月'!ES4:ES34,$B32)+COUNTIF('4月'!ET4:ET34,$B32)),0)</f>
        <v>0</v>
      </c>
      <c r="G32" s="76">
        <f>IFERROR(IF($B32="","",COUNTIF('5月'!D4:D34,$B32)+COUNTIF('5月'!E4:E34,$B32)+COUNTIF('5月'!I4:I34,$B32)+COUNTIF('5月'!J4:J34,$B32)+COUNTIF('5月'!N4:N34,$B32)+COUNTIF('5月'!O4:O34,$B32)+COUNTIF('5月'!S4:S34,$B32)+COUNTIF('5月'!T4:T34,$B32)+COUNTIF('5月'!X4:X34,$B32)+COUNTIF('5月'!Y4:Y34,$B32)+COUNTIF('5月'!AC4:AC34,$B32)+COUNTIF('5月'!AD4:AD34,$B32)+COUNTIF('5月'!AH4:AH34,$B32)+COUNTIF('5月'!AI4:AI34,$B32)+COUNTIF('5月'!AM4:AM34,$B32)+COUNTIF('5月'!AN4:AN34,$B32)+COUNTIF('5月'!AR4:AR34,$B32)+COUNTIF('5月'!AS4:AS34,$B32)+COUNTIF('5月'!AW4:AW34,$B32)+COUNTIF('5月'!AX4:AX34,$B32)+COUNTIF('5月'!BB4:BB34,$B32)+COUNTIF('5月'!BC4:BC34,$B32)+COUNTIF('5月'!BG4:BG34,$B32)+COUNTIF('5月'!BH4:BH34,$B32)+COUNTIF('5月'!BL4:BL34,$B32)+COUNTIF('5月'!BM4:BM34,$B32)+COUNTIF('5月'!BQ4:BQ34,$B32)+COUNTIF('5月'!BR4:BR34,$B32)+COUNTIF('5月'!BV4:BV34,$B32)+COUNTIF('5月'!BW4:BW34,$B32)+COUNTIF('5月'!CA4:CA34,$B32)+COUNTIF('5月'!CB4:CB34,$B32)+COUNTIF('5月'!CF4:CF34,$B32)+COUNTIF('5月'!CG4:CG34,$B32)+COUNTIF('5月'!CK4:CK34,$B32)+COUNTIF('5月'!CL4:CL34,$B32)+COUNTIF('5月'!CP4:CP34,$B32)+COUNTIF('5月'!CQ4:CQ34,$B32)+COUNTIF('5月'!CU4:CU34,$B32)+COUNTIF('5月'!CV4:CV34,$B32)+COUNTIF('5月'!CZ4:CZ34,$B32)+COUNTIF('5月'!DA4:DA34,$B32)+COUNTIF('5月'!DE4:DE34,$B32)+COUNTIF('5月'!DF4:DF34,$B32)+COUNTIF('5月'!DJ4:DJ34,$B32)+COUNTIF('5月'!DK4:DK34,$B32)+COUNTIF('5月'!DO4:DO34,$B32)+COUNTIF('5月'!DP4:DP34,$B32)+COUNTIF('5月'!DT4:DT34,$B32)+COUNTIF('5月'!DU4:DU34,$B32)+COUNTIF('5月'!DY4:DY34,$B32)+COUNTIF('5月'!DZ4:DZ34,$B32)+COUNTIF('5月'!ED4:ED34,$B32)+COUNTIF('5月'!EE4:EE34,$B32)+COUNTIF('5月'!EI4:EI34,$B32)+COUNTIF('5月'!EJ4:EJ34,$B32)+COUNTIF('5月'!EN4:EN34,$B32)+COUNTIF('5月'!EO4:EO34,$B32)+COUNTIF('5月'!ES4:ES34,$B32)+COUNTIF('5月'!ET4:ET34,$B32)),0)</f>
        <v>0</v>
      </c>
      <c r="H32" s="76">
        <f>IFERROR(IF($B32="","",COUNTIF('6月'!D4:D34,$B32)+COUNTIF('6月'!E4:E34,$B32)+COUNTIF('6月'!I4:I34,$B32)+COUNTIF('6月'!J4:J34,$B32)+COUNTIF('6月'!N4:N34,$B32)+COUNTIF('6月'!O4:O34,$B32)+COUNTIF('6月'!S4:S34,$B32)+COUNTIF('6月'!T4:T34,$B32)+COUNTIF('6月'!X4:X34,$B32)+COUNTIF('6月'!Y4:Y34,$B32)+COUNTIF('6月'!AC4:AC34,$B32)+COUNTIF('6月'!AD4:AD34,$B32)+COUNTIF('6月'!AH4:AH34,$B32)+COUNTIF('6月'!AI4:AI34,$B32)+COUNTIF('6月'!AM4:AM34,$B32)+COUNTIF('6月'!AN4:AN34,$B32)+COUNTIF('6月'!AR4:AR34,$B32)+COUNTIF('6月'!AS4:AS34,$B32)+COUNTIF('6月'!AW4:AW34,$B32)+COUNTIF('6月'!AX4:AX34,$B32)+COUNTIF('6月'!BB4:BB34,$B32)+COUNTIF('6月'!BC4:BC34,$B32)+COUNTIF('6月'!BG4:BG34,$B32)+COUNTIF('6月'!BH4:BH34,$B32)+COUNTIF('6月'!BL4:BL34,$B32)+COUNTIF('6月'!BM4:BM34,$B32)+COUNTIF('6月'!BQ4:BQ34,$B32)+COUNTIF('6月'!BR4:BR34,$B32)+COUNTIF('6月'!BV4:BV34,$B32)+COUNTIF('6月'!BW4:BW34,$B32)+COUNTIF('6月'!CA4:CA34,$B32)+COUNTIF('6月'!CB4:CB34,$B32)+COUNTIF('6月'!CF4:CF34,$B32)+COUNTIF('6月'!CG4:CG34,$B32)+COUNTIF('6月'!CK4:CK34,$B32)+COUNTIF('6月'!CL4:CL34,$B32)+COUNTIF('6月'!CP4:CP34,$B32)+COUNTIF('6月'!CQ4:CQ34,$B32)+COUNTIF('6月'!CU4:CU34,$B32)+COUNTIF('6月'!CV4:CV34,$B32)+COUNTIF('6月'!CZ4:CZ34,$B32)+COUNTIF('6月'!DA4:DA34,$B32)+COUNTIF('6月'!DE4:DE34,$B32)+COUNTIF('6月'!DF4:DF34,$B32)+COUNTIF('6月'!DJ4:DJ34,$B32)+COUNTIF('6月'!DK4:DK34,$B32)+COUNTIF('6月'!DO4:DO34,$B32)+COUNTIF('6月'!DP4:DP34,$B32)+COUNTIF('6月'!DT4:DT34,$B32)+COUNTIF('6月'!DU4:DU34,$B32)+COUNTIF('6月'!DY4:DY34,$B32)+COUNTIF('6月'!DZ4:DZ34,$B32)+COUNTIF('6月'!ED4:ED34,$B32)+COUNTIF('6月'!EE4:EE34,$B32)+COUNTIF('6月'!EI4:EI34,$B32)+COUNTIF('6月'!EJ4:EJ34,$B32)+COUNTIF('6月'!EN4:EN34,$B32)+COUNTIF('6月'!EO4:EO34,$B32)+COUNTIF('6月'!ES4:ES34,$B32)+COUNTIF('6月'!ET4:ET34,$B32)),0)</f>
        <v>0</v>
      </c>
      <c r="I32" s="76">
        <f>IFERROR(IF($B32="","",COUNTIF('7月'!D4:D34,$B32)+COUNTIF('7月'!E4:E34,$B32)+COUNTIF('7月'!I4:I34,$B32)+COUNTIF('7月'!J4:J34,$B32)+COUNTIF('7月'!N4:N34,$B32)+COUNTIF('7月'!O4:O34,$B32)+COUNTIF('7月'!S4:S34,$B32)+COUNTIF('7月'!T4:T34,$B32)+COUNTIF('7月'!X4:X34,$B32)+COUNTIF('7月'!Y4:Y34,$B32)+COUNTIF('7月'!AC4:AC34,$B32)+COUNTIF('7月'!AD4:AD34,$B32)+COUNTIF('7月'!AH4:AH34,$B32)+COUNTIF('7月'!AI4:AI34,$B32)+COUNTIF('7月'!AM4:AM34,$B32)+COUNTIF('7月'!AN4:AN34,$B32)+COUNTIF('7月'!AR4:AR34,$B32)+COUNTIF('7月'!AS4:AS34,$B32)+COUNTIF('7月'!AW4:AW34,$B32)+COUNTIF('7月'!AX4:AX34,$B32)+COUNTIF('7月'!BB4:BB34,$B32)+COUNTIF('7月'!BC4:BC34,$B32)+COUNTIF('7月'!BG4:BG34,$B32)+COUNTIF('7月'!BH4:BH34,$B32)+COUNTIF('7月'!BL4:BL34,$B32)+COUNTIF('7月'!BM4:BM34,$B32)+COUNTIF('7月'!BQ4:BQ34,$B32)+COUNTIF('7月'!BR4:BR34,$B32)+COUNTIF('7月'!BV4:BV34,$B32)+COUNTIF('7月'!BW4:BW34,$B32)+COUNTIF('7月'!CA4:CA34,$B32)+COUNTIF('7月'!CB4:CB34,$B32)+COUNTIF('7月'!CF4:CF34,$B32)+COUNTIF('7月'!CG4:CG34,$B32)+COUNTIF('7月'!CK4:CK34,$B32)+COUNTIF('7月'!CL4:CL34,$B32)+COUNTIF('7月'!CP4:CP34,$B32)+COUNTIF('7月'!CQ4:CQ34,$B32)+COUNTIF('7月'!CU4:CU34,$B32)+COUNTIF('7月'!CV4:CV34,$B32)+COUNTIF('7月'!CZ4:CZ34,$B32)+COUNTIF('7月'!DA4:DA34,$B32)+COUNTIF('7月'!DE4:DE34,$B32)+COUNTIF('7月'!DF4:DF34,$B32)+COUNTIF('7月'!DJ4:DJ34,$B32)+COUNTIF('7月'!DK4:DK34,$B32)+COUNTIF('7月'!DO4:DO34,$B32)+COUNTIF('7月'!DP4:DP34,$B32)+COUNTIF('7月'!DT4:DT34,$B32)+COUNTIF('7月'!DU4:DU34,$B32)+COUNTIF('7月'!DY4:DY34,$B32)+COUNTIF('7月'!DZ4:DZ34,$B32)+COUNTIF('7月'!ED4:ED34,$B32)+COUNTIF('7月'!EE4:EE34,$B32)+COUNTIF('7月'!EI4:EI34,$B32)+COUNTIF('7月'!EJ4:EJ34,$B32)+COUNTIF('7月'!EN4:EN34,$B32)+COUNTIF('7月'!EO4:EO34,$B32)+COUNTIF('7月'!ES4:ES34,$B32)+COUNTIF('7月'!ET4:ET34,$B32)),0)</f>
        <v>0</v>
      </c>
      <c r="J32" s="76">
        <f>IFERROR(IF($B32="","",COUNTIF('8月'!D4:D34,$B32)+COUNTIF('8月'!E4:E34,$B32)+COUNTIF('8月'!I4:I34,$B32)+COUNTIF('8月'!J4:J34,$B32)+COUNTIF('8月'!N4:N34,$B32)+COUNTIF('8月'!O4:O34,$B32)+COUNTIF('8月'!S4:S34,$B32)+COUNTIF('8月'!T4:T34,$B32)+COUNTIF('8月'!X4:X34,$B32)+COUNTIF('8月'!Y4:Y34,$B32)+COUNTIF('8月'!AC4:AC34,$B32)+COUNTIF('8月'!AD4:AD34,$B32)+COUNTIF('8月'!AH4:AH34,$B32)+COUNTIF('8月'!AI4:AI34,$B32)+COUNTIF('8月'!AM4:AM34,$B32)+COUNTIF('8月'!AN4:AN34,$B32)+COUNTIF('8月'!AR4:AR34,$B32)+COUNTIF('8月'!AS4:AS34,$B32)+COUNTIF('8月'!AW4:AW34,$B32)+COUNTIF('8月'!AX4:AX34,$B32)+COUNTIF('8月'!BB4:BB34,$B32)+COUNTIF('8月'!BC4:BC34,$B32)+COUNTIF('8月'!BG4:BG34,$B32)+COUNTIF('8月'!BH4:BH34,$B32)+COUNTIF('8月'!BL4:BL34,$B32)+COUNTIF('8月'!BM4:BM34,$B32)+COUNTIF('8月'!BQ4:BQ34,$B32)+COUNTIF('8月'!BR4:BR34,$B32)+COUNTIF('8月'!BV4:BV34,$B32)+COUNTIF('8月'!BW4:BW34,$B32)+COUNTIF('8月'!CA4:CA34,$B32)+COUNTIF('8月'!CB4:CB34,$B32)+COUNTIF('8月'!CF4:CF34,$B32)+COUNTIF('8月'!CG4:CG34,$B32)+COUNTIF('8月'!CK4:CK34,$B32)+COUNTIF('8月'!CL4:CL34,$B32)+COUNTIF('8月'!CP4:CP34,$B32)+COUNTIF('8月'!CQ4:CQ34,$B32)+COUNTIF('8月'!CU4:CU34,$B32)+COUNTIF('8月'!CV4:CV34,$B32)+COUNTIF('8月'!CZ4:CZ34,$B32)+COUNTIF('8月'!DA4:DA34,$B32)+COUNTIF('8月'!DE4:DE34,$B32)+COUNTIF('8月'!DF4:DF34,$B32)+COUNTIF('8月'!DJ4:DJ34,$B32)+COUNTIF('8月'!DK4:DK34,$B32)+COUNTIF('8月'!DO4:DO34,$B32)+COUNTIF('8月'!DP4:DP34,$B32)+COUNTIF('8月'!DT4:DT34,$B32)+COUNTIF('8月'!DU4:DU34,$B32)+COUNTIF('8月'!DY4:DY34,$B32)+COUNTIF('8月'!DZ4:DZ34,$B32)+COUNTIF('8月'!ED4:ED34,$B32)+COUNTIF('8月'!EE4:EE34,$B32)+COUNTIF('8月'!EI4:EI34,$B32)+COUNTIF('8月'!EJ4:EJ34,$B32)+COUNTIF('8月'!EN4:EN34,$B32)+COUNTIF('8月'!EO4:EO34,$B32)+COUNTIF('8月'!ES4:ES34,$B32)+COUNTIF('8月'!ET4:ET34,$B32)),0)</f>
        <v>0</v>
      </c>
      <c r="K32" s="76">
        <f>IFERROR(IF($B32="","",COUNTIF('9月'!D4:D34,$B32)+COUNTIF('9月'!E4:E34,$B32)+COUNTIF('9月'!I4:I34,$B32)+COUNTIF('9月'!J4:J34,$B32)+COUNTIF('9月'!N4:N34,$B32)+COUNTIF('9月'!O4:O34,$B32)+COUNTIF('9月'!S4:S34,$B32)+COUNTIF('9月'!T4:T34,$B32)+COUNTIF('9月'!X4:X34,$B32)+COUNTIF('9月'!Y4:Y34,$B32)+COUNTIF('9月'!AC4:AC34,$B32)+COUNTIF('9月'!AD4:AD34,$B32)+COUNTIF('9月'!AH4:AH34,$B32)+COUNTIF('9月'!AI4:AI34,$B32)+COUNTIF('9月'!AM4:AM34,$B32)+COUNTIF('9月'!AN4:AN34,$B32)+COUNTIF('9月'!AR4:AR34,$B32)+COUNTIF('9月'!AS4:AS34,$B32)+COUNTIF('9月'!AW4:AW34,$B32)+COUNTIF('9月'!AX4:AX34,$B32)+COUNTIF('9月'!BB4:BB34,$B32)+COUNTIF('9月'!BC4:BC34,$B32)+COUNTIF('9月'!BG4:BG34,$B32)+COUNTIF('9月'!BH4:BH34,$B32)+COUNTIF('9月'!BL4:BL34,$B32)+COUNTIF('9月'!BM4:BM34,$B32)+COUNTIF('9月'!BQ4:BQ34,$B32)+COUNTIF('9月'!BR4:BR34,$B32)+COUNTIF('9月'!BV4:BV34,$B32)+COUNTIF('9月'!BW4:BW34,$B32)+COUNTIF('9月'!CA4:CA34,$B32)+COUNTIF('9月'!CB4:CB34,$B32)+COUNTIF('9月'!CF4:CF34,$B32)+COUNTIF('9月'!CG4:CG34,$B32)+COUNTIF('9月'!CK4:CK34,$B32)+COUNTIF('9月'!CL4:CL34,$B32)+COUNTIF('9月'!CP4:CP34,$B32)+COUNTIF('9月'!CQ4:CQ34,$B32)+COUNTIF('9月'!CU4:CU34,$B32)+COUNTIF('9月'!CV4:CV34,$B32)+COUNTIF('9月'!CZ4:CZ34,$B32)+COUNTIF('9月'!DA4:DA34,$B32)+COUNTIF('9月'!DE4:DE34,$B32)+COUNTIF('9月'!DF4:DF34,$B32)+COUNTIF('9月'!DJ4:DJ34,$B32)+COUNTIF('9月'!DK4:DK34,$B32)+COUNTIF('9月'!DO4:DO34,$B32)+COUNTIF('9月'!DP4:DP34,$B32)+COUNTIF('9月'!DT4:DT34,$B32)+COUNTIF('9月'!DU4:DU34,$B32)+COUNTIF('9月'!DY4:DY34,$B32)+COUNTIF('9月'!DZ4:DZ34,$B32)+COUNTIF('9月'!ED4:ED34,$B32)+COUNTIF('9月'!EE4:EE34,$B32)+COUNTIF('9月'!EI4:EI34,$B32)+COUNTIF('9月'!EJ4:EJ34,$B32)+COUNTIF('9月'!EN4:EN34,$B32)+COUNTIF('9月'!EO4:EO34,$B32)+COUNTIF('9月'!ES4:ES34,$B32)+COUNTIF('9月'!ET4:ET34,$B32)),0)</f>
        <v>0</v>
      </c>
      <c r="L32" s="76">
        <f>IFERROR(IF($B32="","",COUNTIF('10月'!D4:D34,$B32)+COUNTIF('10月'!E4:E34,$B32)+COUNTIF('10月'!I4:I34,$B32)+COUNTIF('10月'!J4:J34,$B32)+COUNTIF('10月'!N4:N34,$B32)+COUNTIF('10月'!O4:O34,$B32)+COUNTIF('10月'!S4:S34,$B32)+COUNTIF('10月'!T4:T34,$B32)+COUNTIF('10月'!X4:X34,$B32)+COUNTIF('10月'!Y4:Y34,$B32)+COUNTIF('10月'!AC4:AC34,$B32)+COUNTIF('10月'!AD4:AD34,$B32)+COUNTIF('10月'!AH4:AH34,$B32)+COUNTIF('10月'!AI4:AI34,$B32)+COUNTIF('10月'!AM4:AM34,$B32)+COUNTIF('10月'!AN4:AN34,$B32)+COUNTIF('10月'!AR4:AR34,$B32)+COUNTIF('10月'!AS4:AS34,$B32)+COUNTIF('10月'!AW4:AW34,$B32)+COUNTIF('10月'!AX4:AX34,$B32)+COUNTIF('10月'!BB4:BB34,$B32)+COUNTIF('10月'!BC4:BC34,$B32)+COUNTIF('10月'!BG4:BG34,$B32)+COUNTIF('10月'!BH4:BH34,$B32)+COUNTIF('10月'!BL4:BL34,$B32)+COUNTIF('10月'!BM4:BM34,$B32)+COUNTIF('10月'!BQ4:BQ34,$B32)+COUNTIF('10月'!BR4:BR34,$B32)+COUNTIF('10月'!BV4:BV34,$B32)+COUNTIF('10月'!BW4:BW34,$B32)+COUNTIF('10月'!CA4:CA34,$B32)+COUNTIF('10月'!CB4:CB34,$B32)+COUNTIF('10月'!CF4:CF34,$B32)+COUNTIF('10月'!CG4:CG34,$B32)+COUNTIF('10月'!CK4:CK34,$B32)+COUNTIF('10月'!CL4:CL34,$B32)+COUNTIF('10月'!CP4:CP34,$B32)+COUNTIF('10月'!CQ4:CQ34,$B32)+COUNTIF('10月'!CU4:CU34,$B32)+COUNTIF('10月'!CV4:CV34,$B32)+COUNTIF('10月'!CZ4:CZ34,$B32)+COUNTIF('10月'!DA4:DA34,$B32)+COUNTIF('10月'!DE4:DE34,$B32)+COUNTIF('10月'!DF4:DF34,$B32)+COUNTIF('10月'!DJ4:DJ34,$B32)+COUNTIF('10月'!DK4:DK34,$B32)+COUNTIF('10月'!DO4:DO34,$B32)+COUNTIF('10月'!DP4:DP34,$B32)+COUNTIF('10月'!DT4:DT34,$B32)+COUNTIF('10月'!DU4:DU34,$B32)+COUNTIF('10月'!DY4:DY34,$B32)+COUNTIF('10月'!DZ4:DZ34,$B32)+COUNTIF('10月'!ED4:ED34,$B32)+COUNTIF('10月'!EE4:EE34,$B32)+COUNTIF('10月'!EI4:EI34,$B32)+COUNTIF('10月'!EJ4:EJ34,$B32)+COUNTIF('10月'!EN4:EN34,$B32)+COUNTIF('10月'!EO4:EO34,$B32)+COUNTIF('10月'!ES4:ES34,$B32)+COUNTIF('10月'!ET4:ET34,$B32)),0)</f>
        <v>0</v>
      </c>
      <c r="M32" s="76">
        <f>IFERROR(IF($B32="","",COUNTIF('11月'!D4:D34,$B32)+COUNTIF('11月'!E4:E34,$B32)+COUNTIF('11月'!I4:I34,$B32)+COUNTIF('11月'!J4:J34,$B32)+COUNTIF('11月'!N4:N34,$B32)+COUNTIF('11月'!O4:O34,$B32)+COUNTIF('11月'!S4:S34,$B32)+COUNTIF('11月'!T4:T34,$B32)+COUNTIF('11月'!X4:X34,$B32)+COUNTIF('11月'!Y4:Y34,$B32)+COUNTIF('11月'!AC4:AC34,$B32)+COUNTIF('11月'!AD4:AD34,$B32)+COUNTIF('11月'!AH4:AH34,$B32)+COUNTIF('11月'!AI4:AI34,$B32)+COUNTIF('11月'!AM4:AM34,$B32)+COUNTIF('11月'!AN4:AN34,$B32)+COUNTIF('11月'!AR4:AR34,$B32)+COUNTIF('11月'!AS4:AS34,$B32)+COUNTIF('11月'!AW4:AW34,$B32)+COUNTIF('11月'!AX4:AX34,$B32)+COUNTIF('11月'!BB4:BB34,$B32)+COUNTIF('11月'!BC4:BC34,$B32)+COUNTIF('11月'!BG4:BG34,$B32)+COUNTIF('11月'!BH4:BH34,$B32)+COUNTIF('11月'!BL4:BL34,$B32)+COUNTIF('11月'!BM4:BM34,$B32)+COUNTIF('11月'!BQ4:BQ34,$B32)+COUNTIF('11月'!BR4:BR34,$B32)+COUNTIF('11月'!BV4:BV34,$B32)+COUNTIF('11月'!BW4:BW34,$B32)+COUNTIF('11月'!CA4:CA34,$B32)+COUNTIF('11月'!CB4:CB34,$B32)+COUNTIF('11月'!CF4:CF34,$B32)+COUNTIF('11月'!CG4:CG34,$B32)+COUNTIF('11月'!CK4:CK34,$B32)+COUNTIF('11月'!CL4:CL34,$B32)+COUNTIF('11月'!CP4:CP34,$B32)+COUNTIF('11月'!CQ4:CQ34,$B32)+COUNTIF('11月'!CU4:CU34,$B32)+COUNTIF('11月'!CV4:CV34,$B32)+COUNTIF('11月'!CZ4:CZ34,$B32)+COUNTIF('11月'!DA4:DA34,$B32)+COUNTIF('11月'!DE4:DE34,$B32)+COUNTIF('11月'!DF4:DF34,$B32)+COUNTIF('11月'!DJ4:DJ34,$B32)+COUNTIF('11月'!DK4:DK34,$B32)+COUNTIF('11月'!DO4:DO34,$B32)+COUNTIF('11月'!DP4:DP34,$B32)+COUNTIF('11月'!DT4:DT34,$B32)+COUNTIF('11月'!DU4:DU34,$B32)+COUNTIF('11月'!DY4:DY34,$B32)+COUNTIF('11月'!DZ4:DZ34,$B32)+COUNTIF('11月'!ED4:ED34,$B32)+COUNTIF('11月'!EE4:EE34,$B32)+COUNTIF('11月'!EI4:EI34,$B32)+COUNTIF('11月'!EJ4:EJ34,$B32)+COUNTIF('11月'!EN4:EN34,$B32)+COUNTIF('11月'!EO4:EO34,$B32)+COUNTIF('11月'!ES4:ES34,$B32)+COUNTIF('11月'!ET4:ET34,$B32)),0)</f>
        <v>0</v>
      </c>
      <c r="N32" s="76">
        <f>IFERROR(IF($B32="","",COUNTIF('12月'!D4:D34,$B32)+COUNTIF('12月'!E4:E34,$B32)+COUNTIF('12月'!I4:I34,$B32)+COUNTIF('12月'!J4:J34,$B32)+COUNTIF('12月'!N4:N34,$B32)+COUNTIF('12月'!O4:O34,$B32)+COUNTIF('12月'!S4:S34,$B32)+COUNTIF('12月'!T4:T34,$B32)+COUNTIF('12月'!X4:X34,$B32)+COUNTIF('12月'!Y4:Y34,$B32)+COUNTIF('12月'!AC4:AC34,$B32)+COUNTIF('12月'!AD4:AD34,$B32)+COUNTIF('12月'!AH4:AH34,$B32)+COUNTIF('12月'!AI4:AI34,$B32)+COUNTIF('12月'!AM4:AM34,$B32)+COUNTIF('12月'!AN4:AN34,$B32)+COUNTIF('12月'!AR4:AR34,$B32)+COUNTIF('12月'!AS4:AS34,$B32)+COUNTIF('12月'!AW4:AW34,$B32)+COUNTIF('12月'!AX4:AX34,$B32)+COUNTIF('12月'!BB4:BB34,$B32)+COUNTIF('12月'!BC4:BC34,$B32)+COUNTIF('12月'!BG4:BG34,$B32)+COUNTIF('12月'!BH4:BH34,$B32)+COUNTIF('12月'!BL4:BL34,$B32)+COUNTIF('12月'!BM4:BM34,$B32)+COUNTIF('12月'!BQ4:BQ34,$B32)+COUNTIF('12月'!BR4:BR34,$B32)+COUNTIF('12月'!BV4:BV34,$B32)+COUNTIF('12月'!BW4:BW34,$B32)+COUNTIF('12月'!CA4:CA34,$B32)+COUNTIF('12月'!CB4:CB34,$B32)+COUNTIF('12月'!CF4:CF34,$B32)+COUNTIF('12月'!CG4:CG34,$B32)+COUNTIF('12月'!CK4:CK34,$B32)+COUNTIF('12月'!CL4:CL34,$B32)+COUNTIF('12月'!CP4:CP34,$B32)+COUNTIF('12月'!CQ4:CQ34,$B32)+COUNTIF('12月'!CU4:CU34,$B32)+COUNTIF('12月'!CV4:CV34,$B32)+COUNTIF('12月'!CZ4:CZ34,$B32)+COUNTIF('12月'!DA4:DA34,$B32)+COUNTIF('12月'!DE4:DE34,$B32)+COUNTIF('12月'!DF4:DF34,$B32)+COUNTIF('12月'!DJ4:DJ34,$B32)+COUNTIF('12月'!DK4:DK34,$B32)+COUNTIF('12月'!DO4:DO34,$B32)+COUNTIF('12月'!DP4:DP34,$B32)+COUNTIF('12月'!DT4:DT34,$B32)+COUNTIF('12月'!DU4:DU34,$B32)+COUNTIF('12月'!DY4:DY34,$B32)+COUNTIF('12月'!DZ4:DZ34,$B32)+COUNTIF('12月'!ED4:ED34,$B32)+COUNTIF('12月'!EE4:EE34,$B32)+COUNTIF('12月'!EI4:EI34,$B32)+COUNTIF('12月'!EJ4:EJ34,$B32)+COUNTIF('12月'!EN4:EN34,$B32)+COUNTIF('12月'!EO4:EO34,$B32)+COUNTIF('12月'!ES4:ES34,$B32)+COUNTIF('12月'!ET4:ET34,$B32)),0)</f>
        <v>0</v>
      </c>
      <c r="O32" s="78">
        <f t="shared" si="0"/>
        <v>0</v>
      </c>
    </row>
    <row r="33" spans="1:15" ht="19.5" customHeight="1">
      <c r="A33" s="76">
        <v>31</v>
      </c>
      <c r="B33" s="77">
        <f>IFERROR(現場マスタ!$C$34,"")</f>
        <v>0</v>
      </c>
      <c r="C33" s="76">
        <f>IFERROR(IF($B33="","",COUNTIF('1月'!D4:D34,$B33)+COUNTIF('1月'!E4:E34,$B33)+COUNTIF('1月'!I4:I34,$B33)+COUNTIF('1月'!J4:J34,$B33)+COUNTIF('1月'!N4:N34,$B33)+COUNTIF('1月'!O4:O34,$B33)+COUNTIF('1月'!S4:S34,$B33)+COUNTIF('1月'!T4:T34,$B33)+COUNTIF('1月'!X4:X34,$B33)+COUNTIF('1月'!Y4:Y34,$B33)+COUNTIF('1月'!AC4:AC34,$B33)+COUNTIF('1月'!AD4:AD34,$B33)+COUNTIF('1月'!AH4:AH34,$B33)+COUNTIF('1月'!AI4:AI34,$B33)+COUNTIF('1月'!AM4:AM34,$B33)+COUNTIF('1月'!AN4:AN34,$B33)+COUNTIF('1月'!AR4:AR34,$B33)+COUNTIF('1月'!AS4:AS34,$B33)+COUNTIF('1月'!AW4:AW34,$B33)+COUNTIF('1月'!AX4:AX34,$B33)+COUNTIF('1月'!BB4:BB34,$B33)+COUNTIF('1月'!BC4:BC34,$B33)+COUNTIF('1月'!BG4:BG34,$B33)+COUNTIF('1月'!BH4:BH34,$B33)+COUNTIF('1月'!BL4:BL34,$B33)+COUNTIF('1月'!BM4:BM34,$B33)+COUNTIF('1月'!BQ4:BQ34,$B33)+COUNTIF('1月'!BR4:BR34,$B33)+COUNTIF('1月'!BV4:BV34,$B33)+COUNTIF('1月'!BW4:BW34,$B33)+COUNTIF('1月'!CA4:CA34,$B33)+COUNTIF('1月'!CB4:CB34,$B33)+COUNTIF('1月'!CF4:CF34,$B33)+COUNTIF('1月'!CG4:CG34,$B33)+COUNTIF('1月'!CK4:CK34,$B33)+COUNTIF('1月'!CL4:CL34,$B33)+COUNTIF('1月'!CP4:CP34,$B33)+COUNTIF('1月'!CQ4:CQ34,$B33)+COUNTIF('1月'!CU4:CU34,$B33)+COUNTIF('1月'!CV4:CV34,$B33)+COUNTIF('1月'!CZ4:CZ34,$B33)+COUNTIF('1月'!DA4:DA34,$B33)+COUNTIF('1月'!DE4:DE34,$B33)+COUNTIF('1月'!DF4:DF34,$B33)+COUNTIF('1月'!DJ4:DJ34,$B33)+COUNTIF('1月'!DK4:DK34,$B33)+COUNTIF('1月'!DO4:DO34,$B33)+COUNTIF('1月'!DP4:DP34,$B33)+COUNTIF('1月'!DT4:DT34,$B33)+COUNTIF('1月'!DU4:DU34,$B33)+COUNTIF('1月'!DY4:DY34,$B33)+COUNTIF('1月'!DZ4:DZ34,$B33)+COUNTIF('1月'!ED4:ED34,$B33)+COUNTIF('1月'!EE4:EE34,$B33)+COUNTIF('1月'!EI4:EI34,$B33)+COUNTIF('1月'!EJ4:EJ34,$B33)+COUNTIF('1月'!EN4:EN34,$B33)+COUNTIF('1月'!EO4:EO34,$B33)+COUNTIF('1月'!ES4:ES34,$B33)+COUNTIF('1月'!ET4:ET34,$B33)),0)</f>
        <v>0</v>
      </c>
      <c r="D33" s="76">
        <f>IFERROR(IF($B33="","",COUNTIF('2月'!D4:D34,$B33)+COUNTIF('2月'!E4:E34,$B33)+COUNTIF('2月'!I4:I34,$B33)+COUNTIF('2月'!J4:J34,$B33)+COUNTIF('2月'!N4:N34,$B33)+COUNTIF('2月'!O4:O34,$B33)+COUNTIF('2月'!S4:S34,$B33)+COUNTIF('2月'!T4:T34,$B33)+COUNTIF('2月'!X4:X34,$B33)+COUNTIF('2月'!Y4:Y34,$B33)+COUNTIF('2月'!AC4:AC34,$B33)+COUNTIF('2月'!AD4:AD34,$B33)+COUNTIF('2月'!AH4:AH34,$B33)+COUNTIF('2月'!AI4:AI34,$B33)+COUNTIF('2月'!AM4:AM34,$B33)+COUNTIF('2月'!AN4:AN34,$B33)+COUNTIF('2月'!AR4:AR34,$B33)+COUNTIF('2月'!AS4:AS34,$B33)+COUNTIF('2月'!AW4:AW34,$B33)+COUNTIF('2月'!AX4:AX34,$B33)+COUNTIF('2月'!BB4:BB34,$B33)+COUNTIF('2月'!BC4:BC34,$B33)+COUNTIF('2月'!BG4:BG34,$B33)+COUNTIF('2月'!BH4:BH34,$B33)+COUNTIF('2月'!BL4:BL34,$B33)+COUNTIF('2月'!BM4:BM34,$B33)+COUNTIF('2月'!BQ4:BQ34,$B33)+COUNTIF('2月'!BR4:BR34,$B33)+COUNTIF('2月'!BV4:BV34,$B33)+COUNTIF('2月'!BW4:BW34,$B33)+COUNTIF('2月'!CA4:CA34,$B33)+COUNTIF('2月'!CB4:CB34,$B33)+COUNTIF('2月'!CF4:CF34,$B33)+COUNTIF('2月'!CG4:CG34,$B33)+COUNTIF('2月'!CK4:CK34,$B33)+COUNTIF('2月'!CL4:CL34,$B33)+COUNTIF('2月'!CP4:CP34,$B33)+COUNTIF('2月'!CQ4:CQ34,$B33)+COUNTIF('2月'!CU4:CU34,$B33)+COUNTIF('2月'!CV4:CV34,$B33)+COUNTIF('2月'!CZ4:CZ34,$B33)+COUNTIF('2月'!DA4:DA34,$B33)+COUNTIF('2月'!DE4:DE34,$B33)+COUNTIF('2月'!DF4:DF34,$B33)+COUNTIF('2月'!DJ4:DJ34,$B33)+COUNTIF('2月'!DK4:DK34,$B33)+COUNTIF('2月'!DO4:DO34,$B33)+COUNTIF('2月'!DP4:DP34,$B33)+COUNTIF('2月'!DT4:DT34,$B33)+COUNTIF('2月'!DU4:DU34,$B33)+COUNTIF('2月'!DY4:DY34,$B33)+COUNTIF('2月'!DZ4:DZ34,$B33)+COUNTIF('2月'!ED4:ED34,$B33)+COUNTIF('2月'!EE4:EE34,$B33)+COUNTIF('2月'!EI4:EI34,$B33)+COUNTIF('2月'!EJ4:EJ34,$B33)+COUNTIF('2月'!EN4:EN34,$B33)+COUNTIF('2月'!EO4:EO34,$B33)+COUNTIF('2月'!ES4:ES34,$B33)+COUNTIF('2月'!ET4:ET34,$B33)),0)</f>
        <v>0</v>
      </c>
      <c r="E33" s="76">
        <f>IFERROR(IF($B33="","",COUNTIF('3月'!D4:D34,$B33)+COUNTIF('3月'!E4:E34,$B33)+COUNTIF('3月'!I4:I34,$B33)+COUNTIF('3月'!J4:J34,$B33)+COUNTIF('3月'!N4:N34,$B33)+COUNTIF('3月'!O4:O34,$B33)+COUNTIF('3月'!S4:S34,$B33)+COUNTIF('3月'!T4:T34,$B33)+COUNTIF('3月'!X4:X34,$B33)+COUNTIF('3月'!Y4:Y34,$B33)+COUNTIF('3月'!AC4:AC34,$B33)+COUNTIF('3月'!AD4:AD34,$B33)+COUNTIF('3月'!AH4:AH34,$B33)+COUNTIF('3月'!AI4:AI34,$B33)+COUNTIF('3月'!AM4:AM34,$B33)+COUNTIF('3月'!AN4:AN34,$B33)+COUNTIF('3月'!AR4:AR34,$B33)+COUNTIF('3月'!AS4:AS34,$B33)+COUNTIF('3月'!AW4:AW34,$B33)+COUNTIF('3月'!AX4:AX34,$B33)+COUNTIF('3月'!BB4:BB34,$B33)+COUNTIF('3月'!BC4:BC34,$B33)+COUNTIF('3月'!BG4:BG34,$B33)+COUNTIF('3月'!BH4:BH34,$B33)+COUNTIF('3月'!BL4:BL34,$B33)+COUNTIF('3月'!BM4:BM34,$B33)+COUNTIF('3月'!BQ4:BQ34,$B33)+COUNTIF('3月'!BR4:BR34,$B33)+COUNTIF('3月'!BV4:BV34,$B33)+COUNTIF('3月'!BW4:BW34,$B33)+COUNTIF('3月'!CA4:CA34,$B33)+COUNTIF('3月'!CB4:CB34,$B33)+COUNTIF('3月'!CF4:CF34,$B33)+COUNTIF('3月'!CG4:CG34,$B33)+COUNTIF('3月'!CK4:CK34,$B33)+COUNTIF('3月'!CL4:CL34,$B33)+COUNTIF('3月'!CP4:CP34,$B33)+COUNTIF('3月'!CQ4:CQ34,$B33)+COUNTIF('3月'!CU4:CU34,$B33)+COUNTIF('3月'!CV4:CV34,$B33)+COUNTIF('3月'!CZ4:CZ34,$B33)+COUNTIF('3月'!DA4:DA34,$B33)+COUNTIF('3月'!DE4:DE34,$B33)+COUNTIF('3月'!DF4:DF34,$B33)+COUNTIF('3月'!DJ4:DJ34,$B33)+COUNTIF('3月'!DK4:DK34,$B33)+COUNTIF('3月'!DO4:DO34,$B33)+COUNTIF('3月'!DP4:DP34,$B33)+COUNTIF('3月'!DT4:DT34,$B33)+COUNTIF('3月'!DU4:DU34,$B33)+COUNTIF('3月'!DY4:DY34,$B33)+COUNTIF('3月'!DZ4:DZ34,$B33)+COUNTIF('3月'!ED4:ED34,$B33)+COUNTIF('3月'!EE4:EE34,$B33)+COUNTIF('3月'!EI4:EI34,$B33)+COUNTIF('3月'!EJ4:EJ34,$B33)+COUNTIF('3月'!EN4:EN34,$B33)+COUNTIF('3月'!EO4:EO34,$B33)+COUNTIF('3月'!ES4:ES34,$B33)+COUNTIF('3月'!ET4:ET34,$B33)),0)</f>
        <v>0</v>
      </c>
      <c r="F33" s="76">
        <f>IFERROR(IF($B33="","",COUNTIF('4月'!D4:D34,$B33)+COUNTIF('4月'!E4:E34,$B33)+COUNTIF('4月'!I4:I34,$B33)+COUNTIF('4月'!J4:J34,$B33)+COUNTIF('4月'!N4:N34,$B33)+COUNTIF('4月'!O4:O34,$B33)+COUNTIF('4月'!S4:S34,$B33)+COUNTIF('4月'!T4:T34,$B33)+COUNTIF('4月'!X4:X34,$B33)+COUNTIF('4月'!Y4:Y34,$B33)+COUNTIF('4月'!AC4:AC34,$B33)+COUNTIF('4月'!AD4:AD34,$B33)+COUNTIF('4月'!AH4:AH34,$B33)+COUNTIF('4月'!AI4:AI34,$B33)+COUNTIF('4月'!AM4:AM34,$B33)+COUNTIF('4月'!AN4:AN34,$B33)+COUNTIF('4月'!AR4:AR34,$B33)+COUNTIF('4月'!AS4:AS34,$B33)+COUNTIF('4月'!AW4:AW34,$B33)+COUNTIF('4月'!AX4:AX34,$B33)+COUNTIF('4月'!BB4:BB34,$B33)+COUNTIF('4月'!BC4:BC34,$B33)+COUNTIF('4月'!BG4:BG34,$B33)+COUNTIF('4月'!BH4:BH34,$B33)+COUNTIF('4月'!BL4:BL34,$B33)+COUNTIF('4月'!BM4:BM34,$B33)+COUNTIF('4月'!BQ4:BQ34,$B33)+COUNTIF('4月'!BR4:BR34,$B33)+COUNTIF('4月'!BV4:BV34,$B33)+COUNTIF('4月'!BW4:BW34,$B33)+COUNTIF('4月'!CA4:CA34,$B33)+COUNTIF('4月'!CB4:CB34,$B33)+COUNTIF('4月'!CF4:CF34,$B33)+COUNTIF('4月'!CG4:CG34,$B33)+COUNTIF('4月'!CK4:CK34,$B33)+COUNTIF('4月'!CL4:CL34,$B33)+COUNTIF('4月'!CP4:CP34,$B33)+COUNTIF('4月'!CQ4:CQ34,$B33)+COUNTIF('4月'!CU4:CU34,$B33)+COUNTIF('4月'!CV4:CV34,$B33)+COUNTIF('4月'!CZ4:CZ34,$B33)+COUNTIF('4月'!DA4:DA34,$B33)+COUNTIF('4月'!DE4:DE34,$B33)+COUNTIF('4月'!DF4:DF34,$B33)+COUNTIF('4月'!DJ4:DJ34,$B33)+COUNTIF('4月'!DK4:DK34,$B33)+COUNTIF('4月'!DO4:DO34,$B33)+COUNTIF('4月'!DP4:DP34,$B33)+COUNTIF('4月'!DT4:DT34,$B33)+COUNTIF('4月'!DU4:DU34,$B33)+COUNTIF('4月'!DY4:DY34,$B33)+COUNTIF('4月'!DZ4:DZ34,$B33)+COUNTIF('4月'!ED4:ED34,$B33)+COUNTIF('4月'!EE4:EE34,$B33)+COUNTIF('4月'!EI4:EI34,$B33)+COUNTIF('4月'!EJ4:EJ34,$B33)+COUNTIF('4月'!EN4:EN34,$B33)+COUNTIF('4月'!EO4:EO34,$B33)+COUNTIF('4月'!ES4:ES34,$B33)+COUNTIF('4月'!ET4:ET34,$B33)),0)</f>
        <v>0</v>
      </c>
      <c r="G33" s="76">
        <f>IFERROR(IF($B33="","",COUNTIF('5月'!D4:D34,$B33)+COUNTIF('5月'!E4:E34,$B33)+COUNTIF('5月'!I4:I34,$B33)+COUNTIF('5月'!J4:J34,$B33)+COUNTIF('5月'!N4:N34,$B33)+COUNTIF('5月'!O4:O34,$B33)+COUNTIF('5月'!S4:S34,$B33)+COUNTIF('5月'!T4:T34,$B33)+COUNTIF('5月'!X4:X34,$B33)+COUNTIF('5月'!Y4:Y34,$B33)+COUNTIF('5月'!AC4:AC34,$B33)+COUNTIF('5月'!AD4:AD34,$B33)+COUNTIF('5月'!AH4:AH34,$B33)+COUNTIF('5月'!AI4:AI34,$B33)+COUNTIF('5月'!AM4:AM34,$B33)+COUNTIF('5月'!AN4:AN34,$B33)+COUNTIF('5月'!AR4:AR34,$B33)+COUNTIF('5月'!AS4:AS34,$B33)+COUNTIF('5月'!AW4:AW34,$B33)+COUNTIF('5月'!AX4:AX34,$B33)+COUNTIF('5月'!BB4:BB34,$B33)+COUNTIF('5月'!BC4:BC34,$B33)+COUNTIF('5月'!BG4:BG34,$B33)+COUNTIF('5月'!BH4:BH34,$B33)+COUNTIF('5月'!BL4:BL34,$B33)+COUNTIF('5月'!BM4:BM34,$B33)+COUNTIF('5月'!BQ4:BQ34,$B33)+COUNTIF('5月'!BR4:BR34,$B33)+COUNTIF('5月'!BV4:BV34,$B33)+COUNTIF('5月'!BW4:BW34,$B33)+COUNTIF('5月'!CA4:CA34,$B33)+COUNTIF('5月'!CB4:CB34,$B33)+COUNTIF('5月'!CF4:CF34,$B33)+COUNTIF('5月'!CG4:CG34,$B33)+COUNTIF('5月'!CK4:CK34,$B33)+COUNTIF('5月'!CL4:CL34,$B33)+COUNTIF('5月'!CP4:CP34,$B33)+COUNTIF('5月'!CQ4:CQ34,$B33)+COUNTIF('5月'!CU4:CU34,$B33)+COUNTIF('5月'!CV4:CV34,$B33)+COUNTIF('5月'!CZ4:CZ34,$B33)+COUNTIF('5月'!DA4:DA34,$B33)+COUNTIF('5月'!DE4:DE34,$B33)+COUNTIF('5月'!DF4:DF34,$B33)+COUNTIF('5月'!DJ4:DJ34,$B33)+COUNTIF('5月'!DK4:DK34,$B33)+COUNTIF('5月'!DO4:DO34,$B33)+COUNTIF('5月'!DP4:DP34,$B33)+COUNTIF('5月'!DT4:DT34,$B33)+COUNTIF('5月'!DU4:DU34,$B33)+COUNTIF('5月'!DY4:DY34,$B33)+COUNTIF('5月'!DZ4:DZ34,$B33)+COUNTIF('5月'!ED4:ED34,$B33)+COUNTIF('5月'!EE4:EE34,$B33)+COUNTIF('5月'!EI4:EI34,$B33)+COUNTIF('5月'!EJ4:EJ34,$B33)+COUNTIF('5月'!EN4:EN34,$B33)+COUNTIF('5月'!EO4:EO34,$B33)+COUNTIF('5月'!ES4:ES34,$B33)+COUNTIF('5月'!ET4:ET34,$B33)),0)</f>
        <v>0</v>
      </c>
      <c r="H33" s="76">
        <f>IFERROR(IF($B33="","",COUNTIF('6月'!D4:D34,$B33)+COUNTIF('6月'!E4:E34,$B33)+COUNTIF('6月'!I4:I34,$B33)+COUNTIF('6月'!J4:J34,$B33)+COUNTIF('6月'!N4:N34,$B33)+COUNTIF('6月'!O4:O34,$B33)+COUNTIF('6月'!S4:S34,$B33)+COUNTIF('6月'!T4:T34,$B33)+COUNTIF('6月'!X4:X34,$B33)+COUNTIF('6月'!Y4:Y34,$B33)+COUNTIF('6月'!AC4:AC34,$B33)+COUNTIF('6月'!AD4:AD34,$B33)+COUNTIF('6月'!AH4:AH34,$B33)+COUNTIF('6月'!AI4:AI34,$B33)+COUNTIF('6月'!AM4:AM34,$B33)+COUNTIF('6月'!AN4:AN34,$B33)+COUNTIF('6月'!AR4:AR34,$B33)+COUNTIF('6月'!AS4:AS34,$B33)+COUNTIF('6月'!AW4:AW34,$B33)+COUNTIF('6月'!AX4:AX34,$B33)+COUNTIF('6月'!BB4:BB34,$B33)+COUNTIF('6月'!BC4:BC34,$B33)+COUNTIF('6月'!BG4:BG34,$B33)+COUNTIF('6月'!BH4:BH34,$B33)+COUNTIF('6月'!BL4:BL34,$B33)+COUNTIF('6月'!BM4:BM34,$B33)+COUNTIF('6月'!BQ4:BQ34,$B33)+COUNTIF('6月'!BR4:BR34,$B33)+COUNTIF('6月'!BV4:BV34,$B33)+COUNTIF('6月'!BW4:BW34,$B33)+COUNTIF('6月'!CA4:CA34,$B33)+COUNTIF('6月'!CB4:CB34,$B33)+COUNTIF('6月'!CF4:CF34,$B33)+COUNTIF('6月'!CG4:CG34,$B33)+COUNTIF('6月'!CK4:CK34,$B33)+COUNTIF('6月'!CL4:CL34,$B33)+COUNTIF('6月'!CP4:CP34,$B33)+COUNTIF('6月'!CQ4:CQ34,$B33)+COUNTIF('6月'!CU4:CU34,$B33)+COUNTIF('6月'!CV4:CV34,$B33)+COUNTIF('6月'!CZ4:CZ34,$B33)+COUNTIF('6月'!DA4:DA34,$B33)+COUNTIF('6月'!DE4:DE34,$B33)+COUNTIF('6月'!DF4:DF34,$B33)+COUNTIF('6月'!DJ4:DJ34,$B33)+COUNTIF('6月'!DK4:DK34,$B33)+COUNTIF('6月'!DO4:DO34,$B33)+COUNTIF('6月'!DP4:DP34,$B33)+COUNTIF('6月'!DT4:DT34,$B33)+COUNTIF('6月'!DU4:DU34,$B33)+COUNTIF('6月'!DY4:DY34,$B33)+COUNTIF('6月'!DZ4:DZ34,$B33)+COUNTIF('6月'!ED4:ED34,$B33)+COUNTIF('6月'!EE4:EE34,$B33)+COUNTIF('6月'!EI4:EI34,$B33)+COUNTIF('6月'!EJ4:EJ34,$B33)+COUNTIF('6月'!EN4:EN34,$B33)+COUNTIF('6月'!EO4:EO34,$B33)+COUNTIF('6月'!ES4:ES34,$B33)+COUNTIF('6月'!ET4:ET34,$B33)),0)</f>
        <v>0</v>
      </c>
      <c r="I33" s="76">
        <f>IFERROR(IF($B33="","",COUNTIF('7月'!D4:D34,$B33)+COUNTIF('7月'!E4:E34,$B33)+COUNTIF('7月'!I4:I34,$B33)+COUNTIF('7月'!J4:J34,$B33)+COUNTIF('7月'!N4:N34,$B33)+COUNTIF('7月'!O4:O34,$B33)+COUNTIF('7月'!S4:S34,$B33)+COUNTIF('7月'!T4:T34,$B33)+COUNTIF('7月'!X4:X34,$B33)+COUNTIF('7月'!Y4:Y34,$B33)+COUNTIF('7月'!AC4:AC34,$B33)+COUNTIF('7月'!AD4:AD34,$B33)+COUNTIF('7月'!AH4:AH34,$B33)+COUNTIF('7月'!AI4:AI34,$B33)+COUNTIF('7月'!AM4:AM34,$B33)+COUNTIF('7月'!AN4:AN34,$B33)+COUNTIF('7月'!AR4:AR34,$B33)+COUNTIF('7月'!AS4:AS34,$B33)+COUNTIF('7月'!AW4:AW34,$B33)+COUNTIF('7月'!AX4:AX34,$B33)+COUNTIF('7月'!BB4:BB34,$B33)+COUNTIF('7月'!BC4:BC34,$B33)+COUNTIF('7月'!BG4:BG34,$B33)+COUNTIF('7月'!BH4:BH34,$B33)+COUNTIF('7月'!BL4:BL34,$B33)+COUNTIF('7月'!BM4:BM34,$B33)+COUNTIF('7月'!BQ4:BQ34,$B33)+COUNTIF('7月'!BR4:BR34,$B33)+COUNTIF('7月'!BV4:BV34,$B33)+COUNTIF('7月'!BW4:BW34,$B33)+COUNTIF('7月'!CA4:CA34,$B33)+COUNTIF('7月'!CB4:CB34,$B33)+COUNTIF('7月'!CF4:CF34,$B33)+COUNTIF('7月'!CG4:CG34,$B33)+COUNTIF('7月'!CK4:CK34,$B33)+COUNTIF('7月'!CL4:CL34,$B33)+COUNTIF('7月'!CP4:CP34,$B33)+COUNTIF('7月'!CQ4:CQ34,$B33)+COUNTIF('7月'!CU4:CU34,$B33)+COUNTIF('7月'!CV4:CV34,$B33)+COUNTIF('7月'!CZ4:CZ34,$B33)+COUNTIF('7月'!DA4:DA34,$B33)+COUNTIF('7月'!DE4:DE34,$B33)+COUNTIF('7月'!DF4:DF34,$B33)+COUNTIF('7月'!DJ4:DJ34,$B33)+COUNTIF('7月'!DK4:DK34,$B33)+COUNTIF('7月'!DO4:DO34,$B33)+COUNTIF('7月'!DP4:DP34,$B33)+COUNTIF('7月'!DT4:DT34,$B33)+COUNTIF('7月'!DU4:DU34,$B33)+COUNTIF('7月'!DY4:DY34,$B33)+COUNTIF('7月'!DZ4:DZ34,$B33)+COUNTIF('7月'!ED4:ED34,$B33)+COUNTIF('7月'!EE4:EE34,$B33)+COUNTIF('7月'!EI4:EI34,$B33)+COUNTIF('7月'!EJ4:EJ34,$B33)+COUNTIF('7月'!EN4:EN34,$B33)+COUNTIF('7月'!EO4:EO34,$B33)+COUNTIF('7月'!ES4:ES34,$B33)+COUNTIF('7月'!ET4:ET34,$B33)),0)</f>
        <v>0</v>
      </c>
      <c r="J33" s="76">
        <f>IFERROR(IF($B33="","",COUNTIF('8月'!D4:D34,$B33)+COUNTIF('8月'!E4:E34,$B33)+COUNTIF('8月'!I4:I34,$B33)+COUNTIF('8月'!J4:J34,$B33)+COUNTIF('8月'!N4:N34,$B33)+COUNTIF('8月'!O4:O34,$B33)+COUNTIF('8月'!S4:S34,$B33)+COUNTIF('8月'!T4:T34,$B33)+COUNTIF('8月'!X4:X34,$B33)+COUNTIF('8月'!Y4:Y34,$B33)+COUNTIF('8月'!AC4:AC34,$B33)+COUNTIF('8月'!AD4:AD34,$B33)+COUNTIF('8月'!AH4:AH34,$B33)+COUNTIF('8月'!AI4:AI34,$B33)+COUNTIF('8月'!AM4:AM34,$B33)+COUNTIF('8月'!AN4:AN34,$B33)+COUNTIF('8月'!AR4:AR34,$B33)+COUNTIF('8月'!AS4:AS34,$B33)+COUNTIF('8月'!AW4:AW34,$B33)+COUNTIF('8月'!AX4:AX34,$B33)+COUNTIF('8月'!BB4:BB34,$B33)+COUNTIF('8月'!BC4:BC34,$B33)+COUNTIF('8月'!BG4:BG34,$B33)+COUNTIF('8月'!BH4:BH34,$B33)+COUNTIF('8月'!BL4:BL34,$B33)+COUNTIF('8月'!BM4:BM34,$B33)+COUNTIF('8月'!BQ4:BQ34,$B33)+COUNTIF('8月'!BR4:BR34,$B33)+COUNTIF('8月'!BV4:BV34,$B33)+COUNTIF('8月'!BW4:BW34,$B33)+COUNTIF('8月'!CA4:CA34,$B33)+COUNTIF('8月'!CB4:CB34,$B33)+COUNTIF('8月'!CF4:CF34,$B33)+COUNTIF('8月'!CG4:CG34,$B33)+COUNTIF('8月'!CK4:CK34,$B33)+COUNTIF('8月'!CL4:CL34,$B33)+COUNTIF('8月'!CP4:CP34,$B33)+COUNTIF('8月'!CQ4:CQ34,$B33)+COUNTIF('8月'!CU4:CU34,$B33)+COUNTIF('8月'!CV4:CV34,$B33)+COUNTIF('8月'!CZ4:CZ34,$B33)+COUNTIF('8月'!DA4:DA34,$B33)+COUNTIF('8月'!DE4:DE34,$B33)+COUNTIF('8月'!DF4:DF34,$B33)+COUNTIF('8月'!DJ4:DJ34,$B33)+COUNTIF('8月'!DK4:DK34,$B33)+COUNTIF('8月'!DO4:DO34,$B33)+COUNTIF('8月'!DP4:DP34,$B33)+COUNTIF('8月'!DT4:DT34,$B33)+COUNTIF('8月'!DU4:DU34,$B33)+COUNTIF('8月'!DY4:DY34,$B33)+COUNTIF('8月'!DZ4:DZ34,$B33)+COUNTIF('8月'!ED4:ED34,$B33)+COUNTIF('8月'!EE4:EE34,$B33)+COUNTIF('8月'!EI4:EI34,$B33)+COUNTIF('8月'!EJ4:EJ34,$B33)+COUNTIF('8月'!EN4:EN34,$B33)+COUNTIF('8月'!EO4:EO34,$B33)+COUNTIF('8月'!ES4:ES34,$B33)+COUNTIF('8月'!ET4:ET34,$B33)),0)</f>
        <v>0</v>
      </c>
      <c r="K33" s="76">
        <f>IFERROR(IF($B33="","",COUNTIF('9月'!D4:D34,$B33)+COUNTIF('9月'!E4:E34,$B33)+COUNTIF('9月'!I4:I34,$B33)+COUNTIF('9月'!J4:J34,$B33)+COUNTIF('9月'!N4:N34,$B33)+COUNTIF('9月'!O4:O34,$B33)+COUNTIF('9月'!S4:S34,$B33)+COUNTIF('9月'!T4:T34,$B33)+COUNTIF('9月'!X4:X34,$B33)+COUNTIF('9月'!Y4:Y34,$B33)+COUNTIF('9月'!AC4:AC34,$B33)+COUNTIF('9月'!AD4:AD34,$B33)+COUNTIF('9月'!AH4:AH34,$B33)+COUNTIF('9月'!AI4:AI34,$B33)+COUNTIF('9月'!AM4:AM34,$B33)+COUNTIF('9月'!AN4:AN34,$B33)+COUNTIF('9月'!AR4:AR34,$B33)+COUNTIF('9月'!AS4:AS34,$B33)+COUNTIF('9月'!AW4:AW34,$B33)+COUNTIF('9月'!AX4:AX34,$B33)+COUNTIF('9月'!BB4:BB34,$B33)+COUNTIF('9月'!BC4:BC34,$B33)+COUNTIF('9月'!BG4:BG34,$B33)+COUNTIF('9月'!BH4:BH34,$B33)+COUNTIF('9月'!BL4:BL34,$B33)+COUNTIF('9月'!BM4:BM34,$B33)+COUNTIF('9月'!BQ4:BQ34,$B33)+COUNTIF('9月'!BR4:BR34,$B33)+COUNTIF('9月'!BV4:BV34,$B33)+COUNTIF('9月'!BW4:BW34,$B33)+COUNTIF('9月'!CA4:CA34,$B33)+COUNTIF('9月'!CB4:CB34,$B33)+COUNTIF('9月'!CF4:CF34,$B33)+COUNTIF('9月'!CG4:CG34,$B33)+COUNTIF('9月'!CK4:CK34,$B33)+COUNTIF('9月'!CL4:CL34,$B33)+COUNTIF('9月'!CP4:CP34,$B33)+COUNTIF('9月'!CQ4:CQ34,$B33)+COUNTIF('9月'!CU4:CU34,$B33)+COUNTIF('9月'!CV4:CV34,$B33)+COUNTIF('9月'!CZ4:CZ34,$B33)+COUNTIF('9月'!DA4:DA34,$B33)+COUNTIF('9月'!DE4:DE34,$B33)+COUNTIF('9月'!DF4:DF34,$B33)+COUNTIF('9月'!DJ4:DJ34,$B33)+COUNTIF('9月'!DK4:DK34,$B33)+COUNTIF('9月'!DO4:DO34,$B33)+COUNTIF('9月'!DP4:DP34,$B33)+COUNTIF('9月'!DT4:DT34,$B33)+COUNTIF('9月'!DU4:DU34,$B33)+COUNTIF('9月'!DY4:DY34,$B33)+COUNTIF('9月'!DZ4:DZ34,$B33)+COUNTIF('9月'!ED4:ED34,$B33)+COUNTIF('9月'!EE4:EE34,$B33)+COUNTIF('9月'!EI4:EI34,$B33)+COUNTIF('9月'!EJ4:EJ34,$B33)+COUNTIF('9月'!EN4:EN34,$B33)+COUNTIF('9月'!EO4:EO34,$B33)+COUNTIF('9月'!ES4:ES34,$B33)+COUNTIF('9月'!ET4:ET34,$B33)),0)</f>
        <v>0</v>
      </c>
      <c r="L33" s="76">
        <f>IFERROR(IF($B33="","",COUNTIF('10月'!D4:D34,$B33)+COUNTIF('10月'!E4:E34,$B33)+COUNTIF('10月'!I4:I34,$B33)+COUNTIF('10月'!J4:J34,$B33)+COUNTIF('10月'!N4:N34,$B33)+COUNTIF('10月'!O4:O34,$B33)+COUNTIF('10月'!S4:S34,$B33)+COUNTIF('10月'!T4:T34,$B33)+COUNTIF('10月'!X4:X34,$B33)+COUNTIF('10月'!Y4:Y34,$B33)+COUNTIF('10月'!AC4:AC34,$B33)+COUNTIF('10月'!AD4:AD34,$B33)+COUNTIF('10月'!AH4:AH34,$B33)+COUNTIF('10月'!AI4:AI34,$B33)+COUNTIF('10月'!AM4:AM34,$B33)+COUNTIF('10月'!AN4:AN34,$B33)+COUNTIF('10月'!AR4:AR34,$B33)+COUNTIF('10月'!AS4:AS34,$B33)+COUNTIF('10月'!AW4:AW34,$B33)+COUNTIF('10月'!AX4:AX34,$B33)+COUNTIF('10月'!BB4:BB34,$B33)+COUNTIF('10月'!BC4:BC34,$B33)+COUNTIF('10月'!BG4:BG34,$B33)+COUNTIF('10月'!BH4:BH34,$B33)+COUNTIF('10月'!BL4:BL34,$B33)+COUNTIF('10月'!BM4:BM34,$B33)+COUNTIF('10月'!BQ4:BQ34,$B33)+COUNTIF('10月'!BR4:BR34,$B33)+COUNTIF('10月'!BV4:BV34,$B33)+COUNTIF('10月'!BW4:BW34,$B33)+COUNTIF('10月'!CA4:CA34,$B33)+COUNTIF('10月'!CB4:CB34,$B33)+COUNTIF('10月'!CF4:CF34,$B33)+COUNTIF('10月'!CG4:CG34,$B33)+COUNTIF('10月'!CK4:CK34,$B33)+COUNTIF('10月'!CL4:CL34,$B33)+COUNTIF('10月'!CP4:CP34,$B33)+COUNTIF('10月'!CQ4:CQ34,$B33)+COUNTIF('10月'!CU4:CU34,$B33)+COUNTIF('10月'!CV4:CV34,$B33)+COUNTIF('10月'!CZ4:CZ34,$B33)+COUNTIF('10月'!DA4:DA34,$B33)+COUNTIF('10月'!DE4:DE34,$B33)+COUNTIF('10月'!DF4:DF34,$B33)+COUNTIF('10月'!DJ4:DJ34,$B33)+COUNTIF('10月'!DK4:DK34,$B33)+COUNTIF('10月'!DO4:DO34,$B33)+COUNTIF('10月'!DP4:DP34,$B33)+COUNTIF('10月'!DT4:DT34,$B33)+COUNTIF('10月'!DU4:DU34,$B33)+COUNTIF('10月'!DY4:DY34,$B33)+COUNTIF('10月'!DZ4:DZ34,$B33)+COUNTIF('10月'!ED4:ED34,$B33)+COUNTIF('10月'!EE4:EE34,$B33)+COUNTIF('10月'!EI4:EI34,$B33)+COUNTIF('10月'!EJ4:EJ34,$B33)+COUNTIF('10月'!EN4:EN34,$B33)+COUNTIF('10月'!EO4:EO34,$B33)+COUNTIF('10月'!ES4:ES34,$B33)+COUNTIF('10月'!ET4:ET34,$B33)),0)</f>
        <v>0</v>
      </c>
      <c r="M33" s="76">
        <f>IFERROR(IF($B33="","",COUNTIF('11月'!D4:D34,$B33)+COUNTIF('11月'!E4:E34,$B33)+COUNTIF('11月'!I4:I34,$B33)+COUNTIF('11月'!J4:J34,$B33)+COUNTIF('11月'!N4:N34,$B33)+COUNTIF('11月'!O4:O34,$B33)+COUNTIF('11月'!S4:S34,$B33)+COUNTIF('11月'!T4:T34,$B33)+COUNTIF('11月'!X4:X34,$B33)+COUNTIF('11月'!Y4:Y34,$B33)+COUNTIF('11月'!AC4:AC34,$B33)+COUNTIF('11月'!AD4:AD34,$B33)+COUNTIF('11月'!AH4:AH34,$B33)+COUNTIF('11月'!AI4:AI34,$B33)+COUNTIF('11月'!AM4:AM34,$B33)+COUNTIF('11月'!AN4:AN34,$B33)+COUNTIF('11月'!AR4:AR34,$B33)+COUNTIF('11月'!AS4:AS34,$B33)+COUNTIF('11月'!AW4:AW34,$B33)+COUNTIF('11月'!AX4:AX34,$B33)+COUNTIF('11月'!BB4:BB34,$B33)+COUNTIF('11月'!BC4:BC34,$B33)+COUNTIF('11月'!BG4:BG34,$B33)+COUNTIF('11月'!BH4:BH34,$B33)+COUNTIF('11月'!BL4:BL34,$B33)+COUNTIF('11月'!BM4:BM34,$B33)+COUNTIF('11月'!BQ4:BQ34,$B33)+COUNTIF('11月'!BR4:BR34,$B33)+COUNTIF('11月'!BV4:BV34,$B33)+COUNTIF('11月'!BW4:BW34,$B33)+COUNTIF('11月'!CA4:CA34,$B33)+COUNTIF('11月'!CB4:CB34,$B33)+COUNTIF('11月'!CF4:CF34,$B33)+COUNTIF('11月'!CG4:CG34,$B33)+COUNTIF('11月'!CK4:CK34,$B33)+COUNTIF('11月'!CL4:CL34,$B33)+COUNTIF('11月'!CP4:CP34,$B33)+COUNTIF('11月'!CQ4:CQ34,$B33)+COUNTIF('11月'!CU4:CU34,$B33)+COUNTIF('11月'!CV4:CV34,$B33)+COUNTIF('11月'!CZ4:CZ34,$B33)+COUNTIF('11月'!DA4:DA34,$B33)+COUNTIF('11月'!DE4:DE34,$B33)+COUNTIF('11月'!DF4:DF34,$B33)+COUNTIF('11月'!DJ4:DJ34,$B33)+COUNTIF('11月'!DK4:DK34,$B33)+COUNTIF('11月'!DO4:DO34,$B33)+COUNTIF('11月'!DP4:DP34,$B33)+COUNTIF('11月'!DT4:DT34,$B33)+COUNTIF('11月'!DU4:DU34,$B33)+COUNTIF('11月'!DY4:DY34,$B33)+COUNTIF('11月'!DZ4:DZ34,$B33)+COUNTIF('11月'!ED4:ED34,$B33)+COUNTIF('11月'!EE4:EE34,$B33)+COUNTIF('11月'!EI4:EI34,$B33)+COUNTIF('11月'!EJ4:EJ34,$B33)+COUNTIF('11月'!EN4:EN34,$B33)+COUNTIF('11月'!EO4:EO34,$B33)+COUNTIF('11月'!ES4:ES34,$B33)+COUNTIF('11月'!ET4:ET34,$B33)),0)</f>
        <v>0</v>
      </c>
      <c r="N33" s="76">
        <f>IFERROR(IF($B33="","",COUNTIF('12月'!D4:D34,$B33)+COUNTIF('12月'!E4:E34,$B33)+COUNTIF('12月'!I4:I34,$B33)+COUNTIF('12月'!J4:J34,$B33)+COUNTIF('12月'!N4:N34,$B33)+COUNTIF('12月'!O4:O34,$B33)+COUNTIF('12月'!S4:S34,$B33)+COUNTIF('12月'!T4:T34,$B33)+COUNTIF('12月'!X4:X34,$B33)+COUNTIF('12月'!Y4:Y34,$B33)+COUNTIF('12月'!AC4:AC34,$B33)+COUNTIF('12月'!AD4:AD34,$B33)+COUNTIF('12月'!AH4:AH34,$B33)+COUNTIF('12月'!AI4:AI34,$B33)+COUNTIF('12月'!AM4:AM34,$B33)+COUNTIF('12月'!AN4:AN34,$B33)+COUNTIF('12月'!AR4:AR34,$B33)+COUNTIF('12月'!AS4:AS34,$B33)+COUNTIF('12月'!AW4:AW34,$B33)+COUNTIF('12月'!AX4:AX34,$B33)+COUNTIF('12月'!BB4:BB34,$B33)+COUNTIF('12月'!BC4:BC34,$B33)+COUNTIF('12月'!BG4:BG34,$B33)+COUNTIF('12月'!BH4:BH34,$B33)+COUNTIF('12月'!BL4:BL34,$B33)+COUNTIF('12月'!BM4:BM34,$B33)+COUNTIF('12月'!BQ4:BQ34,$B33)+COUNTIF('12月'!BR4:BR34,$B33)+COUNTIF('12月'!BV4:BV34,$B33)+COUNTIF('12月'!BW4:BW34,$B33)+COUNTIF('12月'!CA4:CA34,$B33)+COUNTIF('12月'!CB4:CB34,$B33)+COUNTIF('12月'!CF4:CF34,$B33)+COUNTIF('12月'!CG4:CG34,$B33)+COUNTIF('12月'!CK4:CK34,$B33)+COUNTIF('12月'!CL4:CL34,$B33)+COUNTIF('12月'!CP4:CP34,$B33)+COUNTIF('12月'!CQ4:CQ34,$B33)+COUNTIF('12月'!CU4:CU34,$B33)+COUNTIF('12月'!CV4:CV34,$B33)+COUNTIF('12月'!CZ4:CZ34,$B33)+COUNTIF('12月'!DA4:DA34,$B33)+COUNTIF('12月'!DE4:DE34,$B33)+COUNTIF('12月'!DF4:DF34,$B33)+COUNTIF('12月'!DJ4:DJ34,$B33)+COUNTIF('12月'!DK4:DK34,$B33)+COUNTIF('12月'!DO4:DO34,$B33)+COUNTIF('12月'!DP4:DP34,$B33)+COUNTIF('12月'!DT4:DT34,$B33)+COUNTIF('12月'!DU4:DU34,$B33)+COUNTIF('12月'!DY4:DY34,$B33)+COUNTIF('12月'!DZ4:DZ34,$B33)+COUNTIF('12月'!ED4:ED34,$B33)+COUNTIF('12月'!EE4:EE34,$B33)+COUNTIF('12月'!EI4:EI34,$B33)+COUNTIF('12月'!EJ4:EJ34,$B33)+COUNTIF('12月'!EN4:EN34,$B33)+COUNTIF('12月'!EO4:EO34,$B33)+COUNTIF('12月'!ES4:ES34,$B33)+COUNTIF('12月'!ET4:ET34,$B33)),0)</f>
        <v>0</v>
      </c>
      <c r="O33" s="78">
        <f t="shared" si="0"/>
        <v>0</v>
      </c>
    </row>
    <row r="34" spans="1:15" ht="19.5" customHeight="1">
      <c r="A34" s="76">
        <v>32</v>
      </c>
      <c r="B34" s="77">
        <f>IFERROR(現場マスタ!$C$35,"")</f>
        <v>0</v>
      </c>
      <c r="C34" s="76">
        <f>IFERROR(IF($B34="","",COUNTIF('1月'!D4:D34,$B34)+COUNTIF('1月'!E4:E34,$B34)+COUNTIF('1月'!I4:I34,$B34)+COUNTIF('1月'!J4:J34,$B34)+COUNTIF('1月'!N4:N34,$B34)+COUNTIF('1月'!O4:O34,$B34)+COUNTIF('1月'!S4:S34,$B34)+COUNTIF('1月'!T4:T34,$B34)+COUNTIF('1月'!X4:X34,$B34)+COUNTIF('1月'!Y4:Y34,$B34)+COUNTIF('1月'!AC4:AC34,$B34)+COUNTIF('1月'!AD4:AD34,$B34)+COUNTIF('1月'!AH4:AH34,$B34)+COUNTIF('1月'!AI4:AI34,$B34)+COUNTIF('1月'!AM4:AM34,$B34)+COUNTIF('1月'!AN4:AN34,$B34)+COUNTIF('1月'!AR4:AR34,$B34)+COUNTIF('1月'!AS4:AS34,$B34)+COUNTIF('1月'!AW4:AW34,$B34)+COUNTIF('1月'!AX4:AX34,$B34)+COUNTIF('1月'!BB4:BB34,$B34)+COUNTIF('1月'!BC4:BC34,$B34)+COUNTIF('1月'!BG4:BG34,$B34)+COUNTIF('1月'!BH4:BH34,$B34)+COUNTIF('1月'!BL4:BL34,$B34)+COUNTIF('1月'!BM4:BM34,$B34)+COUNTIF('1月'!BQ4:BQ34,$B34)+COUNTIF('1月'!BR4:BR34,$B34)+COUNTIF('1月'!BV4:BV34,$B34)+COUNTIF('1月'!BW4:BW34,$B34)+COUNTIF('1月'!CA4:CA34,$B34)+COUNTIF('1月'!CB4:CB34,$B34)+COUNTIF('1月'!CF4:CF34,$B34)+COUNTIF('1月'!CG4:CG34,$B34)+COUNTIF('1月'!CK4:CK34,$B34)+COUNTIF('1月'!CL4:CL34,$B34)+COUNTIF('1月'!CP4:CP34,$B34)+COUNTIF('1月'!CQ4:CQ34,$B34)+COUNTIF('1月'!CU4:CU34,$B34)+COUNTIF('1月'!CV4:CV34,$B34)+COUNTIF('1月'!CZ4:CZ34,$B34)+COUNTIF('1月'!DA4:DA34,$B34)+COUNTIF('1月'!DE4:DE34,$B34)+COUNTIF('1月'!DF4:DF34,$B34)+COUNTIF('1月'!DJ4:DJ34,$B34)+COUNTIF('1月'!DK4:DK34,$B34)+COUNTIF('1月'!DO4:DO34,$B34)+COUNTIF('1月'!DP4:DP34,$B34)+COUNTIF('1月'!DT4:DT34,$B34)+COUNTIF('1月'!DU4:DU34,$B34)+COUNTIF('1月'!DY4:DY34,$B34)+COUNTIF('1月'!DZ4:DZ34,$B34)+COUNTIF('1月'!ED4:ED34,$B34)+COUNTIF('1月'!EE4:EE34,$B34)+COUNTIF('1月'!EI4:EI34,$B34)+COUNTIF('1月'!EJ4:EJ34,$B34)+COUNTIF('1月'!EN4:EN34,$B34)+COUNTIF('1月'!EO4:EO34,$B34)+COUNTIF('1月'!ES4:ES34,$B34)+COUNTIF('1月'!ET4:ET34,$B34)),0)</f>
        <v>0</v>
      </c>
      <c r="D34" s="76">
        <f>IFERROR(IF($B34="","",COUNTIF('2月'!D4:D34,$B34)+COUNTIF('2月'!E4:E34,$B34)+COUNTIF('2月'!I4:I34,$B34)+COUNTIF('2月'!J4:J34,$B34)+COUNTIF('2月'!N4:N34,$B34)+COUNTIF('2月'!O4:O34,$B34)+COUNTIF('2月'!S4:S34,$B34)+COUNTIF('2月'!T4:T34,$B34)+COUNTIF('2月'!X4:X34,$B34)+COUNTIF('2月'!Y4:Y34,$B34)+COUNTIF('2月'!AC4:AC34,$B34)+COUNTIF('2月'!AD4:AD34,$B34)+COUNTIF('2月'!AH4:AH34,$B34)+COUNTIF('2月'!AI4:AI34,$B34)+COUNTIF('2月'!AM4:AM34,$B34)+COUNTIF('2月'!AN4:AN34,$B34)+COUNTIF('2月'!AR4:AR34,$B34)+COUNTIF('2月'!AS4:AS34,$B34)+COUNTIF('2月'!AW4:AW34,$B34)+COUNTIF('2月'!AX4:AX34,$B34)+COUNTIF('2月'!BB4:BB34,$B34)+COUNTIF('2月'!BC4:BC34,$B34)+COUNTIF('2月'!BG4:BG34,$B34)+COUNTIF('2月'!BH4:BH34,$B34)+COUNTIF('2月'!BL4:BL34,$B34)+COUNTIF('2月'!BM4:BM34,$B34)+COUNTIF('2月'!BQ4:BQ34,$B34)+COUNTIF('2月'!BR4:BR34,$B34)+COUNTIF('2月'!BV4:BV34,$B34)+COUNTIF('2月'!BW4:BW34,$B34)+COUNTIF('2月'!CA4:CA34,$B34)+COUNTIF('2月'!CB4:CB34,$B34)+COUNTIF('2月'!CF4:CF34,$B34)+COUNTIF('2月'!CG4:CG34,$B34)+COUNTIF('2月'!CK4:CK34,$B34)+COUNTIF('2月'!CL4:CL34,$B34)+COUNTIF('2月'!CP4:CP34,$B34)+COUNTIF('2月'!CQ4:CQ34,$B34)+COUNTIF('2月'!CU4:CU34,$B34)+COUNTIF('2月'!CV4:CV34,$B34)+COUNTIF('2月'!CZ4:CZ34,$B34)+COUNTIF('2月'!DA4:DA34,$B34)+COUNTIF('2月'!DE4:DE34,$B34)+COUNTIF('2月'!DF4:DF34,$B34)+COUNTIF('2月'!DJ4:DJ34,$B34)+COUNTIF('2月'!DK4:DK34,$B34)+COUNTIF('2月'!DO4:DO34,$B34)+COUNTIF('2月'!DP4:DP34,$B34)+COUNTIF('2月'!DT4:DT34,$B34)+COUNTIF('2月'!DU4:DU34,$B34)+COUNTIF('2月'!DY4:DY34,$B34)+COUNTIF('2月'!DZ4:DZ34,$B34)+COUNTIF('2月'!ED4:ED34,$B34)+COUNTIF('2月'!EE4:EE34,$B34)+COUNTIF('2月'!EI4:EI34,$B34)+COUNTIF('2月'!EJ4:EJ34,$B34)+COUNTIF('2月'!EN4:EN34,$B34)+COUNTIF('2月'!EO4:EO34,$B34)+COUNTIF('2月'!ES4:ES34,$B34)+COUNTIF('2月'!ET4:ET34,$B34)),0)</f>
        <v>0</v>
      </c>
      <c r="E34" s="76">
        <f>IFERROR(IF($B34="","",COUNTIF('3月'!D4:D34,$B34)+COUNTIF('3月'!E4:E34,$B34)+COUNTIF('3月'!I4:I34,$B34)+COUNTIF('3月'!J4:J34,$B34)+COUNTIF('3月'!N4:N34,$B34)+COUNTIF('3月'!O4:O34,$B34)+COUNTIF('3月'!S4:S34,$B34)+COUNTIF('3月'!T4:T34,$B34)+COUNTIF('3月'!X4:X34,$B34)+COUNTIF('3月'!Y4:Y34,$B34)+COUNTIF('3月'!AC4:AC34,$B34)+COUNTIF('3月'!AD4:AD34,$B34)+COUNTIF('3月'!AH4:AH34,$B34)+COUNTIF('3月'!AI4:AI34,$B34)+COUNTIF('3月'!AM4:AM34,$B34)+COUNTIF('3月'!AN4:AN34,$B34)+COUNTIF('3月'!AR4:AR34,$B34)+COUNTIF('3月'!AS4:AS34,$B34)+COUNTIF('3月'!AW4:AW34,$B34)+COUNTIF('3月'!AX4:AX34,$B34)+COUNTIF('3月'!BB4:BB34,$B34)+COUNTIF('3月'!BC4:BC34,$B34)+COUNTIF('3月'!BG4:BG34,$B34)+COUNTIF('3月'!BH4:BH34,$B34)+COUNTIF('3月'!BL4:BL34,$B34)+COUNTIF('3月'!BM4:BM34,$B34)+COUNTIF('3月'!BQ4:BQ34,$B34)+COUNTIF('3月'!BR4:BR34,$B34)+COUNTIF('3月'!BV4:BV34,$B34)+COUNTIF('3月'!BW4:BW34,$B34)+COUNTIF('3月'!CA4:CA34,$B34)+COUNTIF('3月'!CB4:CB34,$B34)+COUNTIF('3月'!CF4:CF34,$B34)+COUNTIF('3月'!CG4:CG34,$B34)+COUNTIF('3月'!CK4:CK34,$B34)+COUNTIF('3月'!CL4:CL34,$B34)+COUNTIF('3月'!CP4:CP34,$B34)+COUNTIF('3月'!CQ4:CQ34,$B34)+COUNTIF('3月'!CU4:CU34,$B34)+COUNTIF('3月'!CV4:CV34,$B34)+COUNTIF('3月'!CZ4:CZ34,$B34)+COUNTIF('3月'!DA4:DA34,$B34)+COUNTIF('3月'!DE4:DE34,$B34)+COUNTIF('3月'!DF4:DF34,$B34)+COUNTIF('3月'!DJ4:DJ34,$B34)+COUNTIF('3月'!DK4:DK34,$B34)+COUNTIF('3月'!DO4:DO34,$B34)+COUNTIF('3月'!DP4:DP34,$B34)+COUNTIF('3月'!DT4:DT34,$B34)+COUNTIF('3月'!DU4:DU34,$B34)+COUNTIF('3月'!DY4:DY34,$B34)+COUNTIF('3月'!DZ4:DZ34,$B34)+COUNTIF('3月'!ED4:ED34,$B34)+COUNTIF('3月'!EE4:EE34,$B34)+COUNTIF('3月'!EI4:EI34,$B34)+COUNTIF('3月'!EJ4:EJ34,$B34)+COUNTIF('3月'!EN4:EN34,$B34)+COUNTIF('3月'!EO4:EO34,$B34)+COUNTIF('3月'!ES4:ES34,$B34)+COUNTIF('3月'!ET4:ET34,$B34)),0)</f>
        <v>0</v>
      </c>
      <c r="F34" s="76">
        <f>IFERROR(IF($B34="","",COUNTIF('4月'!D4:D34,$B34)+COUNTIF('4月'!E4:E34,$B34)+COUNTIF('4月'!I4:I34,$B34)+COUNTIF('4月'!J4:J34,$B34)+COUNTIF('4月'!N4:N34,$B34)+COUNTIF('4月'!O4:O34,$B34)+COUNTIF('4月'!S4:S34,$B34)+COUNTIF('4月'!T4:T34,$B34)+COUNTIF('4月'!X4:X34,$B34)+COUNTIF('4月'!Y4:Y34,$B34)+COUNTIF('4月'!AC4:AC34,$B34)+COUNTIF('4月'!AD4:AD34,$B34)+COUNTIF('4月'!AH4:AH34,$B34)+COUNTIF('4月'!AI4:AI34,$B34)+COUNTIF('4月'!AM4:AM34,$B34)+COUNTIF('4月'!AN4:AN34,$B34)+COUNTIF('4月'!AR4:AR34,$B34)+COUNTIF('4月'!AS4:AS34,$B34)+COUNTIF('4月'!AW4:AW34,$B34)+COUNTIF('4月'!AX4:AX34,$B34)+COUNTIF('4月'!BB4:BB34,$B34)+COUNTIF('4月'!BC4:BC34,$B34)+COUNTIF('4月'!BG4:BG34,$B34)+COUNTIF('4月'!BH4:BH34,$B34)+COUNTIF('4月'!BL4:BL34,$B34)+COUNTIF('4月'!BM4:BM34,$B34)+COUNTIF('4月'!BQ4:BQ34,$B34)+COUNTIF('4月'!BR4:BR34,$B34)+COUNTIF('4月'!BV4:BV34,$B34)+COUNTIF('4月'!BW4:BW34,$B34)+COUNTIF('4月'!CA4:CA34,$B34)+COUNTIF('4月'!CB4:CB34,$B34)+COUNTIF('4月'!CF4:CF34,$B34)+COUNTIF('4月'!CG4:CG34,$B34)+COUNTIF('4月'!CK4:CK34,$B34)+COUNTIF('4月'!CL4:CL34,$B34)+COUNTIF('4月'!CP4:CP34,$B34)+COUNTIF('4月'!CQ4:CQ34,$B34)+COUNTIF('4月'!CU4:CU34,$B34)+COUNTIF('4月'!CV4:CV34,$B34)+COUNTIF('4月'!CZ4:CZ34,$B34)+COUNTIF('4月'!DA4:DA34,$B34)+COUNTIF('4月'!DE4:DE34,$B34)+COUNTIF('4月'!DF4:DF34,$B34)+COUNTIF('4月'!DJ4:DJ34,$B34)+COUNTIF('4月'!DK4:DK34,$B34)+COUNTIF('4月'!DO4:DO34,$B34)+COUNTIF('4月'!DP4:DP34,$B34)+COUNTIF('4月'!DT4:DT34,$B34)+COUNTIF('4月'!DU4:DU34,$B34)+COUNTIF('4月'!DY4:DY34,$B34)+COUNTIF('4月'!DZ4:DZ34,$B34)+COUNTIF('4月'!ED4:ED34,$B34)+COUNTIF('4月'!EE4:EE34,$B34)+COUNTIF('4月'!EI4:EI34,$B34)+COUNTIF('4月'!EJ4:EJ34,$B34)+COUNTIF('4月'!EN4:EN34,$B34)+COUNTIF('4月'!EO4:EO34,$B34)+COUNTIF('4月'!ES4:ES34,$B34)+COUNTIF('4月'!ET4:ET34,$B34)),0)</f>
        <v>0</v>
      </c>
      <c r="G34" s="76">
        <f>IFERROR(IF($B34="","",COUNTIF('5月'!D4:D34,$B34)+COUNTIF('5月'!E4:E34,$B34)+COUNTIF('5月'!I4:I34,$B34)+COUNTIF('5月'!J4:J34,$B34)+COUNTIF('5月'!N4:N34,$B34)+COUNTIF('5月'!O4:O34,$B34)+COUNTIF('5月'!S4:S34,$B34)+COUNTIF('5月'!T4:T34,$B34)+COUNTIF('5月'!X4:X34,$B34)+COUNTIF('5月'!Y4:Y34,$B34)+COUNTIF('5月'!AC4:AC34,$B34)+COUNTIF('5月'!AD4:AD34,$B34)+COUNTIF('5月'!AH4:AH34,$B34)+COUNTIF('5月'!AI4:AI34,$B34)+COUNTIF('5月'!AM4:AM34,$B34)+COUNTIF('5月'!AN4:AN34,$B34)+COUNTIF('5月'!AR4:AR34,$B34)+COUNTIF('5月'!AS4:AS34,$B34)+COUNTIF('5月'!AW4:AW34,$B34)+COUNTIF('5月'!AX4:AX34,$B34)+COUNTIF('5月'!BB4:BB34,$B34)+COUNTIF('5月'!BC4:BC34,$B34)+COUNTIF('5月'!BG4:BG34,$B34)+COUNTIF('5月'!BH4:BH34,$B34)+COUNTIF('5月'!BL4:BL34,$B34)+COUNTIF('5月'!BM4:BM34,$B34)+COUNTIF('5月'!BQ4:BQ34,$B34)+COUNTIF('5月'!BR4:BR34,$B34)+COUNTIF('5月'!BV4:BV34,$B34)+COUNTIF('5月'!BW4:BW34,$B34)+COUNTIF('5月'!CA4:CA34,$B34)+COUNTIF('5月'!CB4:CB34,$B34)+COUNTIF('5月'!CF4:CF34,$B34)+COUNTIF('5月'!CG4:CG34,$B34)+COUNTIF('5月'!CK4:CK34,$B34)+COUNTIF('5月'!CL4:CL34,$B34)+COUNTIF('5月'!CP4:CP34,$B34)+COUNTIF('5月'!CQ4:CQ34,$B34)+COUNTIF('5月'!CU4:CU34,$B34)+COUNTIF('5月'!CV4:CV34,$B34)+COUNTIF('5月'!CZ4:CZ34,$B34)+COUNTIF('5月'!DA4:DA34,$B34)+COUNTIF('5月'!DE4:DE34,$B34)+COUNTIF('5月'!DF4:DF34,$B34)+COUNTIF('5月'!DJ4:DJ34,$B34)+COUNTIF('5月'!DK4:DK34,$B34)+COUNTIF('5月'!DO4:DO34,$B34)+COUNTIF('5月'!DP4:DP34,$B34)+COUNTIF('5月'!DT4:DT34,$B34)+COUNTIF('5月'!DU4:DU34,$B34)+COUNTIF('5月'!DY4:DY34,$B34)+COUNTIF('5月'!DZ4:DZ34,$B34)+COUNTIF('5月'!ED4:ED34,$B34)+COUNTIF('5月'!EE4:EE34,$B34)+COUNTIF('5月'!EI4:EI34,$B34)+COUNTIF('5月'!EJ4:EJ34,$B34)+COUNTIF('5月'!EN4:EN34,$B34)+COUNTIF('5月'!EO4:EO34,$B34)+COUNTIF('5月'!ES4:ES34,$B34)+COUNTIF('5月'!ET4:ET34,$B34)),0)</f>
        <v>0</v>
      </c>
      <c r="H34" s="76">
        <f>IFERROR(IF($B34="","",COUNTIF('6月'!D4:D34,$B34)+COUNTIF('6月'!E4:E34,$B34)+COUNTIF('6月'!I4:I34,$B34)+COUNTIF('6月'!J4:J34,$B34)+COUNTIF('6月'!N4:N34,$B34)+COUNTIF('6月'!O4:O34,$B34)+COUNTIF('6月'!S4:S34,$B34)+COUNTIF('6月'!T4:T34,$B34)+COUNTIF('6月'!X4:X34,$B34)+COUNTIF('6月'!Y4:Y34,$B34)+COUNTIF('6月'!AC4:AC34,$B34)+COUNTIF('6月'!AD4:AD34,$B34)+COUNTIF('6月'!AH4:AH34,$B34)+COUNTIF('6月'!AI4:AI34,$B34)+COUNTIF('6月'!AM4:AM34,$B34)+COUNTIF('6月'!AN4:AN34,$B34)+COUNTIF('6月'!AR4:AR34,$B34)+COUNTIF('6月'!AS4:AS34,$B34)+COUNTIF('6月'!AW4:AW34,$B34)+COUNTIF('6月'!AX4:AX34,$B34)+COUNTIF('6月'!BB4:BB34,$B34)+COUNTIF('6月'!BC4:BC34,$B34)+COUNTIF('6月'!BG4:BG34,$B34)+COUNTIF('6月'!BH4:BH34,$B34)+COUNTIF('6月'!BL4:BL34,$B34)+COUNTIF('6月'!BM4:BM34,$B34)+COUNTIF('6月'!BQ4:BQ34,$B34)+COUNTIF('6月'!BR4:BR34,$B34)+COUNTIF('6月'!BV4:BV34,$B34)+COUNTIF('6月'!BW4:BW34,$B34)+COUNTIF('6月'!CA4:CA34,$B34)+COUNTIF('6月'!CB4:CB34,$B34)+COUNTIF('6月'!CF4:CF34,$B34)+COUNTIF('6月'!CG4:CG34,$B34)+COUNTIF('6月'!CK4:CK34,$B34)+COUNTIF('6月'!CL4:CL34,$B34)+COUNTIF('6月'!CP4:CP34,$B34)+COUNTIF('6月'!CQ4:CQ34,$B34)+COUNTIF('6月'!CU4:CU34,$B34)+COUNTIF('6月'!CV4:CV34,$B34)+COUNTIF('6月'!CZ4:CZ34,$B34)+COUNTIF('6月'!DA4:DA34,$B34)+COUNTIF('6月'!DE4:DE34,$B34)+COUNTIF('6月'!DF4:DF34,$B34)+COUNTIF('6月'!DJ4:DJ34,$B34)+COUNTIF('6月'!DK4:DK34,$B34)+COUNTIF('6月'!DO4:DO34,$B34)+COUNTIF('6月'!DP4:DP34,$B34)+COUNTIF('6月'!DT4:DT34,$B34)+COUNTIF('6月'!DU4:DU34,$B34)+COUNTIF('6月'!DY4:DY34,$B34)+COUNTIF('6月'!DZ4:DZ34,$B34)+COUNTIF('6月'!ED4:ED34,$B34)+COUNTIF('6月'!EE4:EE34,$B34)+COUNTIF('6月'!EI4:EI34,$B34)+COUNTIF('6月'!EJ4:EJ34,$B34)+COUNTIF('6月'!EN4:EN34,$B34)+COUNTIF('6月'!EO4:EO34,$B34)+COUNTIF('6月'!ES4:ES34,$B34)+COUNTIF('6月'!ET4:ET34,$B34)),0)</f>
        <v>0</v>
      </c>
      <c r="I34" s="76">
        <f>IFERROR(IF($B34="","",COUNTIF('7月'!D4:D34,$B34)+COUNTIF('7月'!E4:E34,$B34)+COUNTIF('7月'!I4:I34,$B34)+COUNTIF('7月'!J4:J34,$B34)+COUNTIF('7月'!N4:N34,$B34)+COUNTIF('7月'!O4:O34,$B34)+COUNTIF('7月'!S4:S34,$B34)+COUNTIF('7月'!T4:T34,$B34)+COUNTIF('7月'!X4:X34,$B34)+COUNTIF('7月'!Y4:Y34,$B34)+COUNTIF('7月'!AC4:AC34,$B34)+COUNTIF('7月'!AD4:AD34,$B34)+COUNTIF('7月'!AH4:AH34,$B34)+COUNTIF('7月'!AI4:AI34,$B34)+COUNTIF('7月'!AM4:AM34,$B34)+COUNTIF('7月'!AN4:AN34,$B34)+COUNTIF('7月'!AR4:AR34,$B34)+COUNTIF('7月'!AS4:AS34,$B34)+COUNTIF('7月'!AW4:AW34,$B34)+COUNTIF('7月'!AX4:AX34,$B34)+COUNTIF('7月'!BB4:BB34,$B34)+COUNTIF('7月'!BC4:BC34,$B34)+COUNTIF('7月'!BG4:BG34,$B34)+COUNTIF('7月'!BH4:BH34,$B34)+COUNTIF('7月'!BL4:BL34,$B34)+COUNTIF('7月'!BM4:BM34,$B34)+COUNTIF('7月'!BQ4:BQ34,$B34)+COUNTIF('7月'!BR4:BR34,$B34)+COUNTIF('7月'!BV4:BV34,$B34)+COUNTIF('7月'!BW4:BW34,$B34)+COUNTIF('7月'!CA4:CA34,$B34)+COUNTIF('7月'!CB4:CB34,$B34)+COUNTIF('7月'!CF4:CF34,$B34)+COUNTIF('7月'!CG4:CG34,$B34)+COUNTIF('7月'!CK4:CK34,$B34)+COUNTIF('7月'!CL4:CL34,$B34)+COUNTIF('7月'!CP4:CP34,$B34)+COUNTIF('7月'!CQ4:CQ34,$B34)+COUNTIF('7月'!CU4:CU34,$B34)+COUNTIF('7月'!CV4:CV34,$B34)+COUNTIF('7月'!CZ4:CZ34,$B34)+COUNTIF('7月'!DA4:DA34,$B34)+COUNTIF('7月'!DE4:DE34,$B34)+COUNTIF('7月'!DF4:DF34,$B34)+COUNTIF('7月'!DJ4:DJ34,$B34)+COUNTIF('7月'!DK4:DK34,$B34)+COUNTIF('7月'!DO4:DO34,$B34)+COUNTIF('7月'!DP4:DP34,$B34)+COUNTIF('7月'!DT4:DT34,$B34)+COUNTIF('7月'!DU4:DU34,$B34)+COUNTIF('7月'!DY4:DY34,$B34)+COUNTIF('7月'!DZ4:DZ34,$B34)+COUNTIF('7月'!ED4:ED34,$B34)+COUNTIF('7月'!EE4:EE34,$B34)+COUNTIF('7月'!EI4:EI34,$B34)+COUNTIF('7月'!EJ4:EJ34,$B34)+COUNTIF('7月'!EN4:EN34,$B34)+COUNTIF('7月'!EO4:EO34,$B34)+COUNTIF('7月'!ES4:ES34,$B34)+COUNTIF('7月'!ET4:ET34,$B34)),0)</f>
        <v>0</v>
      </c>
      <c r="J34" s="76">
        <f>IFERROR(IF($B34="","",COUNTIF('8月'!D4:D34,$B34)+COUNTIF('8月'!E4:E34,$B34)+COUNTIF('8月'!I4:I34,$B34)+COUNTIF('8月'!J4:J34,$B34)+COUNTIF('8月'!N4:N34,$B34)+COUNTIF('8月'!O4:O34,$B34)+COUNTIF('8月'!S4:S34,$B34)+COUNTIF('8月'!T4:T34,$B34)+COUNTIF('8月'!X4:X34,$B34)+COUNTIF('8月'!Y4:Y34,$B34)+COUNTIF('8月'!AC4:AC34,$B34)+COUNTIF('8月'!AD4:AD34,$B34)+COUNTIF('8月'!AH4:AH34,$B34)+COUNTIF('8月'!AI4:AI34,$B34)+COUNTIF('8月'!AM4:AM34,$B34)+COUNTIF('8月'!AN4:AN34,$B34)+COUNTIF('8月'!AR4:AR34,$B34)+COUNTIF('8月'!AS4:AS34,$B34)+COUNTIF('8月'!AW4:AW34,$B34)+COUNTIF('8月'!AX4:AX34,$B34)+COUNTIF('8月'!BB4:BB34,$B34)+COUNTIF('8月'!BC4:BC34,$B34)+COUNTIF('8月'!BG4:BG34,$B34)+COUNTIF('8月'!BH4:BH34,$B34)+COUNTIF('8月'!BL4:BL34,$B34)+COUNTIF('8月'!BM4:BM34,$B34)+COUNTIF('8月'!BQ4:BQ34,$B34)+COUNTIF('8月'!BR4:BR34,$B34)+COUNTIF('8月'!BV4:BV34,$B34)+COUNTIF('8月'!BW4:BW34,$B34)+COUNTIF('8月'!CA4:CA34,$B34)+COUNTIF('8月'!CB4:CB34,$B34)+COUNTIF('8月'!CF4:CF34,$B34)+COUNTIF('8月'!CG4:CG34,$B34)+COUNTIF('8月'!CK4:CK34,$B34)+COUNTIF('8月'!CL4:CL34,$B34)+COUNTIF('8月'!CP4:CP34,$B34)+COUNTIF('8月'!CQ4:CQ34,$B34)+COUNTIF('8月'!CU4:CU34,$B34)+COUNTIF('8月'!CV4:CV34,$B34)+COUNTIF('8月'!CZ4:CZ34,$B34)+COUNTIF('8月'!DA4:DA34,$B34)+COUNTIF('8月'!DE4:DE34,$B34)+COUNTIF('8月'!DF4:DF34,$B34)+COUNTIF('8月'!DJ4:DJ34,$B34)+COUNTIF('8月'!DK4:DK34,$B34)+COUNTIF('8月'!DO4:DO34,$B34)+COUNTIF('8月'!DP4:DP34,$B34)+COUNTIF('8月'!DT4:DT34,$B34)+COUNTIF('8月'!DU4:DU34,$B34)+COUNTIF('8月'!DY4:DY34,$B34)+COUNTIF('8月'!DZ4:DZ34,$B34)+COUNTIF('8月'!ED4:ED34,$B34)+COUNTIF('8月'!EE4:EE34,$B34)+COUNTIF('8月'!EI4:EI34,$B34)+COUNTIF('8月'!EJ4:EJ34,$B34)+COUNTIF('8月'!EN4:EN34,$B34)+COUNTIF('8月'!EO4:EO34,$B34)+COUNTIF('8月'!ES4:ES34,$B34)+COUNTIF('8月'!ET4:ET34,$B34)),0)</f>
        <v>0</v>
      </c>
      <c r="K34" s="76">
        <f>IFERROR(IF($B34="","",COUNTIF('9月'!D4:D34,$B34)+COUNTIF('9月'!E4:E34,$B34)+COUNTIF('9月'!I4:I34,$B34)+COUNTIF('9月'!J4:J34,$B34)+COUNTIF('9月'!N4:N34,$B34)+COUNTIF('9月'!O4:O34,$B34)+COUNTIF('9月'!S4:S34,$B34)+COUNTIF('9月'!T4:T34,$B34)+COUNTIF('9月'!X4:X34,$B34)+COUNTIF('9月'!Y4:Y34,$B34)+COUNTIF('9月'!AC4:AC34,$B34)+COUNTIF('9月'!AD4:AD34,$B34)+COUNTIF('9月'!AH4:AH34,$B34)+COUNTIF('9月'!AI4:AI34,$B34)+COUNTIF('9月'!AM4:AM34,$B34)+COUNTIF('9月'!AN4:AN34,$B34)+COUNTIF('9月'!AR4:AR34,$B34)+COUNTIF('9月'!AS4:AS34,$B34)+COUNTIF('9月'!AW4:AW34,$B34)+COUNTIF('9月'!AX4:AX34,$B34)+COUNTIF('9月'!BB4:BB34,$B34)+COUNTIF('9月'!BC4:BC34,$B34)+COUNTIF('9月'!BG4:BG34,$B34)+COUNTIF('9月'!BH4:BH34,$B34)+COUNTIF('9月'!BL4:BL34,$B34)+COUNTIF('9月'!BM4:BM34,$B34)+COUNTIF('9月'!BQ4:BQ34,$B34)+COUNTIF('9月'!BR4:BR34,$B34)+COUNTIF('9月'!BV4:BV34,$B34)+COUNTIF('9月'!BW4:BW34,$B34)+COUNTIF('9月'!CA4:CA34,$B34)+COUNTIF('9月'!CB4:CB34,$B34)+COUNTIF('9月'!CF4:CF34,$B34)+COUNTIF('9月'!CG4:CG34,$B34)+COUNTIF('9月'!CK4:CK34,$B34)+COUNTIF('9月'!CL4:CL34,$B34)+COUNTIF('9月'!CP4:CP34,$B34)+COUNTIF('9月'!CQ4:CQ34,$B34)+COUNTIF('9月'!CU4:CU34,$B34)+COUNTIF('9月'!CV4:CV34,$B34)+COUNTIF('9月'!CZ4:CZ34,$B34)+COUNTIF('9月'!DA4:DA34,$B34)+COUNTIF('9月'!DE4:DE34,$B34)+COUNTIF('9月'!DF4:DF34,$B34)+COUNTIF('9月'!DJ4:DJ34,$B34)+COUNTIF('9月'!DK4:DK34,$B34)+COUNTIF('9月'!DO4:DO34,$B34)+COUNTIF('9月'!DP4:DP34,$B34)+COUNTIF('9月'!DT4:DT34,$B34)+COUNTIF('9月'!DU4:DU34,$B34)+COUNTIF('9月'!DY4:DY34,$B34)+COUNTIF('9月'!DZ4:DZ34,$B34)+COUNTIF('9月'!ED4:ED34,$B34)+COUNTIF('9月'!EE4:EE34,$B34)+COUNTIF('9月'!EI4:EI34,$B34)+COUNTIF('9月'!EJ4:EJ34,$B34)+COUNTIF('9月'!EN4:EN34,$B34)+COUNTIF('9月'!EO4:EO34,$B34)+COUNTIF('9月'!ES4:ES34,$B34)+COUNTIF('9月'!ET4:ET34,$B34)),0)</f>
        <v>0</v>
      </c>
      <c r="L34" s="76">
        <f>IFERROR(IF($B34="","",COUNTIF('10月'!D4:D34,$B34)+COUNTIF('10月'!E4:E34,$B34)+COUNTIF('10月'!I4:I34,$B34)+COUNTIF('10月'!J4:J34,$B34)+COUNTIF('10月'!N4:N34,$B34)+COUNTIF('10月'!O4:O34,$B34)+COUNTIF('10月'!S4:S34,$B34)+COUNTIF('10月'!T4:T34,$B34)+COUNTIF('10月'!X4:X34,$B34)+COUNTIF('10月'!Y4:Y34,$B34)+COUNTIF('10月'!AC4:AC34,$B34)+COUNTIF('10月'!AD4:AD34,$B34)+COUNTIF('10月'!AH4:AH34,$B34)+COUNTIF('10月'!AI4:AI34,$B34)+COUNTIF('10月'!AM4:AM34,$B34)+COUNTIF('10月'!AN4:AN34,$B34)+COUNTIF('10月'!AR4:AR34,$B34)+COUNTIF('10月'!AS4:AS34,$B34)+COUNTIF('10月'!AW4:AW34,$B34)+COUNTIF('10月'!AX4:AX34,$B34)+COUNTIF('10月'!BB4:BB34,$B34)+COUNTIF('10月'!BC4:BC34,$B34)+COUNTIF('10月'!BG4:BG34,$B34)+COUNTIF('10月'!BH4:BH34,$B34)+COUNTIF('10月'!BL4:BL34,$B34)+COUNTIF('10月'!BM4:BM34,$B34)+COUNTIF('10月'!BQ4:BQ34,$B34)+COUNTIF('10月'!BR4:BR34,$B34)+COUNTIF('10月'!BV4:BV34,$B34)+COUNTIF('10月'!BW4:BW34,$B34)+COUNTIF('10月'!CA4:CA34,$B34)+COUNTIF('10月'!CB4:CB34,$B34)+COUNTIF('10月'!CF4:CF34,$B34)+COUNTIF('10月'!CG4:CG34,$B34)+COUNTIF('10月'!CK4:CK34,$B34)+COUNTIF('10月'!CL4:CL34,$B34)+COUNTIF('10月'!CP4:CP34,$B34)+COUNTIF('10月'!CQ4:CQ34,$B34)+COUNTIF('10月'!CU4:CU34,$B34)+COUNTIF('10月'!CV4:CV34,$B34)+COUNTIF('10月'!CZ4:CZ34,$B34)+COUNTIF('10月'!DA4:DA34,$B34)+COUNTIF('10月'!DE4:DE34,$B34)+COUNTIF('10月'!DF4:DF34,$B34)+COUNTIF('10月'!DJ4:DJ34,$B34)+COUNTIF('10月'!DK4:DK34,$B34)+COUNTIF('10月'!DO4:DO34,$B34)+COUNTIF('10月'!DP4:DP34,$B34)+COUNTIF('10月'!DT4:DT34,$B34)+COUNTIF('10月'!DU4:DU34,$B34)+COUNTIF('10月'!DY4:DY34,$B34)+COUNTIF('10月'!DZ4:DZ34,$B34)+COUNTIF('10月'!ED4:ED34,$B34)+COUNTIF('10月'!EE4:EE34,$B34)+COUNTIF('10月'!EI4:EI34,$B34)+COUNTIF('10月'!EJ4:EJ34,$B34)+COUNTIF('10月'!EN4:EN34,$B34)+COUNTIF('10月'!EO4:EO34,$B34)+COUNTIF('10月'!ES4:ES34,$B34)+COUNTIF('10月'!ET4:ET34,$B34)),0)</f>
        <v>0</v>
      </c>
      <c r="M34" s="76">
        <f>IFERROR(IF($B34="","",COUNTIF('11月'!D4:D34,$B34)+COUNTIF('11月'!E4:E34,$B34)+COUNTIF('11月'!I4:I34,$B34)+COUNTIF('11月'!J4:J34,$B34)+COUNTIF('11月'!N4:N34,$B34)+COUNTIF('11月'!O4:O34,$B34)+COUNTIF('11月'!S4:S34,$B34)+COUNTIF('11月'!T4:T34,$B34)+COUNTIF('11月'!X4:X34,$B34)+COUNTIF('11月'!Y4:Y34,$B34)+COUNTIF('11月'!AC4:AC34,$B34)+COUNTIF('11月'!AD4:AD34,$B34)+COUNTIF('11月'!AH4:AH34,$B34)+COUNTIF('11月'!AI4:AI34,$B34)+COUNTIF('11月'!AM4:AM34,$B34)+COUNTIF('11月'!AN4:AN34,$B34)+COUNTIF('11月'!AR4:AR34,$B34)+COUNTIF('11月'!AS4:AS34,$B34)+COUNTIF('11月'!AW4:AW34,$B34)+COUNTIF('11月'!AX4:AX34,$B34)+COUNTIF('11月'!BB4:BB34,$B34)+COUNTIF('11月'!BC4:BC34,$B34)+COUNTIF('11月'!BG4:BG34,$B34)+COUNTIF('11月'!BH4:BH34,$B34)+COUNTIF('11月'!BL4:BL34,$B34)+COUNTIF('11月'!BM4:BM34,$B34)+COUNTIF('11月'!BQ4:BQ34,$B34)+COUNTIF('11月'!BR4:BR34,$B34)+COUNTIF('11月'!BV4:BV34,$B34)+COUNTIF('11月'!BW4:BW34,$B34)+COUNTIF('11月'!CA4:CA34,$B34)+COUNTIF('11月'!CB4:CB34,$B34)+COUNTIF('11月'!CF4:CF34,$B34)+COUNTIF('11月'!CG4:CG34,$B34)+COUNTIF('11月'!CK4:CK34,$B34)+COUNTIF('11月'!CL4:CL34,$B34)+COUNTIF('11月'!CP4:CP34,$B34)+COUNTIF('11月'!CQ4:CQ34,$B34)+COUNTIF('11月'!CU4:CU34,$B34)+COUNTIF('11月'!CV4:CV34,$B34)+COUNTIF('11月'!CZ4:CZ34,$B34)+COUNTIF('11月'!DA4:DA34,$B34)+COUNTIF('11月'!DE4:DE34,$B34)+COUNTIF('11月'!DF4:DF34,$B34)+COUNTIF('11月'!DJ4:DJ34,$B34)+COUNTIF('11月'!DK4:DK34,$B34)+COUNTIF('11月'!DO4:DO34,$B34)+COUNTIF('11月'!DP4:DP34,$B34)+COUNTIF('11月'!DT4:DT34,$B34)+COUNTIF('11月'!DU4:DU34,$B34)+COUNTIF('11月'!DY4:DY34,$B34)+COUNTIF('11月'!DZ4:DZ34,$B34)+COUNTIF('11月'!ED4:ED34,$B34)+COUNTIF('11月'!EE4:EE34,$B34)+COUNTIF('11月'!EI4:EI34,$B34)+COUNTIF('11月'!EJ4:EJ34,$B34)+COUNTIF('11月'!EN4:EN34,$B34)+COUNTIF('11月'!EO4:EO34,$B34)+COUNTIF('11月'!ES4:ES34,$B34)+COUNTIF('11月'!ET4:ET34,$B34)),0)</f>
        <v>0</v>
      </c>
      <c r="N34" s="76">
        <f>IFERROR(IF($B34="","",COUNTIF('12月'!D4:D34,$B34)+COUNTIF('12月'!E4:E34,$B34)+COUNTIF('12月'!I4:I34,$B34)+COUNTIF('12月'!J4:J34,$B34)+COUNTIF('12月'!N4:N34,$B34)+COUNTIF('12月'!O4:O34,$B34)+COUNTIF('12月'!S4:S34,$B34)+COUNTIF('12月'!T4:T34,$B34)+COUNTIF('12月'!X4:X34,$B34)+COUNTIF('12月'!Y4:Y34,$B34)+COUNTIF('12月'!AC4:AC34,$B34)+COUNTIF('12月'!AD4:AD34,$B34)+COUNTIF('12月'!AH4:AH34,$B34)+COUNTIF('12月'!AI4:AI34,$B34)+COUNTIF('12月'!AM4:AM34,$B34)+COUNTIF('12月'!AN4:AN34,$B34)+COUNTIF('12月'!AR4:AR34,$B34)+COUNTIF('12月'!AS4:AS34,$B34)+COUNTIF('12月'!AW4:AW34,$B34)+COUNTIF('12月'!AX4:AX34,$B34)+COUNTIF('12月'!BB4:BB34,$B34)+COUNTIF('12月'!BC4:BC34,$B34)+COUNTIF('12月'!BG4:BG34,$B34)+COUNTIF('12月'!BH4:BH34,$B34)+COUNTIF('12月'!BL4:BL34,$B34)+COUNTIF('12月'!BM4:BM34,$B34)+COUNTIF('12月'!BQ4:BQ34,$B34)+COUNTIF('12月'!BR4:BR34,$B34)+COUNTIF('12月'!BV4:BV34,$B34)+COUNTIF('12月'!BW4:BW34,$B34)+COUNTIF('12月'!CA4:CA34,$B34)+COUNTIF('12月'!CB4:CB34,$B34)+COUNTIF('12月'!CF4:CF34,$B34)+COUNTIF('12月'!CG4:CG34,$B34)+COUNTIF('12月'!CK4:CK34,$B34)+COUNTIF('12月'!CL4:CL34,$B34)+COUNTIF('12月'!CP4:CP34,$B34)+COUNTIF('12月'!CQ4:CQ34,$B34)+COUNTIF('12月'!CU4:CU34,$B34)+COUNTIF('12月'!CV4:CV34,$B34)+COUNTIF('12月'!CZ4:CZ34,$B34)+COUNTIF('12月'!DA4:DA34,$B34)+COUNTIF('12月'!DE4:DE34,$B34)+COUNTIF('12月'!DF4:DF34,$B34)+COUNTIF('12月'!DJ4:DJ34,$B34)+COUNTIF('12月'!DK4:DK34,$B34)+COUNTIF('12月'!DO4:DO34,$B34)+COUNTIF('12月'!DP4:DP34,$B34)+COUNTIF('12月'!DT4:DT34,$B34)+COUNTIF('12月'!DU4:DU34,$B34)+COUNTIF('12月'!DY4:DY34,$B34)+COUNTIF('12月'!DZ4:DZ34,$B34)+COUNTIF('12月'!ED4:ED34,$B34)+COUNTIF('12月'!EE4:EE34,$B34)+COUNTIF('12月'!EI4:EI34,$B34)+COUNTIF('12月'!EJ4:EJ34,$B34)+COUNTIF('12月'!EN4:EN34,$B34)+COUNTIF('12月'!EO4:EO34,$B34)+COUNTIF('12月'!ES4:ES34,$B34)+COUNTIF('12月'!ET4:ET34,$B34)),0)</f>
        <v>0</v>
      </c>
      <c r="O34" s="78">
        <f t="shared" si="0"/>
        <v>0</v>
      </c>
    </row>
    <row r="35" spans="1:15" ht="19.5" customHeight="1">
      <c r="A35" s="76">
        <v>33</v>
      </c>
      <c r="B35" s="77">
        <f>IFERROR(現場マスタ!$C$36,"")</f>
        <v>0</v>
      </c>
      <c r="C35" s="76">
        <f>IFERROR(IF($B35="","",COUNTIF('1月'!D4:D34,$B35)+COUNTIF('1月'!E4:E34,$B35)+COUNTIF('1月'!I4:I34,$B35)+COUNTIF('1月'!J4:J34,$B35)+COUNTIF('1月'!N4:N34,$B35)+COUNTIF('1月'!O4:O34,$B35)+COUNTIF('1月'!S4:S34,$B35)+COUNTIF('1月'!T4:T34,$B35)+COUNTIF('1月'!X4:X34,$B35)+COUNTIF('1月'!Y4:Y34,$B35)+COUNTIF('1月'!AC4:AC34,$B35)+COUNTIF('1月'!AD4:AD34,$B35)+COUNTIF('1月'!AH4:AH34,$B35)+COUNTIF('1月'!AI4:AI34,$B35)+COUNTIF('1月'!AM4:AM34,$B35)+COUNTIF('1月'!AN4:AN34,$B35)+COUNTIF('1月'!AR4:AR34,$B35)+COUNTIF('1月'!AS4:AS34,$B35)+COUNTIF('1月'!AW4:AW34,$B35)+COUNTIF('1月'!AX4:AX34,$B35)+COUNTIF('1月'!BB4:BB34,$B35)+COUNTIF('1月'!BC4:BC34,$B35)+COUNTIF('1月'!BG4:BG34,$B35)+COUNTIF('1月'!BH4:BH34,$B35)+COUNTIF('1月'!BL4:BL34,$B35)+COUNTIF('1月'!BM4:BM34,$B35)+COUNTIF('1月'!BQ4:BQ34,$B35)+COUNTIF('1月'!BR4:BR34,$B35)+COUNTIF('1月'!BV4:BV34,$B35)+COUNTIF('1月'!BW4:BW34,$B35)+COUNTIF('1月'!CA4:CA34,$B35)+COUNTIF('1月'!CB4:CB34,$B35)+COUNTIF('1月'!CF4:CF34,$B35)+COUNTIF('1月'!CG4:CG34,$B35)+COUNTIF('1月'!CK4:CK34,$B35)+COUNTIF('1月'!CL4:CL34,$B35)+COUNTIF('1月'!CP4:CP34,$B35)+COUNTIF('1月'!CQ4:CQ34,$B35)+COUNTIF('1月'!CU4:CU34,$B35)+COUNTIF('1月'!CV4:CV34,$B35)+COUNTIF('1月'!CZ4:CZ34,$B35)+COUNTIF('1月'!DA4:DA34,$B35)+COUNTIF('1月'!DE4:DE34,$B35)+COUNTIF('1月'!DF4:DF34,$B35)+COUNTIF('1月'!DJ4:DJ34,$B35)+COUNTIF('1月'!DK4:DK34,$B35)+COUNTIF('1月'!DO4:DO34,$B35)+COUNTIF('1月'!DP4:DP34,$B35)+COUNTIF('1月'!DT4:DT34,$B35)+COUNTIF('1月'!DU4:DU34,$B35)+COUNTIF('1月'!DY4:DY34,$B35)+COUNTIF('1月'!DZ4:DZ34,$B35)+COUNTIF('1月'!ED4:ED34,$B35)+COUNTIF('1月'!EE4:EE34,$B35)+COUNTIF('1月'!EI4:EI34,$B35)+COUNTIF('1月'!EJ4:EJ34,$B35)+COUNTIF('1月'!EN4:EN34,$B35)+COUNTIF('1月'!EO4:EO34,$B35)+COUNTIF('1月'!ES4:ES34,$B35)+COUNTIF('1月'!ET4:ET34,$B35)),0)</f>
        <v>0</v>
      </c>
      <c r="D35" s="76">
        <f>IFERROR(IF($B35="","",COUNTIF('2月'!D4:D34,$B35)+COUNTIF('2月'!E4:E34,$B35)+COUNTIF('2月'!I4:I34,$B35)+COUNTIF('2月'!J4:J34,$B35)+COUNTIF('2月'!N4:N34,$B35)+COUNTIF('2月'!O4:O34,$B35)+COUNTIF('2月'!S4:S34,$B35)+COUNTIF('2月'!T4:T34,$B35)+COUNTIF('2月'!X4:X34,$B35)+COUNTIF('2月'!Y4:Y34,$B35)+COUNTIF('2月'!AC4:AC34,$B35)+COUNTIF('2月'!AD4:AD34,$B35)+COUNTIF('2月'!AH4:AH34,$B35)+COUNTIF('2月'!AI4:AI34,$B35)+COUNTIF('2月'!AM4:AM34,$B35)+COUNTIF('2月'!AN4:AN34,$B35)+COUNTIF('2月'!AR4:AR34,$B35)+COUNTIF('2月'!AS4:AS34,$B35)+COUNTIF('2月'!AW4:AW34,$B35)+COUNTIF('2月'!AX4:AX34,$B35)+COUNTIF('2月'!BB4:BB34,$B35)+COUNTIF('2月'!BC4:BC34,$B35)+COUNTIF('2月'!BG4:BG34,$B35)+COUNTIF('2月'!BH4:BH34,$B35)+COUNTIF('2月'!BL4:BL34,$B35)+COUNTIF('2月'!BM4:BM34,$B35)+COUNTIF('2月'!BQ4:BQ34,$B35)+COUNTIF('2月'!BR4:BR34,$B35)+COUNTIF('2月'!BV4:BV34,$B35)+COUNTIF('2月'!BW4:BW34,$B35)+COUNTIF('2月'!CA4:CA34,$B35)+COUNTIF('2月'!CB4:CB34,$B35)+COUNTIF('2月'!CF4:CF34,$B35)+COUNTIF('2月'!CG4:CG34,$B35)+COUNTIF('2月'!CK4:CK34,$B35)+COUNTIF('2月'!CL4:CL34,$B35)+COUNTIF('2月'!CP4:CP34,$B35)+COUNTIF('2月'!CQ4:CQ34,$B35)+COUNTIF('2月'!CU4:CU34,$B35)+COUNTIF('2月'!CV4:CV34,$B35)+COUNTIF('2月'!CZ4:CZ34,$B35)+COUNTIF('2月'!DA4:DA34,$B35)+COUNTIF('2月'!DE4:DE34,$B35)+COUNTIF('2月'!DF4:DF34,$B35)+COUNTIF('2月'!DJ4:DJ34,$B35)+COUNTIF('2月'!DK4:DK34,$B35)+COUNTIF('2月'!DO4:DO34,$B35)+COUNTIF('2月'!DP4:DP34,$B35)+COUNTIF('2月'!DT4:DT34,$B35)+COUNTIF('2月'!DU4:DU34,$B35)+COUNTIF('2月'!DY4:DY34,$B35)+COUNTIF('2月'!DZ4:DZ34,$B35)+COUNTIF('2月'!ED4:ED34,$B35)+COUNTIF('2月'!EE4:EE34,$B35)+COUNTIF('2月'!EI4:EI34,$B35)+COUNTIF('2月'!EJ4:EJ34,$B35)+COUNTIF('2月'!EN4:EN34,$B35)+COUNTIF('2月'!EO4:EO34,$B35)+COUNTIF('2月'!ES4:ES34,$B35)+COUNTIF('2月'!ET4:ET34,$B35)),0)</f>
        <v>0</v>
      </c>
      <c r="E35" s="76">
        <f>IFERROR(IF($B35="","",COUNTIF('3月'!D4:D34,$B35)+COUNTIF('3月'!E4:E34,$B35)+COUNTIF('3月'!I4:I34,$B35)+COUNTIF('3月'!J4:J34,$B35)+COUNTIF('3月'!N4:N34,$B35)+COUNTIF('3月'!O4:O34,$B35)+COUNTIF('3月'!S4:S34,$B35)+COUNTIF('3月'!T4:T34,$B35)+COUNTIF('3月'!X4:X34,$B35)+COUNTIF('3月'!Y4:Y34,$B35)+COUNTIF('3月'!AC4:AC34,$B35)+COUNTIF('3月'!AD4:AD34,$B35)+COUNTIF('3月'!AH4:AH34,$B35)+COUNTIF('3月'!AI4:AI34,$B35)+COUNTIF('3月'!AM4:AM34,$B35)+COUNTIF('3月'!AN4:AN34,$B35)+COUNTIF('3月'!AR4:AR34,$B35)+COUNTIF('3月'!AS4:AS34,$B35)+COUNTIF('3月'!AW4:AW34,$B35)+COUNTIF('3月'!AX4:AX34,$B35)+COUNTIF('3月'!BB4:BB34,$B35)+COUNTIF('3月'!BC4:BC34,$B35)+COUNTIF('3月'!BG4:BG34,$B35)+COUNTIF('3月'!BH4:BH34,$B35)+COUNTIF('3月'!BL4:BL34,$B35)+COUNTIF('3月'!BM4:BM34,$B35)+COUNTIF('3月'!BQ4:BQ34,$B35)+COUNTIF('3月'!BR4:BR34,$B35)+COUNTIF('3月'!BV4:BV34,$B35)+COUNTIF('3月'!BW4:BW34,$B35)+COUNTIF('3月'!CA4:CA34,$B35)+COUNTIF('3月'!CB4:CB34,$B35)+COUNTIF('3月'!CF4:CF34,$B35)+COUNTIF('3月'!CG4:CG34,$B35)+COUNTIF('3月'!CK4:CK34,$B35)+COUNTIF('3月'!CL4:CL34,$B35)+COUNTIF('3月'!CP4:CP34,$B35)+COUNTIF('3月'!CQ4:CQ34,$B35)+COUNTIF('3月'!CU4:CU34,$B35)+COUNTIF('3月'!CV4:CV34,$B35)+COUNTIF('3月'!CZ4:CZ34,$B35)+COUNTIF('3月'!DA4:DA34,$B35)+COUNTIF('3月'!DE4:DE34,$B35)+COUNTIF('3月'!DF4:DF34,$B35)+COUNTIF('3月'!DJ4:DJ34,$B35)+COUNTIF('3月'!DK4:DK34,$B35)+COUNTIF('3月'!DO4:DO34,$B35)+COUNTIF('3月'!DP4:DP34,$B35)+COUNTIF('3月'!DT4:DT34,$B35)+COUNTIF('3月'!DU4:DU34,$B35)+COUNTIF('3月'!DY4:DY34,$B35)+COUNTIF('3月'!DZ4:DZ34,$B35)+COUNTIF('3月'!ED4:ED34,$B35)+COUNTIF('3月'!EE4:EE34,$B35)+COUNTIF('3月'!EI4:EI34,$B35)+COUNTIF('3月'!EJ4:EJ34,$B35)+COUNTIF('3月'!EN4:EN34,$B35)+COUNTIF('3月'!EO4:EO34,$B35)+COUNTIF('3月'!ES4:ES34,$B35)+COUNTIF('3月'!ET4:ET34,$B35)),0)</f>
        <v>0</v>
      </c>
      <c r="F35" s="76">
        <f>IFERROR(IF($B35="","",COUNTIF('4月'!D4:D34,$B35)+COUNTIF('4月'!E4:E34,$B35)+COUNTIF('4月'!I4:I34,$B35)+COUNTIF('4月'!J4:J34,$B35)+COUNTIF('4月'!N4:N34,$B35)+COUNTIF('4月'!O4:O34,$B35)+COUNTIF('4月'!S4:S34,$B35)+COUNTIF('4月'!T4:T34,$B35)+COUNTIF('4月'!X4:X34,$B35)+COUNTIF('4月'!Y4:Y34,$B35)+COUNTIF('4月'!AC4:AC34,$B35)+COUNTIF('4月'!AD4:AD34,$B35)+COUNTIF('4月'!AH4:AH34,$B35)+COUNTIF('4月'!AI4:AI34,$B35)+COUNTIF('4月'!AM4:AM34,$B35)+COUNTIF('4月'!AN4:AN34,$B35)+COUNTIF('4月'!AR4:AR34,$B35)+COUNTIF('4月'!AS4:AS34,$B35)+COUNTIF('4月'!AW4:AW34,$B35)+COUNTIF('4月'!AX4:AX34,$B35)+COUNTIF('4月'!BB4:BB34,$B35)+COUNTIF('4月'!BC4:BC34,$B35)+COUNTIF('4月'!BG4:BG34,$B35)+COUNTIF('4月'!BH4:BH34,$B35)+COUNTIF('4月'!BL4:BL34,$B35)+COUNTIF('4月'!BM4:BM34,$B35)+COUNTIF('4月'!BQ4:BQ34,$B35)+COUNTIF('4月'!BR4:BR34,$B35)+COUNTIF('4月'!BV4:BV34,$B35)+COUNTIF('4月'!BW4:BW34,$B35)+COUNTIF('4月'!CA4:CA34,$B35)+COUNTIF('4月'!CB4:CB34,$B35)+COUNTIF('4月'!CF4:CF34,$B35)+COUNTIF('4月'!CG4:CG34,$B35)+COUNTIF('4月'!CK4:CK34,$B35)+COUNTIF('4月'!CL4:CL34,$B35)+COUNTIF('4月'!CP4:CP34,$B35)+COUNTIF('4月'!CQ4:CQ34,$B35)+COUNTIF('4月'!CU4:CU34,$B35)+COUNTIF('4月'!CV4:CV34,$B35)+COUNTIF('4月'!CZ4:CZ34,$B35)+COUNTIF('4月'!DA4:DA34,$B35)+COUNTIF('4月'!DE4:DE34,$B35)+COUNTIF('4月'!DF4:DF34,$B35)+COUNTIF('4月'!DJ4:DJ34,$B35)+COUNTIF('4月'!DK4:DK34,$B35)+COUNTIF('4月'!DO4:DO34,$B35)+COUNTIF('4月'!DP4:DP34,$B35)+COUNTIF('4月'!DT4:DT34,$B35)+COUNTIF('4月'!DU4:DU34,$B35)+COUNTIF('4月'!DY4:DY34,$B35)+COUNTIF('4月'!DZ4:DZ34,$B35)+COUNTIF('4月'!ED4:ED34,$B35)+COUNTIF('4月'!EE4:EE34,$B35)+COUNTIF('4月'!EI4:EI34,$B35)+COUNTIF('4月'!EJ4:EJ34,$B35)+COUNTIF('4月'!EN4:EN34,$B35)+COUNTIF('4月'!EO4:EO34,$B35)+COUNTIF('4月'!ES4:ES34,$B35)+COUNTIF('4月'!ET4:ET34,$B35)),0)</f>
        <v>0</v>
      </c>
      <c r="G35" s="76">
        <f>IFERROR(IF($B35="","",COUNTIF('5月'!D4:D34,$B35)+COUNTIF('5月'!E4:E34,$B35)+COUNTIF('5月'!I4:I34,$B35)+COUNTIF('5月'!J4:J34,$B35)+COUNTIF('5月'!N4:N34,$B35)+COUNTIF('5月'!O4:O34,$B35)+COUNTIF('5月'!S4:S34,$B35)+COUNTIF('5月'!T4:T34,$B35)+COUNTIF('5月'!X4:X34,$B35)+COUNTIF('5月'!Y4:Y34,$B35)+COUNTIF('5月'!AC4:AC34,$B35)+COUNTIF('5月'!AD4:AD34,$B35)+COUNTIF('5月'!AH4:AH34,$B35)+COUNTIF('5月'!AI4:AI34,$B35)+COUNTIF('5月'!AM4:AM34,$B35)+COUNTIF('5月'!AN4:AN34,$B35)+COUNTIF('5月'!AR4:AR34,$B35)+COUNTIF('5月'!AS4:AS34,$B35)+COUNTIF('5月'!AW4:AW34,$B35)+COUNTIF('5月'!AX4:AX34,$B35)+COUNTIF('5月'!BB4:BB34,$B35)+COUNTIF('5月'!BC4:BC34,$B35)+COUNTIF('5月'!BG4:BG34,$B35)+COUNTIF('5月'!BH4:BH34,$B35)+COUNTIF('5月'!BL4:BL34,$B35)+COUNTIF('5月'!BM4:BM34,$B35)+COUNTIF('5月'!BQ4:BQ34,$B35)+COUNTIF('5月'!BR4:BR34,$B35)+COUNTIF('5月'!BV4:BV34,$B35)+COUNTIF('5月'!BW4:BW34,$B35)+COUNTIF('5月'!CA4:CA34,$B35)+COUNTIF('5月'!CB4:CB34,$B35)+COUNTIF('5月'!CF4:CF34,$B35)+COUNTIF('5月'!CG4:CG34,$B35)+COUNTIF('5月'!CK4:CK34,$B35)+COUNTIF('5月'!CL4:CL34,$B35)+COUNTIF('5月'!CP4:CP34,$B35)+COUNTIF('5月'!CQ4:CQ34,$B35)+COUNTIF('5月'!CU4:CU34,$B35)+COUNTIF('5月'!CV4:CV34,$B35)+COUNTIF('5月'!CZ4:CZ34,$B35)+COUNTIF('5月'!DA4:DA34,$B35)+COUNTIF('5月'!DE4:DE34,$B35)+COUNTIF('5月'!DF4:DF34,$B35)+COUNTIF('5月'!DJ4:DJ34,$B35)+COUNTIF('5月'!DK4:DK34,$B35)+COUNTIF('5月'!DO4:DO34,$B35)+COUNTIF('5月'!DP4:DP34,$B35)+COUNTIF('5月'!DT4:DT34,$B35)+COUNTIF('5月'!DU4:DU34,$B35)+COUNTIF('5月'!DY4:DY34,$B35)+COUNTIF('5月'!DZ4:DZ34,$B35)+COUNTIF('5月'!ED4:ED34,$B35)+COUNTIF('5月'!EE4:EE34,$B35)+COUNTIF('5月'!EI4:EI34,$B35)+COUNTIF('5月'!EJ4:EJ34,$B35)+COUNTIF('5月'!EN4:EN34,$B35)+COUNTIF('5月'!EO4:EO34,$B35)+COUNTIF('5月'!ES4:ES34,$B35)+COUNTIF('5月'!ET4:ET34,$B35)),0)</f>
        <v>0</v>
      </c>
      <c r="H35" s="76">
        <f>IFERROR(IF($B35="","",COUNTIF('6月'!D4:D34,$B35)+COUNTIF('6月'!E4:E34,$B35)+COUNTIF('6月'!I4:I34,$B35)+COUNTIF('6月'!J4:J34,$B35)+COUNTIF('6月'!N4:N34,$B35)+COUNTIF('6月'!O4:O34,$B35)+COUNTIF('6月'!S4:S34,$B35)+COUNTIF('6月'!T4:T34,$B35)+COUNTIF('6月'!X4:X34,$B35)+COUNTIF('6月'!Y4:Y34,$B35)+COUNTIF('6月'!AC4:AC34,$B35)+COUNTIF('6月'!AD4:AD34,$B35)+COUNTIF('6月'!AH4:AH34,$B35)+COUNTIF('6月'!AI4:AI34,$B35)+COUNTIF('6月'!AM4:AM34,$B35)+COUNTIF('6月'!AN4:AN34,$B35)+COUNTIF('6月'!AR4:AR34,$B35)+COUNTIF('6月'!AS4:AS34,$B35)+COUNTIF('6月'!AW4:AW34,$B35)+COUNTIF('6月'!AX4:AX34,$B35)+COUNTIF('6月'!BB4:BB34,$B35)+COUNTIF('6月'!BC4:BC34,$B35)+COUNTIF('6月'!BG4:BG34,$B35)+COUNTIF('6月'!BH4:BH34,$B35)+COUNTIF('6月'!BL4:BL34,$B35)+COUNTIF('6月'!BM4:BM34,$B35)+COUNTIF('6月'!BQ4:BQ34,$B35)+COUNTIF('6月'!BR4:BR34,$B35)+COUNTIF('6月'!BV4:BV34,$B35)+COUNTIF('6月'!BW4:BW34,$B35)+COUNTIF('6月'!CA4:CA34,$B35)+COUNTIF('6月'!CB4:CB34,$B35)+COUNTIF('6月'!CF4:CF34,$B35)+COUNTIF('6月'!CG4:CG34,$B35)+COUNTIF('6月'!CK4:CK34,$B35)+COUNTIF('6月'!CL4:CL34,$B35)+COUNTIF('6月'!CP4:CP34,$B35)+COUNTIF('6月'!CQ4:CQ34,$B35)+COUNTIF('6月'!CU4:CU34,$B35)+COUNTIF('6月'!CV4:CV34,$B35)+COUNTIF('6月'!CZ4:CZ34,$B35)+COUNTIF('6月'!DA4:DA34,$B35)+COUNTIF('6月'!DE4:DE34,$B35)+COUNTIF('6月'!DF4:DF34,$B35)+COUNTIF('6月'!DJ4:DJ34,$B35)+COUNTIF('6月'!DK4:DK34,$B35)+COUNTIF('6月'!DO4:DO34,$B35)+COUNTIF('6月'!DP4:DP34,$B35)+COUNTIF('6月'!DT4:DT34,$B35)+COUNTIF('6月'!DU4:DU34,$B35)+COUNTIF('6月'!DY4:DY34,$B35)+COUNTIF('6月'!DZ4:DZ34,$B35)+COUNTIF('6月'!ED4:ED34,$B35)+COUNTIF('6月'!EE4:EE34,$B35)+COUNTIF('6月'!EI4:EI34,$B35)+COUNTIF('6月'!EJ4:EJ34,$B35)+COUNTIF('6月'!EN4:EN34,$B35)+COUNTIF('6月'!EO4:EO34,$B35)+COUNTIF('6月'!ES4:ES34,$B35)+COUNTIF('6月'!ET4:ET34,$B35)),0)</f>
        <v>0</v>
      </c>
      <c r="I35" s="76">
        <f>IFERROR(IF($B35="","",COUNTIF('7月'!D4:D34,$B35)+COUNTIF('7月'!E4:E34,$B35)+COUNTIF('7月'!I4:I34,$B35)+COUNTIF('7月'!J4:J34,$B35)+COUNTIF('7月'!N4:N34,$B35)+COUNTIF('7月'!O4:O34,$B35)+COUNTIF('7月'!S4:S34,$B35)+COUNTIF('7月'!T4:T34,$B35)+COUNTIF('7月'!X4:X34,$B35)+COUNTIF('7月'!Y4:Y34,$B35)+COUNTIF('7月'!AC4:AC34,$B35)+COUNTIF('7月'!AD4:AD34,$B35)+COUNTIF('7月'!AH4:AH34,$B35)+COUNTIF('7月'!AI4:AI34,$B35)+COUNTIF('7月'!AM4:AM34,$B35)+COUNTIF('7月'!AN4:AN34,$B35)+COUNTIF('7月'!AR4:AR34,$B35)+COUNTIF('7月'!AS4:AS34,$B35)+COUNTIF('7月'!AW4:AW34,$B35)+COUNTIF('7月'!AX4:AX34,$B35)+COUNTIF('7月'!BB4:BB34,$B35)+COUNTIF('7月'!BC4:BC34,$B35)+COUNTIF('7月'!BG4:BG34,$B35)+COUNTIF('7月'!BH4:BH34,$B35)+COUNTIF('7月'!BL4:BL34,$B35)+COUNTIF('7月'!BM4:BM34,$B35)+COUNTIF('7月'!BQ4:BQ34,$B35)+COUNTIF('7月'!BR4:BR34,$B35)+COUNTIF('7月'!BV4:BV34,$B35)+COUNTIF('7月'!BW4:BW34,$B35)+COUNTIF('7月'!CA4:CA34,$B35)+COUNTIF('7月'!CB4:CB34,$B35)+COUNTIF('7月'!CF4:CF34,$B35)+COUNTIF('7月'!CG4:CG34,$B35)+COUNTIF('7月'!CK4:CK34,$B35)+COUNTIF('7月'!CL4:CL34,$B35)+COUNTIF('7月'!CP4:CP34,$B35)+COUNTIF('7月'!CQ4:CQ34,$B35)+COUNTIF('7月'!CU4:CU34,$B35)+COUNTIF('7月'!CV4:CV34,$B35)+COUNTIF('7月'!CZ4:CZ34,$B35)+COUNTIF('7月'!DA4:DA34,$B35)+COUNTIF('7月'!DE4:DE34,$B35)+COUNTIF('7月'!DF4:DF34,$B35)+COUNTIF('7月'!DJ4:DJ34,$B35)+COUNTIF('7月'!DK4:DK34,$B35)+COUNTIF('7月'!DO4:DO34,$B35)+COUNTIF('7月'!DP4:DP34,$B35)+COUNTIF('7月'!DT4:DT34,$B35)+COUNTIF('7月'!DU4:DU34,$B35)+COUNTIF('7月'!DY4:DY34,$B35)+COUNTIF('7月'!DZ4:DZ34,$B35)+COUNTIF('7月'!ED4:ED34,$B35)+COUNTIF('7月'!EE4:EE34,$B35)+COUNTIF('7月'!EI4:EI34,$B35)+COUNTIF('7月'!EJ4:EJ34,$B35)+COUNTIF('7月'!EN4:EN34,$B35)+COUNTIF('7月'!EO4:EO34,$B35)+COUNTIF('7月'!ES4:ES34,$B35)+COUNTIF('7月'!ET4:ET34,$B35)),0)</f>
        <v>0</v>
      </c>
      <c r="J35" s="76">
        <f>IFERROR(IF($B35="","",COUNTIF('8月'!D4:D34,$B35)+COUNTIF('8月'!E4:E34,$B35)+COUNTIF('8月'!I4:I34,$B35)+COUNTIF('8月'!J4:J34,$B35)+COUNTIF('8月'!N4:N34,$B35)+COUNTIF('8月'!O4:O34,$B35)+COUNTIF('8月'!S4:S34,$B35)+COUNTIF('8月'!T4:T34,$B35)+COUNTIF('8月'!X4:X34,$B35)+COUNTIF('8月'!Y4:Y34,$B35)+COUNTIF('8月'!AC4:AC34,$B35)+COUNTIF('8月'!AD4:AD34,$B35)+COUNTIF('8月'!AH4:AH34,$B35)+COUNTIF('8月'!AI4:AI34,$B35)+COUNTIF('8月'!AM4:AM34,$B35)+COUNTIF('8月'!AN4:AN34,$B35)+COUNTIF('8月'!AR4:AR34,$B35)+COUNTIF('8月'!AS4:AS34,$B35)+COUNTIF('8月'!AW4:AW34,$B35)+COUNTIF('8月'!AX4:AX34,$B35)+COUNTIF('8月'!BB4:BB34,$B35)+COUNTIF('8月'!BC4:BC34,$B35)+COUNTIF('8月'!BG4:BG34,$B35)+COUNTIF('8月'!BH4:BH34,$B35)+COUNTIF('8月'!BL4:BL34,$B35)+COUNTIF('8月'!BM4:BM34,$B35)+COUNTIF('8月'!BQ4:BQ34,$B35)+COUNTIF('8月'!BR4:BR34,$B35)+COUNTIF('8月'!BV4:BV34,$B35)+COUNTIF('8月'!BW4:BW34,$B35)+COUNTIF('8月'!CA4:CA34,$B35)+COUNTIF('8月'!CB4:CB34,$B35)+COUNTIF('8月'!CF4:CF34,$B35)+COUNTIF('8月'!CG4:CG34,$B35)+COUNTIF('8月'!CK4:CK34,$B35)+COUNTIF('8月'!CL4:CL34,$B35)+COUNTIF('8月'!CP4:CP34,$B35)+COUNTIF('8月'!CQ4:CQ34,$B35)+COUNTIF('8月'!CU4:CU34,$B35)+COUNTIF('8月'!CV4:CV34,$B35)+COUNTIF('8月'!CZ4:CZ34,$B35)+COUNTIF('8月'!DA4:DA34,$B35)+COUNTIF('8月'!DE4:DE34,$B35)+COUNTIF('8月'!DF4:DF34,$B35)+COUNTIF('8月'!DJ4:DJ34,$B35)+COUNTIF('8月'!DK4:DK34,$B35)+COUNTIF('8月'!DO4:DO34,$B35)+COUNTIF('8月'!DP4:DP34,$B35)+COUNTIF('8月'!DT4:DT34,$B35)+COUNTIF('8月'!DU4:DU34,$B35)+COUNTIF('8月'!DY4:DY34,$B35)+COUNTIF('8月'!DZ4:DZ34,$B35)+COUNTIF('8月'!ED4:ED34,$B35)+COUNTIF('8月'!EE4:EE34,$B35)+COUNTIF('8月'!EI4:EI34,$B35)+COUNTIF('8月'!EJ4:EJ34,$B35)+COUNTIF('8月'!EN4:EN34,$B35)+COUNTIF('8月'!EO4:EO34,$B35)+COUNTIF('8月'!ES4:ES34,$B35)+COUNTIF('8月'!ET4:ET34,$B35)),0)</f>
        <v>0</v>
      </c>
      <c r="K35" s="76">
        <f>IFERROR(IF($B35="","",COUNTIF('9月'!D4:D34,$B35)+COUNTIF('9月'!E4:E34,$B35)+COUNTIF('9月'!I4:I34,$B35)+COUNTIF('9月'!J4:J34,$B35)+COUNTIF('9月'!N4:N34,$B35)+COUNTIF('9月'!O4:O34,$B35)+COUNTIF('9月'!S4:S34,$B35)+COUNTIF('9月'!T4:T34,$B35)+COUNTIF('9月'!X4:X34,$B35)+COUNTIF('9月'!Y4:Y34,$B35)+COUNTIF('9月'!AC4:AC34,$B35)+COUNTIF('9月'!AD4:AD34,$B35)+COUNTIF('9月'!AH4:AH34,$B35)+COUNTIF('9月'!AI4:AI34,$B35)+COUNTIF('9月'!AM4:AM34,$B35)+COUNTIF('9月'!AN4:AN34,$B35)+COUNTIF('9月'!AR4:AR34,$B35)+COUNTIF('9月'!AS4:AS34,$B35)+COUNTIF('9月'!AW4:AW34,$B35)+COUNTIF('9月'!AX4:AX34,$B35)+COUNTIF('9月'!BB4:BB34,$B35)+COUNTIF('9月'!BC4:BC34,$B35)+COUNTIF('9月'!BG4:BG34,$B35)+COUNTIF('9月'!BH4:BH34,$B35)+COUNTIF('9月'!BL4:BL34,$B35)+COUNTIF('9月'!BM4:BM34,$B35)+COUNTIF('9月'!BQ4:BQ34,$B35)+COUNTIF('9月'!BR4:BR34,$B35)+COUNTIF('9月'!BV4:BV34,$B35)+COUNTIF('9月'!BW4:BW34,$B35)+COUNTIF('9月'!CA4:CA34,$B35)+COUNTIF('9月'!CB4:CB34,$B35)+COUNTIF('9月'!CF4:CF34,$B35)+COUNTIF('9月'!CG4:CG34,$B35)+COUNTIF('9月'!CK4:CK34,$B35)+COUNTIF('9月'!CL4:CL34,$B35)+COUNTIF('9月'!CP4:CP34,$B35)+COUNTIF('9月'!CQ4:CQ34,$B35)+COUNTIF('9月'!CU4:CU34,$B35)+COUNTIF('9月'!CV4:CV34,$B35)+COUNTIF('9月'!CZ4:CZ34,$B35)+COUNTIF('9月'!DA4:DA34,$B35)+COUNTIF('9月'!DE4:DE34,$B35)+COUNTIF('9月'!DF4:DF34,$B35)+COUNTIF('9月'!DJ4:DJ34,$B35)+COUNTIF('9月'!DK4:DK34,$B35)+COUNTIF('9月'!DO4:DO34,$B35)+COUNTIF('9月'!DP4:DP34,$B35)+COUNTIF('9月'!DT4:DT34,$B35)+COUNTIF('9月'!DU4:DU34,$B35)+COUNTIF('9月'!DY4:DY34,$B35)+COUNTIF('9月'!DZ4:DZ34,$B35)+COUNTIF('9月'!ED4:ED34,$B35)+COUNTIF('9月'!EE4:EE34,$B35)+COUNTIF('9月'!EI4:EI34,$B35)+COUNTIF('9月'!EJ4:EJ34,$B35)+COUNTIF('9月'!EN4:EN34,$B35)+COUNTIF('9月'!EO4:EO34,$B35)+COUNTIF('9月'!ES4:ES34,$B35)+COUNTIF('9月'!ET4:ET34,$B35)),0)</f>
        <v>0</v>
      </c>
      <c r="L35" s="76">
        <f>IFERROR(IF($B35="","",COUNTIF('10月'!D4:D34,$B35)+COUNTIF('10月'!E4:E34,$B35)+COUNTIF('10月'!I4:I34,$B35)+COUNTIF('10月'!J4:J34,$B35)+COUNTIF('10月'!N4:N34,$B35)+COUNTIF('10月'!O4:O34,$B35)+COUNTIF('10月'!S4:S34,$B35)+COUNTIF('10月'!T4:T34,$B35)+COUNTIF('10月'!X4:X34,$B35)+COUNTIF('10月'!Y4:Y34,$B35)+COUNTIF('10月'!AC4:AC34,$B35)+COUNTIF('10月'!AD4:AD34,$B35)+COUNTIF('10月'!AH4:AH34,$B35)+COUNTIF('10月'!AI4:AI34,$B35)+COUNTIF('10月'!AM4:AM34,$B35)+COUNTIF('10月'!AN4:AN34,$B35)+COUNTIF('10月'!AR4:AR34,$B35)+COUNTIF('10月'!AS4:AS34,$B35)+COUNTIF('10月'!AW4:AW34,$B35)+COUNTIF('10月'!AX4:AX34,$B35)+COUNTIF('10月'!BB4:BB34,$B35)+COUNTIF('10月'!BC4:BC34,$B35)+COUNTIF('10月'!BG4:BG34,$B35)+COUNTIF('10月'!BH4:BH34,$B35)+COUNTIF('10月'!BL4:BL34,$B35)+COUNTIF('10月'!BM4:BM34,$B35)+COUNTIF('10月'!BQ4:BQ34,$B35)+COUNTIF('10月'!BR4:BR34,$B35)+COUNTIF('10月'!BV4:BV34,$B35)+COUNTIF('10月'!BW4:BW34,$B35)+COUNTIF('10月'!CA4:CA34,$B35)+COUNTIF('10月'!CB4:CB34,$B35)+COUNTIF('10月'!CF4:CF34,$B35)+COUNTIF('10月'!CG4:CG34,$B35)+COUNTIF('10月'!CK4:CK34,$B35)+COUNTIF('10月'!CL4:CL34,$B35)+COUNTIF('10月'!CP4:CP34,$B35)+COUNTIF('10月'!CQ4:CQ34,$B35)+COUNTIF('10月'!CU4:CU34,$B35)+COUNTIF('10月'!CV4:CV34,$B35)+COUNTIF('10月'!CZ4:CZ34,$B35)+COUNTIF('10月'!DA4:DA34,$B35)+COUNTIF('10月'!DE4:DE34,$B35)+COUNTIF('10月'!DF4:DF34,$B35)+COUNTIF('10月'!DJ4:DJ34,$B35)+COUNTIF('10月'!DK4:DK34,$B35)+COUNTIF('10月'!DO4:DO34,$B35)+COUNTIF('10月'!DP4:DP34,$B35)+COUNTIF('10月'!DT4:DT34,$B35)+COUNTIF('10月'!DU4:DU34,$B35)+COUNTIF('10月'!DY4:DY34,$B35)+COUNTIF('10月'!DZ4:DZ34,$B35)+COUNTIF('10月'!ED4:ED34,$B35)+COUNTIF('10月'!EE4:EE34,$B35)+COUNTIF('10月'!EI4:EI34,$B35)+COUNTIF('10月'!EJ4:EJ34,$B35)+COUNTIF('10月'!EN4:EN34,$B35)+COUNTIF('10月'!EO4:EO34,$B35)+COUNTIF('10月'!ES4:ES34,$B35)+COUNTIF('10月'!ET4:ET34,$B35)),0)</f>
        <v>0</v>
      </c>
      <c r="M35" s="76">
        <f>IFERROR(IF($B35="","",COUNTIF('11月'!D4:D34,$B35)+COUNTIF('11月'!E4:E34,$B35)+COUNTIF('11月'!I4:I34,$B35)+COUNTIF('11月'!J4:J34,$B35)+COUNTIF('11月'!N4:N34,$B35)+COUNTIF('11月'!O4:O34,$B35)+COUNTIF('11月'!S4:S34,$B35)+COUNTIF('11月'!T4:T34,$B35)+COUNTIF('11月'!X4:X34,$B35)+COUNTIF('11月'!Y4:Y34,$B35)+COUNTIF('11月'!AC4:AC34,$B35)+COUNTIF('11月'!AD4:AD34,$B35)+COUNTIF('11月'!AH4:AH34,$B35)+COUNTIF('11月'!AI4:AI34,$B35)+COUNTIF('11月'!AM4:AM34,$B35)+COUNTIF('11月'!AN4:AN34,$B35)+COUNTIF('11月'!AR4:AR34,$B35)+COUNTIF('11月'!AS4:AS34,$B35)+COUNTIF('11月'!AW4:AW34,$B35)+COUNTIF('11月'!AX4:AX34,$B35)+COUNTIF('11月'!BB4:BB34,$B35)+COUNTIF('11月'!BC4:BC34,$B35)+COUNTIF('11月'!BG4:BG34,$B35)+COUNTIF('11月'!BH4:BH34,$B35)+COUNTIF('11月'!BL4:BL34,$B35)+COUNTIF('11月'!BM4:BM34,$B35)+COUNTIF('11月'!BQ4:BQ34,$B35)+COUNTIF('11月'!BR4:BR34,$B35)+COUNTIF('11月'!BV4:BV34,$B35)+COUNTIF('11月'!BW4:BW34,$B35)+COUNTIF('11月'!CA4:CA34,$B35)+COUNTIF('11月'!CB4:CB34,$B35)+COUNTIF('11月'!CF4:CF34,$B35)+COUNTIF('11月'!CG4:CG34,$B35)+COUNTIF('11月'!CK4:CK34,$B35)+COUNTIF('11月'!CL4:CL34,$B35)+COUNTIF('11月'!CP4:CP34,$B35)+COUNTIF('11月'!CQ4:CQ34,$B35)+COUNTIF('11月'!CU4:CU34,$B35)+COUNTIF('11月'!CV4:CV34,$B35)+COUNTIF('11月'!CZ4:CZ34,$B35)+COUNTIF('11月'!DA4:DA34,$B35)+COUNTIF('11月'!DE4:DE34,$B35)+COUNTIF('11月'!DF4:DF34,$B35)+COUNTIF('11月'!DJ4:DJ34,$B35)+COUNTIF('11月'!DK4:DK34,$B35)+COUNTIF('11月'!DO4:DO34,$B35)+COUNTIF('11月'!DP4:DP34,$B35)+COUNTIF('11月'!DT4:DT34,$B35)+COUNTIF('11月'!DU4:DU34,$B35)+COUNTIF('11月'!DY4:DY34,$B35)+COUNTIF('11月'!DZ4:DZ34,$B35)+COUNTIF('11月'!ED4:ED34,$B35)+COUNTIF('11月'!EE4:EE34,$B35)+COUNTIF('11月'!EI4:EI34,$B35)+COUNTIF('11月'!EJ4:EJ34,$B35)+COUNTIF('11月'!EN4:EN34,$B35)+COUNTIF('11月'!EO4:EO34,$B35)+COUNTIF('11月'!ES4:ES34,$B35)+COUNTIF('11月'!ET4:ET34,$B35)),0)</f>
        <v>0</v>
      </c>
      <c r="N35" s="76">
        <f>IFERROR(IF($B35="","",COUNTIF('12月'!D4:D34,$B35)+COUNTIF('12月'!E4:E34,$B35)+COUNTIF('12月'!I4:I34,$B35)+COUNTIF('12月'!J4:J34,$B35)+COUNTIF('12月'!N4:N34,$B35)+COUNTIF('12月'!O4:O34,$B35)+COUNTIF('12月'!S4:S34,$B35)+COUNTIF('12月'!T4:T34,$B35)+COUNTIF('12月'!X4:X34,$B35)+COUNTIF('12月'!Y4:Y34,$B35)+COUNTIF('12月'!AC4:AC34,$B35)+COUNTIF('12月'!AD4:AD34,$B35)+COUNTIF('12月'!AH4:AH34,$B35)+COUNTIF('12月'!AI4:AI34,$B35)+COUNTIF('12月'!AM4:AM34,$B35)+COUNTIF('12月'!AN4:AN34,$B35)+COUNTIF('12月'!AR4:AR34,$B35)+COUNTIF('12月'!AS4:AS34,$B35)+COUNTIF('12月'!AW4:AW34,$B35)+COUNTIF('12月'!AX4:AX34,$B35)+COUNTIF('12月'!BB4:BB34,$B35)+COUNTIF('12月'!BC4:BC34,$B35)+COUNTIF('12月'!BG4:BG34,$B35)+COUNTIF('12月'!BH4:BH34,$B35)+COUNTIF('12月'!BL4:BL34,$B35)+COUNTIF('12月'!BM4:BM34,$B35)+COUNTIF('12月'!BQ4:BQ34,$B35)+COUNTIF('12月'!BR4:BR34,$B35)+COUNTIF('12月'!BV4:BV34,$B35)+COUNTIF('12月'!BW4:BW34,$B35)+COUNTIF('12月'!CA4:CA34,$B35)+COUNTIF('12月'!CB4:CB34,$B35)+COUNTIF('12月'!CF4:CF34,$B35)+COUNTIF('12月'!CG4:CG34,$B35)+COUNTIF('12月'!CK4:CK34,$B35)+COUNTIF('12月'!CL4:CL34,$B35)+COUNTIF('12月'!CP4:CP34,$B35)+COUNTIF('12月'!CQ4:CQ34,$B35)+COUNTIF('12月'!CU4:CU34,$B35)+COUNTIF('12月'!CV4:CV34,$B35)+COUNTIF('12月'!CZ4:CZ34,$B35)+COUNTIF('12月'!DA4:DA34,$B35)+COUNTIF('12月'!DE4:DE34,$B35)+COUNTIF('12月'!DF4:DF34,$B35)+COUNTIF('12月'!DJ4:DJ34,$B35)+COUNTIF('12月'!DK4:DK34,$B35)+COUNTIF('12月'!DO4:DO34,$B35)+COUNTIF('12月'!DP4:DP34,$B35)+COUNTIF('12月'!DT4:DT34,$B35)+COUNTIF('12月'!DU4:DU34,$B35)+COUNTIF('12月'!DY4:DY34,$B35)+COUNTIF('12月'!DZ4:DZ34,$B35)+COUNTIF('12月'!ED4:ED34,$B35)+COUNTIF('12月'!EE4:EE34,$B35)+COUNTIF('12月'!EI4:EI34,$B35)+COUNTIF('12月'!EJ4:EJ34,$B35)+COUNTIF('12月'!EN4:EN34,$B35)+COUNTIF('12月'!EO4:EO34,$B35)+COUNTIF('12月'!ES4:ES34,$B35)+COUNTIF('12月'!ET4:ET34,$B35)),0)</f>
        <v>0</v>
      </c>
      <c r="O35" s="78">
        <f t="shared" si="0"/>
        <v>0</v>
      </c>
    </row>
    <row r="36" spans="1:15" ht="19.5" customHeight="1">
      <c r="A36" s="76">
        <v>34</v>
      </c>
      <c r="B36" s="77">
        <f>IFERROR(現場マスタ!$C$37,"")</f>
        <v>0</v>
      </c>
      <c r="C36" s="76">
        <f>IFERROR(IF($B36="","",COUNTIF('1月'!D4:D34,$B36)+COUNTIF('1月'!E4:E34,$B36)+COUNTIF('1月'!I4:I34,$B36)+COUNTIF('1月'!J4:J34,$B36)+COUNTIF('1月'!N4:N34,$B36)+COUNTIF('1月'!O4:O34,$B36)+COUNTIF('1月'!S4:S34,$B36)+COUNTIF('1月'!T4:T34,$B36)+COUNTIF('1月'!X4:X34,$B36)+COUNTIF('1月'!Y4:Y34,$B36)+COUNTIF('1月'!AC4:AC34,$B36)+COUNTIF('1月'!AD4:AD34,$B36)+COUNTIF('1月'!AH4:AH34,$B36)+COUNTIF('1月'!AI4:AI34,$B36)+COUNTIF('1月'!AM4:AM34,$B36)+COUNTIF('1月'!AN4:AN34,$B36)+COUNTIF('1月'!AR4:AR34,$B36)+COUNTIF('1月'!AS4:AS34,$B36)+COUNTIF('1月'!AW4:AW34,$B36)+COUNTIF('1月'!AX4:AX34,$B36)+COUNTIF('1月'!BB4:BB34,$B36)+COUNTIF('1月'!BC4:BC34,$B36)+COUNTIF('1月'!BG4:BG34,$B36)+COUNTIF('1月'!BH4:BH34,$B36)+COUNTIF('1月'!BL4:BL34,$B36)+COUNTIF('1月'!BM4:BM34,$B36)+COUNTIF('1月'!BQ4:BQ34,$B36)+COUNTIF('1月'!BR4:BR34,$B36)+COUNTIF('1月'!BV4:BV34,$B36)+COUNTIF('1月'!BW4:BW34,$B36)+COUNTIF('1月'!CA4:CA34,$B36)+COUNTIF('1月'!CB4:CB34,$B36)+COUNTIF('1月'!CF4:CF34,$B36)+COUNTIF('1月'!CG4:CG34,$B36)+COUNTIF('1月'!CK4:CK34,$B36)+COUNTIF('1月'!CL4:CL34,$B36)+COUNTIF('1月'!CP4:CP34,$B36)+COUNTIF('1月'!CQ4:CQ34,$B36)+COUNTIF('1月'!CU4:CU34,$B36)+COUNTIF('1月'!CV4:CV34,$B36)+COUNTIF('1月'!CZ4:CZ34,$B36)+COUNTIF('1月'!DA4:DA34,$B36)+COUNTIF('1月'!DE4:DE34,$B36)+COUNTIF('1月'!DF4:DF34,$B36)+COUNTIF('1月'!DJ4:DJ34,$B36)+COUNTIF('1月'!DK4:DK34,$B36)+COUNTIF('1月'!DO4:DO34,$B36)+COUNTIF('1月'!DP4:DP34,$B36)+COUNTIF('1月'!DT4:DT34,$B36)+COUNTIF('1月'!DU4:DU34,$B36)+COUNTIF('1月'!DY4:DY34,$B36)+COUNTIF('1月'!DZ4:DZ34,$B36)+COUNTIF('1月'!ED4:ED34,$B36)+COUNTIF('1月'!EE4:EE34,$B36)+COUNTIF('1月'!EI4:EI34,$B36)+COUNTIF('1月'!EJ4:EJ34,$B36)+COUNTIF('1月'!EN4:EN34,$B36)+COUNTIF('1月'!EO4:EO34,$B36)+COUNTIF('1月'!ES4:ES34,$B36)+COUNTIF('1月'!ET4:ET34,$B36)),0)</f>
        <v>0</v>
      </c>
      <c r="D36" s="76">
        <f>IFERROR(IF($B36="","",COUNTIF('2月'!D4:D34,$B36)+COUNTIF('2月'!E4:E34,$B36)+COUNTIF('2月'!I4:I34,$B36)+COUNTIF('2月'!J4:J34,$B36)+COUNTIF('2月'!N4:N34,$B36)+COUNTIF('2月'!O4:O34,$B36)+COUNTIF('2月'!S4:S34,$B36)+COUNTIF('2月'!T4:T34,$B36)+COUNTIF('2月'!X4:X34,$B36)+COUNTIF('2月'!Y4:Y34,$B36)+COUNTIF('2月'!AC4:AC34,$B36)+COUNTIF('2月'!AD4:AD34,$B36)+COUNTIF('2月'!AH4:AH34,$B36)+COUNTIF('2月'!AI4:AI34,$B36)+COUNTIF('2月'!AM4:AM34,$B36)+COUNTIF('2月'!AN4:AN34,$B36)+COUNTIF('2月'!AR4:AR34,$B36)+COUNTIF('2月'!AS4:AS34,$B36)+COUNTIF('2月'!AW4:AW34,$B36)+COUNTIF('2月'!AX4:AX34,$B36)+COUNTIF('2月'!BB4:BB34,$B36)+COUNTIF('2月'!BC4:BC34,$B36)+COUNTIF('2月'!BG4:BG34,$B36)+COUNTIF('2月'!BH4:BH34,$B36)+COUNTIF('2月'!BL4:BL34,$B36)+COUNTIF('2月'!BM4:BM34,$B36)+COUNTIF('2月'!BQ4:BQ34,$B36)+COUNTIF('2月'!BR4:BR34,$B36)+COUNTIF('2月'!BV4:BV34,$B36)+COUNTIF('2月'!BW4:BW34,$B36)+COUNTIF('2月'!CA4:CA34,$B36)+COUNTIF('2月'!CB4:CB34,$B36)+COUNTIF('2月'!CF4:CF34,$B36)+COUNTIF('2月'!CG4:CG34,$B36)+COUNTIF('2月'!CK4:CK34,$B36)+COUNTIF('2月'!CL4:CL34,$B36)+COUNTIF('2月'!CP4:CP34,$B36)+COUNTIF('2月'!CQ4:CQ34,$B36)+COUNTIF('2月'!CU4:CU34,$B36)+COUNTIF('2月'!CV4:CV34,$B36)+COUNTIF('2月'!CZ4:CZ34,$B36)+COUNTIF('2月'!DA4:DA34,$B36)+COUNTIF('2月'!DE4:DE34,$B36)+COUNTIF('2月'!DF4:DF34,$B36)+COUNTIF('2月'!DJ4:DJ34,$B36)+COUNTIF('2月'!DK4:DK34,$B36)+COUNTIF('2月'!DO4:DO34,$B36)+COUNTIF('2月'!DP4:DP34,$B36)+COUNTIF('2月'!DT4:DT34,$B36)+COUNTIF('2月'!DU4:DU34,$B36)+COUNTIF('2月'!DY4:DY34,$B36)+COUNTIF('2月'!DZ4:DZ34,$B36)+COUNTIF('2月'!ED4:ED34,$B36)+COUNTIF('2月'!EE4:EE34,$B36)+COUNTIF('2月'!EI4:EI34,$B36)+COUNTIF('2月'!EJ4:EJ34,$B36)+COUNTIF('2月'!EN4:EN34,$B36)+COUNTIF('2月'!EO4:EO34,$B36)+COUNTIF('2月'!ES4:ES34,$B36)+COUNTIF('2月'!ET4:ET34,$B36)),0)</f>
        <v>0</v>
      </c>
      <c r="E36" s="76">
        <f>IFERROR(IF($B36="","",COUNTIF('3月'!D4:D34,$B36)+COUNTIF('3月'!E4:E34,$B36)+COUNTIF('3月'!I4:I34,$B36)+COUNTIF('3月'!J4:J34,$B36)+COUNTIF('3月'!N4:N34,$B36)+COUNTIF('3月'!O4:O34,$B36)+COUNTIF('3月'!S4:S34,$B36)+COUNTIF('3月'!T4:T34,$B36)+COUNTIF('3月'!X4:X34,$B36)+COUNTIF('3月'!Y4:Y34,$B36)+COUNTIF('3月'!AC4:AC34,$B36)+COUNTIF('3月'!AD4:AD34,$B36)+COUNTIF('3月'!AH4:AH34,$B36)+COUNTIF('3月'!AI4:AI34,$B36)+COUNTIF('3月'!AM4:AM34,$B36)+COUNTIF('3月'!AN4:AN34,$B36)+COUNTIF('3月'!AR4:AR34,$B36)+COUNTIF('3月'!AS4:AS34,$B36)+COUNTIF('3月'!AW4:AW34,$B36)+COUNTIF('3月'!AX4:AX34,$B36)+COUNTIF('3月'!BB4:BB34,$B36)+COUNTIF('3月'!BC4:BC34,$B36)+COUNTIF('3月'!BG4:BG34,$B36)+COUNTIF('3月'!BH4:BH34,$B36)+COUNTIF('3月'!BL4:BL34,$B36)+COUNTIF('3月'!BM4:BM34,$B36)+COUNTIF('3月'!BQ4:BQ34,$B36)+COUNTIF('3月'!BR4:BR34,$B36)+COUNTIF('3月'!BV4:BV34,$B36)+COUNTIF('3月'!BW4:BW34,$B36)+COUNTIF('3月'!CA4:CA34,$B36)+COUNTIF('3月'!CB4:CB34,$B36)+COUNTIF('3月'!CF4:CF34,$B36)+COUNTIF('3月'!CG4:CG34,$B36)+COUNTIF('3月'!CK4:CK34,$B36)+COUNTIF('3月'!CL4:CL34,$B36)+COUNTIF('3月'!CP4:CP34,$B36)+COUNTIF('3月'!CQ4:CQ34,$B36)+COUNTIF('3月'!CU4:CU34,$B36)+COUNTIF('3月'!CV4:CV34,$B36)+COUNTIF('3月'!CZ4:CZ34,$B36)+COUNTIF('3月'!DA4:DA34,$B36)+COUNTIF('3月'!DE4:DE34,$B36)+COUNTIF('3月'!DF4:DF34,$B36)+COUNTIF('3月'!DJ4:DJ34,$B36)+COUNTIF('3月'!DK4:DK34,$B36)+COUNTIF('3月'!DO4:DO34,$B36)+COUNTIF('3月'!DP4:DP34,$B36)+COUNTIF('3月'!DT4:DT34,$B36)+COUNTIF('3月'!DU4:DU34,$B36)+COUNTIF('3月'!DY4:DY34,$B36)+COUNTIF('3月'!DZ4:DZ34,$B36)+COUNTIF('3月'!ED4:ED34,$B36)+COUNTIF('3月'!EE4:EE34,$B36)+COUNTIF('3月'!EI4:EI34,$B36)+COUNTIF('3月'!EJ4:EJ34,$B36)+COUNTIF('3月'!EN4:EN34,$B36)+COUNTIF('3月'!EO4:EO34,$B36)+COUNTIF('3月'!ES4:ES34,$B36)+COUNTIF('3月'!ET4:ET34,$B36)),0)</f>
        <v>0</v>
      </c>
      <c r="F36" s="76">
        <f>IFERROR(IF($B36="","",COUNTIF('4月'!D4:D34,$B36)+COUNTIF('4月'!E4:E34,$B36)+COUNTIF('4月'!I4:I34,$B36)+COUNTIF('4月'!J4:J34,$B36)+COUNTIF('4月'!N4:N34,$B36)+COUNTIF('4月'!O4:O34,$B36)+COUNTIF('4月'!S4:S34,$B36)+COUNTIF('4月'!T4:T34,$B36)+COUNTIF('4月'!X4:X34,$B36)+COUNTIF('4月'!Y4:Y34,$B36)+COUNTIF('4月'!AC4:AC34,$B36)+COUNTIF('4月'!AD4:AD34,$B36)+COUNTIF('4月'!AH4:AH34,$B36)+COUNTIF('4月'!AI4:AI34,$B36)+COUNTIF('4月'!AM4:AM34,$B36)+COUNTIF('4月'!AN4:AN34,$B36)+COUNTIF('4月'!AR4:AR34,$B36)+COUNTIF('4月'!AS4:AS34,$B36)+COUNTIF('4月'!AW4:AW34,$B36)+COUNTIF('4月'!AX4:AX34,$B36)+COUNTIF('4月'!BB4:BB34,$B36)+COUNTIF('4月'!BC4:BC34,$B36)+COUNTIF('4月'!BG4:BG34,$B36)+COUNTIF('4月'!BH4:BH34,$B36)+COUNTIF('4月'!BL4:BL34,$B36)+COUNTIF('4月'!BM4:BM34,$B36)+COUNTIF('4月'!BQ4:BQ34,$B36)+COUNTIF('4月'!BR4:BR34,$B36)+COUNTIF('4月'!BV4:BV34,$B36)+COUNTIF('4月'!BW4:BW34,$B36)+COUNTIF('4月'!CA4:CA34,$B36)+COUNTIF('4月'!CB4:CB34,$B36)+COUNTIF('4月'!CF4:CF34,$B36)+COUNTIF('4月'!CG4:CG34,$B36)+COUNTIF('4月'!CK4:CK34,$B36)+COUNTIF('4月'!CL4:CL34,$B36)+COUNTIF('4月'!CP4:CP34,$B36)+COUNTIF('4月'!CQ4:CQ34,$B36)+COUNTIF('4月'!CU4:CU34,$B36)+COUNTIF('4月'!CV4:CV34,$B36)+COUNTIF('4月'!CZ4:CZ34,$B36)+COUNTIF('4月'!DA4:DA34,$B36)+COUNTIF('4月'!DE4:DE34,$B36)+COUNTIF('4月'!DF4:DF34,$B36)+COUNTIF('4月'!DJ4:DJ34,$B36)+COUNTIF('4月'!DK4:DK34,$B36)+COUNTIF('4月'!DO4:DO34,$B36)+COUNTIF('4月'!DP4:DP34,$B36)+COUNTIF('4月'!DT4:DT34,$B36)+COUNTIF('4月'!DU4:DU34,$B36)+COUNTIF('4月'!DY4:DY34,$B36)+COUNTIF('4月'!DZ4:DZ34,$B36)+COUNTIF('4月'!ED4:ED34,$B36)+COUNTIF('4月'!EE4:EE34,$B36)+COUNTIF('4月'!EI4:EI34,$B36)+COUNTIF('4月'!EJ4:EJ34,$B36)+COUNTIF('4月'!EN4:EN34,$B36)+COUNTIF('4月'!EO4:EO34,$B36)+COUNTIF('4月'!ES4:ES34,$B36)+COUNTIF('4月'!ET4:ET34,$B36)),0)</f>
        <v>0</v>
      </c>
      <c r="G36" s="76">
        <f>IFERROR(IF($B36="","",COUNTIF('5月'!D4:D34,$B36)+COUNTIF('5月'!E4:E34,$B36)+COUNTIF('5月'!I4:I34,$B36)+COUNTIF('5月'!J4:J34,$B36)+COUNTIF('5月'!N4:N34,$B36)+COUNTIF('5月'!O4:O34,$B36)+COUNTIF('5月'!S4:S34,$B36)+COUNTIF('5月'!T4:T34,$B36)+COUNTIF('5月'!X4:X34,$B36)+COUNTIF('5月'!Y4:Y34,$B36)+COUNTIF('5月'!AC4:AC34,$B36)+COUNTIF('5月'!AD4:AD34,$B36)+COUNTIF('5月'!AH4:AH34,$B36)+COUNTIF('5月'!AI4:AI34,$B36)+COUNTIF('5月'!AM4:AM34,$B36)+COUNTIF('5月'!AN4:AN34,$B36)+COUNTIF('5月'!AR4:AR34,$B36)+COUNTIF('5月'!AS4:AS34,$B36)+COUNTIF('5月'!AW4:AW34,$B36)+COUNTIF('5月'!AX4:AX34,$B36)+COUNTIF('5月'!BB4:BB34,$B36)+COUNTIF('5月'!BC4:BC34,$B36)+COUNTIF('5月'!BG4:BG34,$B36)+COUNTIF('5月'!BH4:BH34,$B36)+COUNTIF('5月'!BL4:BL34,$B36)+COUNTIF('5月'!BM4:BM34,$B36)+COUNTIF('5月'!BQ4:BQ34,$B36)+COUNTIF('5月'!BR4:BR34,$B36)+COUNTIF('5月'!BV4:BV34,$B36)+COUNTIF('5月'!BW4:BW34,$B36)+COUNTIF('5月'!CA4:CA34,$B36)+COUNTIF('5月'!CB4:CB34,$B36)+COUNTIF('5月'!CF4:CF34,$B36)+COUNTIF('5月'!CG4:CG34,$B36)+COUNTIF('5月'!CK4:CK34,$B36)+COUNTIF('5月'!CL4:CL34,$B36)+COUNTIF('5月'!CP4:CP34,$B36)+COUNTIF('5月'!CQ4:CQ34,$B36)+COUNTIF('5月'!CU4:CU34,$B36)+COUNTIF('5月'!CV4:CV34,$B36)+COUNTIF('5月'!CZ4:CZ34,$B36)+COUNTIF('5月'!DA4:DA34,$B36)+COUNTIF('5月'!DE4:DE34,$B36)+COUNTIF('5月'!DF4:DF34,$B36)+COUNTIF('5月'!DJ4:DJ34,$B36)+COUNTIF('5月'!DK4:DK34,$B36)+COUNTIF('5月'!DO4:DO34,$B36)+COUNTIF('5月'!DP4:DP34,$B36)+COUNTIF('5月'!DT4:DT34,$B36)+COUNTIF('5月'!DU4:DU34,$B36)+COUNTIF('5月'!DY4:DY34,$B36)+COUNTIF('5月'!DZ4:DZ34,$B36)+COUNTIF('5月'!ED4:ED34,$B36)+COUNTIF('5月'!EE4:EE34,$B36)+COUNTIF('5月'!EI4:EI34,$B36)+COUNTIF('5月'!EJ4:EJ34,$B36)+COUNTIF('5月'!EN4:EN34,$B36)+COUNTIF('5月'!EO4:EO34,$B36)+COUNTIF('5月'!ES4:ES34,$B36)+COUNTIF('5月'!ET4:ET34,$B36)),0)</f>
        <v>0</v>
      </c>
      <c r="H36" s="76">
        <f>IFERROR(IF($B36="","",COUNTIF('6月'!D4:D34,$B36)+COUNTIF('6月'!E4:E34,$B36)+COUNTIF('6月'!I4:I34,$B36)+COUNTIF('6月'!J4:J34,$B36)+COUNTIF('6月'!N4:N34,$B36)+COUNTIF('6月'!O4:O34,$B36)+COUNTIF('6月'!S4:S34,$B36)+COUNTIF('6月'!T4:T34,$B36)+COUNTIF('6月'!X4:X34,$B36)+COUNTIF('6月'!Y4:Y34,$B36)+COUNTIF('6月'!AC4:AC34,$B36)+COUNTIF('6月'!AD4:AD34,$B36)+COUNTIF('6月'!AH4:AH34,$B36)+COUNTIF('6月'!AI4:AI34,$B36)+COUNTIF('6月'!AM4:AM34,$B36)+COUNTIF('6月'!AN4:AN34,$B36)+COUNTIF('6月'!AR4:AR34,$B36)+COUNTIF('6月'!AS4:AS34,$B36)+COUNTIF('6月'!AW4:AW34,$B36)+COUNTIF('6月'!AX4:AX34,$B36)+COUNTIF('6月'!BB4:BB34,$B36)+COUNTIF('6月'!BC4:BC34,$B36)+COUNTIF('6月'!BG4:BG34,$B36)+COUNTIF('6月'!BH4:BH34,$B36)+COUNTIF('6月'!BL4:BL34,$B36)+COUNTIF('6月'!BM4:BM34,$B36)+COUNTIF('6月'!BQ4:BQ34,$B36)+COUNTIF('6月'!BR4:BR34,$B36)+COUNTIF('6月'!BV4:BV34,$B36)+COUNTIF('6月'!BW4:BW34,$B36)+COUNTIF('6月'!CA4:CA34,$B36)+COUNTIF('6月'!CB4:CB34,$B36)+COUNTIF('6月'!CF4:CF34,$B36)+COUNTIF('6月'!CG4:CG34,$B36)+COUNTIF('6月'!CK4:CK34,$B36)+COUNTIF('6月'!CL4:CL34,$B36)+COUNTIF('6月'!CP4:CP34,$B36)+COUNTIF('6月'!CQ4:CQ34,$B36)+COUNTIF('6月'!CU4:CU34,$B36)+COUNTIF('6月'!CV4:CV34,$B36)+COUNTIF('6月'!CZ4:CZ34,$B36)+COUNTIF('6月'!DA4:DA34,$B36)+COUNTIF('6月'!DE4:DE34,$B36)+COUNTIF('6月'!DF4:DF34,$B36)+COUNTIF('6月'!DJ4:DJ34,$B36)+COUNTIF('6月'!DK4:DK34,$B36)+COUNTIF('6月'!DO4:DO34,$B36)+COUNTIF('6月'!DP4:DP34,$B36)+COUNTIF('6月'!DT4:DT34,$B36)+COUNTIF('6月'!DU4:DU34,$B36)+COUNTIF('6月'!DY4:DY34,$B36)+COUNTIF('6月'!DZ4:DZ34,$B36)+COUNTIF('6月'!ED4:ED34,$B36)+COUNTIF('6月'!EE4:EE34,$B36)+COUNTIF('6月'!EI4:EI34,$B36)+COUNTIF('6月'!EJ4:EJ34,$B36)+COUNTIF('6月'!EN4:EN34,$B36)+COUNTIF('6月'!EO4:EO34,$B36)+COUNTIF('6月'!ES4:ES34,$B36)+COUNTIF('6月'!ET4:ET34,$B36)),0)</f>
        <v>0</v>
      </c>
      <c r="I36" s="76">
        <f>IFERROR(IF($B36="","",COUNTIF('7月'!D4:D34,$B36)+COUNTIF('7月'!E4:E34,$B36)+COUNTIF('7月'!I4:I34,$B36)+COUNTIF('7月'!J4:J34,$B36)+COUNTIF('7月'!N4:N34,$B36)+COUNTIF('7月'!O4:O34,$B36)+COUNTIF('7月'!S4:S34,$B36)+COUNTIF('7月'!T4:T34,$B36)+COUNTIF('7月'!X4:X34,$B36)+COUNTIF('7月'!Y4:Y34,$B36)+COUNTIF('7月'!AC4:AC34,$B36)+COUNTIF('7月'!AD4:AD34,$B36)+COUNTIF('7月'!AH4:AH34,$B36)+COUNTIF('7月'!AI4:AI34,$B36)+COUNTIF('7月'!AM4:AM34,$B36)+COUNTIF('7月'!AN4:AN34,$B36)+COUNTIF('7月'!AR4:AR34,$B36)+COUNTIF('7月'!AS4:AS34,$B36)+COUNTIF('7月'!AW4:AW34,$B36)+COUNTIF('7月'!AX4:AX34,$B36)+COUNTIF('7月'!BB4:BB34,$B36)+COUNTIF('7月'!BC4:BC34,$B36)+COUNTIF('7月'!BG4:BG34,$B36)+COUNTIF('7月'!BH4:BH34,$B36)+COUNTIF('7月'!BL4:BL34,$B36)+COUNTIF('7月'!BM4:BM34,$B36)+COUNTIF('7月'!BQ4:BQ34,$B36)+COUNTIF('7月'!BR4:BR34,$B36)+COUNTIF('7月'!BV4:BV34,$B36)+COUNTIF('7月'!BW4:BW34,$B36)+COUNTIF('7月'!CA4:CA34,$B36)+COUNTIF('7月'!CB4:CB34,$B36)+COUNTIF('7月'!CF4:CF34,$B36)+COUNTIF('7月'!CG4:CG34,$B36)+COUNTIF('7月'!CK4:CK34,$B36)+COUNTIF('7月'!CL4:CL34,$B36)+COUNTIF('7月'!CP4:CP34,$B36)+COUNTIF('7月'!CQ4:CQ34,$B36)+COUNTIF('7月'!CU4:CU34,$B36)+COUNTIF('7月'!CV4:CV34,$B36)+COUNTIF('7月'!CZ4:CZ34,$B36)+COUNTIF('7月'!DA4:DA34,$B36)+COUNTIF('7月'!DE4:DE34,$B36)+COUNTIF('7月'!DF4:DF34,$B36)+COUNTIF('7月'!DJ4:DJ34,$B36)+COUNTIF('7月'!DK4:DK34,$B36)+COUNTIF('7月'!DO4:DO34,$B36)+COUNTIF('7月'!DP4:DP34,$B36)+COUNTIF('7月'!DT4:DT34,$B36)+COUNTIF('7月'!DU4:DU34,$B36)+COUNTIF('7月'!DY4:DY34,$B36)+COUNTIF('7月'!DZ4:DZ34,$B36)+COUNTIF('7月'!ED4:ED34,$B36)+COUNTIF('7月'!EE4:EE34,$B36)+COUNTIF('7月'!EI4:EI34,$B36)+COUNTIF('7月'!EJ4:EJ34,$B36)+COUNTIF('7月'!EN4:EN34,$B36)+COUNTIF('7月'!EO4:EO34,$B36)+COUNTIF('7月'!ES4:ES34,$B36)+COUNTIF('7月'!ET4:ET34,$B36)),0)</f>
        <v>0</v>
      </c>
      <c r="J36" s="76">
        <f>IFERROR(IF($B36="","",COUNTIF('8月'!D4:D34,$B36)+COUNTIF('8月'!E4:E34,$B36)+COUNTIF('8月'!I4:I34,$B36)+COUNTIF('8月'!J4:J34,$B36)+COUNTIF('8月'!N4:N34,$B36)+COUNTIF('8月'!O4:O34,$B36)+COUNTIF('8月'!S4:S34,$B36)+COUNTIF('8月'!T4:T34,$B36)+COUNTIF('8月'!X4:X34,$B36)+COUNTIF('8月'!Y4:Y34,$B36)+COUNTIF('8月'!AC4:AC34,$B36)+COUNTIF('8月'!AD4:AD34,$B36)+COUNTIF('8月'!AH4:AH34,$B36)+COUNTIF('8月'!AI4:AI34,$B36)+COUNTIF('8月'!AM4:AM34,$B36)+COUNTIF('8月'!AN4:AN34,$B36)+COUNTIF('8月'!AR4:AR34,$B36)+COUNTIF('8月'!AS4:AS34,$B36)+COUNTIF('8月'!AW4:AW34,$B36)+COUNTIF('8月'!AX4:AX34,$B36)+COUNTIF('8月'!BB4:BB34,$B36)+COUNTIF('8月'!BC4:BC34,$B36)+COUNTIF('8月'!BG4:BG34,$B36)+COUNTIF('8月'!BH4:BH34,$B36)+COUNTIF('8月'!BL4:BL34,$B36)+COUNTIF('8月'!BM4:BM34,$B36)+COUNTIF('8月'!BQ4:BQ34,$B36)+COUNTIF('8月'!BR4:BR34,$B36)+COUNTIF('8月'!BV4:BV34,$B36)+COUNTIF('8月'!BW4:BW34,$B36)+COUNTIF('8月'!CA4:CA34,$B36)+COUNTIF('8月'!CB4:CB34,$B36)+COUNTIF('8月'!CF4:CF34,$B36)+COUNTIF('8月'!CG4:CG34,$B36)+COUNTIF('8月'!CK4:CK34,$B36)+COUNTIF('8月'!CL4:CL34,$B36)+COUNTIF('8月'!CP4:CP34,$B36)+COUNTIF('8月'!CQ4:CQ34,$B36)+COUNTIF('8月'!CU4:CU34,$B36)+COUNTIF('8月'!CV4:CV34,$B36)+COUNTIF('8月'!CZ4:CZ34,$B36)+COUNTIF('8月'!DA4:DA34,$B36)+COUNTIF('8月'!DE4:DE34,$B36)+COUNTIF('8月'!DF4:DF34,$B36)+COUNTIF('8月'!DJ4:DJ34,$B36)+COUNTIF('8月'!DK4:DK34,$B36)+COUNTIF('8月'!DO4:DO34,$B36)+COUNTIF('8月'!DP4:DP34,$B36)+COUNTIF('8月'!DT4:DT34,$B36)+COUNTIF('8月'!DU4:DU34,$B36)+COUNTIF('8月'!DY4:DY34,$B36)+COUNTIF('8月'!DZ4:DZ34,$B36)+COUNTIF('8月'!ED4:ED34,$B36)+COUNTIF('8月'!EE4:EE34,$B36)+COUNTIF('8月'!EI4:EI34,$B36)+COUNTIF('8月'!EJ4:EJ34,$B36)+COUNTIF('8月'!EN4:EN34,$B36)+COUNTIF('8月'!EO4:EO34,$B36)+COUNTIF('8月'!ES4:ES34,$B36)+COUNTIF('8月'!ET4:ET34,$B36)),0)</f>
        <v>0</v>
      </c>
      <c r="K36" s="76">
        <f>IFERROR(IF($B36="","",COUNTIF('9月'!D4:D34,$B36)+COUNTIF('9月'!E4:E34,$B36)+COUNTIF('9月'!I4:I34,$B36)+COUNTIF('9月'!J4:J34,$B36)+COUNTIF('9月'!N4:N34,$B36)+COUNTIF('9月'!O4:O34,$B36)+COUNTIF('9月'!S4:S34,$B36)+COUNTIF('9月'!T4:T34,$B36)+COUNTIF('9月'!X4:X34,$B36)+COUNTIF('9月'!Y4:Y34,$B36)+COUNTIF('9月'!AC4:AC34,$B36)+COUNTIF('9月'!AD4:AD34,$B36)+COUNTIF('9月'!AH4:AH34,$B36)+COUNTIF('9月'!AI4:AI34,$B36)+COUNTIF('9月'!AM4:AM34,$B36)+COUNTIF('9月'!AN4:AN34,$B36)+COUNTIF('9月'!AR4:AR34,$B36)+COUNTIF('9月'!AS4:AS34,$B36)+COUNTIF('9月'!AW4:AW34,$B36)+COUNTIF('9月'!AX4:AX34,$B36)+COUNTIF('9月'!BB4:BB34,$B36)+COUNTIF('9月'!BC4:BC34,$B36)+COUNTIF('9月'!BG4:BG34,$B36)+COUNTIF('9月'!BH4:BH34,$B36)+COUNTIF('9月'!BL4:BL34,$B36)+COUNTIF('9月'!BM4:BM34,$B36)+COUNTIF('9月'!BQ4:BQ34,$B36)+COUNTIF('9月'!BR4:BR34,$B36)+COUNTIF('9月'!BV4:BV34,$B36)+COUNTIF('9月'!BW4:BW34,$B36)+COUNTIF('9月'!CA4:CA34,$B36)+COUNTIF('9月'!CB4:CB34,$B36)+COUNTIF('9月'!CF4:CF34,$B36)+COUNTIF('9月'!CG4:CG34,$B36)+COUNTIF('9月'!CK4:CK34,$B36)+COUNTIF('9月'!CL4:CL34,$B36)+COUNTIF('9月'!CP4:CP34,$B36)+COUNTIF('9月'!CQ4:CQ34,$B36)+COUNTIF('9月'!CU4:CU34,$B36)+COUNTIF('9月'!CV4:CV34,$B36)+COUNTIF('9月'!CZ4:CZ34,$B36)+COUNTIF('9月'!DA4:DA34,$B36)+COUNTIF('9月'!DE4:DE34,$B36)+COUNTIF('9月'!DF4:DF34,$B36)+COUNTIF('9月'!DJ4:DJ34,$B36)+COUNTIF('9月'!DK4:DK34,$B36)+COUNTIF('9月'!DO4:DO34,$B36)+COUNTIF('9月'!DP4:DP34,$B36)+COUNTIF('9月'!DT4:DT34,$B36)+COUNTIF('9月'!DU4:DU34,$B36)+COUNTIF('9月'!DY4:DY34,$B36)+COUNTIF('9月'!DZ4:DZ34,$B36)+COUNTIF('9月'!ED4:ED34,$B36)+COUNTIF('9月'!EE4:EE34,$B36)+COUNTIF('9月'!EI4:EI34,$B36)+COUNTIF('9月'!EJ4:EJ34,$B36)+COUNTIF('9月'!EN4:EN34,$B36)+COUNTIF('9月'!EO4:EO34,$B36)+COUNTIF('9月'!ES4:ES34,$B36)+COUNTIF('9月'!ET4:ET34,$B36)),0)</f>
        <v>0</v>
      </c>
      <c r="L36" s="76">
        <f>IFERROR(IF($B36="","",COUNTIF('10月'!D4:D34,$B36)+COUNTIF('10月'!E4:E34,$B36)+COUNTIF('10月'!I4:I34,$B36)+COUNTIF('10月'!J4:J34,$B36)+COUNTIF('10月'!N4:N34,$B36)+COUNTIF('10月'!O4:O34,$B36)+COUNTIF('10月'!S4:S34,$B36)+COUNTIF('10月'!T4:T34,$B36)+COUNTIF('10月'!X4:X34,$B36)+COUNTIF('10月'!Y4:Y34,$B36)+COUNTIF('10月'!AC4:AC34,$B36)+COUNTIF('10月'!AD4:AD34,$B36)+COUNTIF('10月'!AH4:AH34,$B36)+COUNTIF('10月'!AI4:AI34,$B36)+COUNTIF('10月'!AM4:AM34,$B36)+COUNTIF('10月'!AN4:AN34,$B36)+COUNTIF('10月'!AR4:AR34,$B36)+COUNTIF('10月'!AS4:AS34,$B36)+COUNTIF('10月'!AW4:AW34,$B36)+COUNTIF('10月'!AX4:AX34,$B36)+COUNTIF('10月'!BB4:BB34,$B36)+COUNTIF('10月'!BC4:BC34,$B36)+COUNTIF('10月'!BG4:BG34,$B36)+COUNTIF('10月'!BH4:BH34,$B36)+COUNTIF('10月'!BL4:BL34,$B36)+COUNTIF('10月'!BM4:BM34,$B36)+COUNTIF('10月'!BQ4:BQ34,$B36)+COUNTIF('10月'!BR4:BR34,$B36)+COUNTIF('10月'!BV4:BV34,$B36)+COUNTIF('10月'!BW4:BW34,$B36)+COUNTIF('10月'!CA4:CA34,$B36)+COUNTIF('10月'!CB4:CB34,$B36)+COUNTIF('10月'!CF4:CF34,$B36)+COUNTIF('10月'!CG4:CG34,$B36)+COUNTIF('10月'!CK4:CK34,$B36)+COUNTIF('10月'!CL4:CL34,$B36)+COUNTIF('10月'!CP4:CP34,$B36)+COUNTIF('10月'!CQ4:CQ34,$B36)+COUNTIF('10月'!CU4:CU34,$B36)+COUNTIF('10月'!CV4:CV34,$B36)+COUNTIF('10月'!CZ4:CZ34,$B36)+COUNTIF('10月'!DA4:DA34,$B36)+COUNTIF('10月'!DE4:DE34,$B36)+COUNTIF('10月'!DF4:DF34,$B36)+COUNTIF('10月'!DJ4:DJ34,$B36)+COUNTIF('10月'!DK4:DK34,$B36)+COUNTIF('10月'!DO4:DO34,$B36)+COUNTIF('10月'!DP4:DP34,$B36)+COUNTIF('10月'!DT4:DT34,$B36)+COUNTIF('10月'!DU4:DU34,$B36)+COUNTIF('10月'!DY4:DY34,$B36)+COUNTIF('10月'!DZ4:DZ34,$B36)+COUNTIF('10月'!ED4:ED34,$B36)+COUNTIF('10月'!EE4:EE34,$B36)+COUNTIF('10月'!EI4:EI34,$B36)+COUNTIF('10月'!EJ4:EJ34,$B36)+COUNTIF('10月'!EN4:EN34,$B36)+COUNTIF('10月'!EO4:EO34,$B36)+COUNTIF('10月'!ES4:ES34,$B36)+COUNTIF('10月'!ET4:ET34,$B36)),0)</f>
        <v>0</v>
      </c>
      <c r="M36" s="76">
        <f>IFERROR(IF($B36="","",COUNTIF('11月'!D4:D34,$B36)+COUNTIF('11月'!E4:E34,$B36)+COUNTIF('11月'!I4:I34,$B36)+COUNTIF('11月'!J4:J34,$B36)+COUNTIF('11月'!N4:N34,$B36)+COUNTIF('11月'!O4:O34,$B36)+COUNTIF('11月'!S4:S34,$B36)+COUNTIF('11月'!T4:T34,$B36)+COUNTIF('11月'!X4:X34,$B36)+COUNTIF('11月'!Y4:Y34,$B36)+COUNTIF('11月'!AC4:AC34,$B36)+COUNTIF('11月'!AD4:AD34,$B36)+COUNTIF('11月'!AH4:AH34,$B36)+COUNTIF('11月'!AI4:AI34,$B36)+COUNTIF('11月'!AM4:AM34,$B36)+COUNTIF('11月'!AN4:AN34,$B36)+COUNTIF('11月'!AR4:AR34,$B36)+COUNTIF('11月'!AS4:AS34,$B36)+COUNTIF('11月'!AW4:AW34,$B36)+COUNTIF('11月'!AX4:AX34,$B36)+COUNTIF('11月'!BB4:BB34,$B36)+COUNTIF('11月'!BC4:BC34,$B36)+COUNTIF('11月'!BG4:BG34,$B36)+COUNTIF('11月'!BH4:BH34,$B36)+COUNTIF('11月'!BL4:BL34,$B36)+COUNTIF('11月'!BM4:BM34,$B36)+COUNTIF('11月'!BQ4:BQ34,$B36)+COUNTIF('11月'!BR4:BR34,$B36)+COUNTIF('11月'!BV4:BV34,$B36)+COUNTIF('11月'!BW4:BW34,$B36)+COUNTIF('11月'!CA4:CA34,$B36)+COUNTIF('11月'!CB4:CB34,$B36)+COUNTIF('11月'!CF4:CF34,$B36)+COUNTIF('11月'!CG4:CG34,$B36)+COUNTIF('11月'!CK4:CK34,$B36)+COUNTIF('11月'!CL4:CL34,$B36)+COUNTIF('11月'!CP4:CP34,$B36)+COUNTIF('11月'!CQ4:CQ34,$B36)+COUNTIF('11月'!CU4:CU34,$B36)+COUNTIF('11月'!CV4:CV34,$B36)+COUNTIF('11月'!CZ4:CZ34,$B36)+COUNTIF('11月'!DA4:DA34,$B36)+COUNTIF('11月'!DE4:DE34,$B36)+COUNTIF('11月'!DF4:DF34,$B36)+COUNTIF('11月'!DJ4:DJ34,$B36)+COUNTIF('11月'!DK4:DK34,$B36)+COUNTIF('11月'!DO4:DO34,$B36)+COUNTIF('11月'!DP4:DP34,$B36)+COUNTIF('11月'!DT4:DT34,$B36)+COUNTIF('11月'!DU4:DU34,$B36)+COUNTIF('11月'!DY4:DY34,$B36)+COUNTIF('11月'!DZ4:DZ34,$B36)+COUNTIF('11月'!ED4:ED34,$B36)+COUNTIF('11月'!EE4:EE34,$B36)+COUNTIF('11月'!EI4:EI34,$B36)+COUNTIF('11月'!EJ4:EJ34,$B36)+COUNTIF('11月'!EN4:EN34,$B36)+COUNTIF('11月'!EO4:EO34,$B36)+COUNTIF('11月'!ES4:ES34,$B36)+COUNTIF('11月'!ET4:ET34,$B36)),0)</f>
        <v>0</v>
      </c>
      <c r="N36" s="76">
        <f>IFERROR(IF($B36="","",COUNTIF('12月'!D4:D34,$B36)+COUNTIF('12月'!E4:E34,$B36)+COUNTIF('12月'!I4:I34,$B36)+COUNTIF('12月'!J4:J34,$B36)+COUNTIF('12月'!N4:N34,$B36)+COUNTIF('12月'!O4:O34,$B36)+COUNTIF('12月'!S4:S34,$B36)+COUNTIF('12月'!T4:T34,$B36)+COUNTIF('12月'!X4:X34,$B36)+COUNTIF('12月'!Y4:Y34,$B36)+COUNTIF('12月'!AC4:AC34,$B36)+COUNTIF('12月'!AD4:AD34,$B36)+COUNTIF('12月'!AH4:AH34,$B36)+COUNTIF('12月'!AI4:AI34,$B36)+COUNTIF('12月'!AM4:AM34,$B36)+COUNTIF('12月'!AN4:AN34,$B36)+COUNTIF('12月'!AR4:AR34,$B36)+COUNTIF('12月'!AS4:AS34,$B36)+COUNTIF('12月'!AW4:AW34,$B36)+COUNTIF('12月'!AX4:AX34,$B36)+COUNTIF('12月'!BB4:BB34,$B36)+COUNTIF('12月'!BC4:BC34,$B36)+COUNTIF('12月'!BG4:BG34,$B36)+COUNTIF('12月'!BH4:BH34,$B36)+COUNTIF('12月'!BL4:BL34,$B36)+COUNTIF('12月'!BM4:BM34,$B36)+COUNTIF('12月'!BQ4:BQ34,$B36)+COUNTIF('12月'!BR4:BR34,$B36)+COUNTIF('12月'!BV4:BV34,$B36)+COUNTIF('12月'!BW4:BW34,$B36)+COUNTIF('12月'!CA4:CA34,$B36)+COUNTIF('12月'!CB4:CB34,$B36)+COUNTIF('12月'!CF4:CF34,$B36)+COUNTIF('12月'!CG4:CG34,$B36)+COUNTIF('12月'!CK4:CK34,$B36)+COUNTIF('12月'!CL4:CL34,$B36)+COUNTIF('12月'!CP4:CP34,$B36)+COUNTIF('12月'!CQ4:CQ34,$B36)+COUNTIF('12月'!CU4:CU34,$B36)+COUNTIF('12月'!CV4:CV34,$B36)+COUNTIF('12月'!CZ4:CZ34,$B36)+COUNTIF('12月'!DA4:DA34,$B36)+COUNTIF('12月'!DE4:DE34,$B36)+COUNTIF('12月'!DF4:DF34,$B36)+COUNTIF('12月'!DJ4:DJ34,$B36)+COUNTIF('12月'!DK4:DK34,$B36)+COUNTIF('12月'!DO4:DO34,$B36)+COUNTIF('12月'!DP4:DP34,$B36)+COUNTIF('12月'!DT4:DT34,$B36)+COUNTIF('12月'!DU4:DU34,$B36)+COUNTIF('12月'!DY4:DY34,$B36)+COUNTIF('12月'!DZ4:DZ34,$B36)+COUNTIF('12月'!ED4:ED34,$B36)+COUNTIF('12月'!EE4:EE34,$B36)+COUNTIF('12月'!EI4:EI34,$B36)+COUNTIF('12月'!EJ4:EJ34,$B36)+COUNTIF('12月'!EN4:EN34,$B36)+COUNTIF('12月'!EO4:EO34,$B36)+COUNTIF('12月'!ES4:ES34,$B36)+COUNTIF('12月'!ET4:ET34,$B36)),0)</f>
        <v>0</v>
      </c>
      <c r="O36" s="78">
        <f t="shared" si="0"/>
        <v>0</v>
      </c>
    </row>
    <row r="37" spans="1:15" ht="19.5" customHeight="1">
      <c r="A37" s="76">
        <v>35</v>
      </c>
      <c r="B37" s="77">
        <f>IFERROR(現場マスタ!$C$38,"")</f>
        <v>0</v>
      </c>
      <c r="C37" s="76">
        <f>IFERROR(IF($B37="","",COUNTIF('1月'!D4:D34,$B37)+COUNTIF('1月'!E4:E34,$B37)+COUNTIF('1月'!I4:I34,$B37)+COUNTIF('1月'!J4:J34,$B37)+COUNTIF('1月'!N4:N34,$B37)+COUNTIF('1月'!O4:O34,$B37)+COUNTIF('1月'!S4:S34,$B37)+COUNTIF('1月'!T4:T34,$B37)+COUNTIF('1月'!X4:X34,$B37)+COUNTIF('1月'!Y4:Y34,$B37)+COUNTIF('1月'!AC4:AC34,$B37)+COUNTIF('1月'!AD4:AD34,$B37)+COUNTIF('1月'!AH4:AH34,$B37)+COUNTIF('1月'!AI4:AI34,$B37)+COUNTIF('1月'!AM4:AM34,$B37)+COUNTIF('1月'!AN4:AN34,$B37)+COUNTIF('1月'!AR4:AR34,$B37)+COUNTIF('1月'!AS4:AS34,$B37)+COUNTIF('1月'!AW4:AW34,$B37)+COUNTIF('1月'!AX4:AX34,$B37)+COUNTIF('1月'!BB4:BB34,$B37)+COUNTIF('1月'!BC4:BC34,$B37)+COUNTIF('1月'!BG4:BG34,$B37)+COUNTIF('1月'!BH4:BH34,$B37)+COUNTIF('1月'!BL4:BL34,$B37)+COUNTIF('1月'!BM4:BM34,$B37)+COUNTIF('1月'!BQ4:BQ34,$B37)+COUNTIF('1月'!BR4:BR34,$B37)+COUNTIF('1月'!BV4:BV34,$B37)+COUNTIF('1月'!BW4:BW34,$B37)+COUNTIF('1月'!CA4:CA34,$B37)+COUNTIF('1月'!CB4:CB34,$B37)+COUNTIF('1月'!CF4:CF34,$B37)+COUNTIF('1月'!CG4:CG34,$B37)+COUNTIF('1月'!CK4:CK34,$B37)+COUNTIF('1月'!CL4:CL34,$B37)+COUNTIF('1月'!CP4:CP34,$B37)+COUNTIF('1月'!CQ4:CQ34,$B37)+COUNTIF('1月'!CU4:CU34,$B37)+COUNTIF('1月'!CV4:CV34,$B37)+COUNTIF('1月'!CZ4:CZ34,$B37)+COUNTIF('1月'!DA4:DA34,$B37)+COUNTIF('1月'!DE4:DE34,$B37)+COUNTIF('1月'!DF4:DF34,$B37)+COUNTIF('1月'!DJ4:DJ34,$B37)+COUNTIF('1月'!DK4:DK34,$B37)+COUNTIF('1月'!DO4:DO34,$B37)+COUNTIF('1月'!DP4:DP34,$B37)+COUNTIF('1月'!DT4:DT34,$B37)+COUNTIF('1月'!DU4:DU34,$B37)+COUNTIF('1月'!DY4:DY34,$B37)+COUNTIF('1月'!DZ4:DZ34,$B37)+COUNTIF('1月'!ED4:ED34,$B37)+COUNTIF('1月'!EE4:EE34,$B37)+COUNTIF('1月'!EI4:EI34,$B37)+COUNTIF('1月'!EJ4:EJ34,$B37)+COUNTIF('1月'!EN4:EN34,$B37)+COUNTIF('1月'!EO4:EO34,$B37)+COUNTIF('1月'!ES4:ES34,$B37)+COUNTIF('1月'!ET4:ET34,$B37)),0)</f>
        <v>0</v>
      </c>
      <c r="D37" s="76">
        <f>IFERROR(IF($B37="","",COUNTIF('2月'!D4:D34,$B37)+COUNTIF('2月'!E4:E34,$B37)+COUNTIF('2月'!I4:I34,$B37)+COUNTIF('2月'!J4:J34,$B37)+COUNTIF('2月'!N4:N34,$B37)+COUNTIF('2月'!O4:O34,$B37)+COUNTIF('2月'!S4:S34,$B37)+COUNTIF('2月'!T4:T34,$B37)+COUNTIF('2月'!X4:X34,$B37)+COUNTIF('2月'!Y4:Y34,$B37)+COUNTIF('2月'!AC4:AC34,$B37)+COUNTIF('2月'!AD4:AD34,$B37)+COUNTIF('2月'!AH4:AH34,$B37)+COUNTIF('2月'!AI4:AI34,$B37)+COUNTIF('2月'!AM4:AM34,$B37)+COUNTIF('2月'!AN4:AN34,$B37)+COUNTIF('2月'!AR4:AR34,$B37)+COUNTIF('2月'!AS4:AS34,$B37)+COUNTIF('2月'!AW4:AW34,$B37)+COUNTIF('2月'!AX4:AX34,$B37)+COUNTIF('2月'!BB4:BB34,$B37)+COUNTIF('2月'!BC4:BC34,$B37)+COUNTIF('2月'!BG4:BG34,$B37)+COUNTIF('2月'!BH4:BH34,$B37)+COUNTIF('2月'!BL4:BL34,$B37)+COUNTIF('2月'!BM4:BM34,$B37)+COUNTIF('2月'!BQ4:BQ34,$B37)+COUNTIF('2月'!BR4:BR34,$B37)+COUNTIF('2月'!BV4:BV34,$B37)+COUNTIF('2月'!BW4:BW34,$B37)+COUNTIF('2月'!CA4:CA34,$B37)+COUNTIF('2月'!CB4:CB34,$B37)+COUNTIF('2月'!CF4:CF34,$B37)+COUNTIF('2月'!CG4:CG34,$B37)+COUNTIF('2月'!CK4:CK34,$B37)+COUNTIF('2月'!CL4:CL34,$B37)+COUNTIF('2月'!CP4:CP34,$B37)+COUNTIF('2月'!CQ4:CQ34,$B37)+COUNTIF('2月'!CU4:CU34,$B37)+COUNTIF('2月'!CV4:CV34,$B37)+COUNTIF('2月'!CZ4:CZ34,$B37)+COUNTIF('2月'!DA4:DA34,$B37)+COUNTIF('2月'!DE4:DE34,$B37)+COUNTIF('2月'!DF4:DF34,$B37)+COUNTIF('2月'!DJ4:DJ34,$B37)+COUNTIF('2月'!DK4:DK34,$B37)+COUNTIF('2月'!DO4:DO34,$B37)+COUNTIF('2月'!DP4:DP34,$B37)+COUNTIF('2月'!DT4:DT34,$B37)+COUNTIF('2月'!DU4:DU34,$B37)+COUNTIF('2月'!DY4:DY34,$B37)+COUNTIF('2月'!DZ4:DZ34,$B37)+COUNTIF('2月'!ED4:ED34,$B37)+COUNTIF('2月'!EE4:EE34,$B37)+COUNTIF('2月'!EI4:EI34,$B37)+COUNTIF('2月'!EJ4:EJ34,$B37)+COUNTIF('2月'!EN4:EN34,$B37)+COUNTIF('2月'!EO4:EO34,$B37)+COUNTIF('2月'!ES4:ES34,$B37)+COUNTIF('2月'!ET4:ET34,$B37)),0)</f>
        <v>0</v>
      </c>
      <c r="E37" s="76">
        <f>IFERROR(IF($B37="","",COUNTIF('3月'!D4:D34,$B37)+COUNTIF('3月'!E4:E34,$B37)+COUNTIF('3月'!I4:I34,$B37)+COUNTIF('3月'!J4:J34,$B37)+COUNTIF('3月'!N4:N34,$B37)+COUNTIF('3月'!O4:O34,$B37)+COUNTIF('3月'!S4:S34,$B37)+COUNTIF('3月'!T4:T34,$B37)+COUNTIF('3月'!X4:X34,$B37)+COUNTIF('3月'!Y4:Y34,$B37)+COUNTIF('3月'!AC4:AC34,$B37)+COUNTIF('3月'!AD4:AD34,$B37)+COUNTIF('3月'!AH4:AH34,$B37)+COUNTIF('3月'!AI4:AI34,$B37)+COUNTIF('3月'!AM4:AM34,$B37)+COUNTIF('3月'!AN4:AN34,$B37)+COUNTIF('3月'!AR4:AR34,$B37)+COUNTIF('3月'!AS4:AS34,$B37)+COUNTIF('3月'!AW4:AW34,$B37)+COUNTIF('3月'!AX4:AX34,$B37)+COUNTIF('3月'!BB4:BB34,$B37)+COUNTIF('3月'!BC4:BC34,$B37)+COUNTIF('3月'!BG4:BG34,$B37)+COUNTIF('3月'!BH4:BH34,$B37)+COUNTIF('3月'!BL4:BL34,$B37)+COUNTIF('3月'!BM4:BM34,$B37)+COUNTIF('3月'!BQ4:BQ34,$B37)+COUNTIF('3月'!BR4:BR34,$B37)+COUNTIF('3月'!BV4:BV34,$B37)+COUNTIF('3月'!BW4:BW34,$B37)+COUNTIF('3月'!CA4:CA34,$B37)+COUNTIF('3月'!CB4:CB34,$B37)+COUNTIF('3月'!CF4:CF34,$B37)+COUNTIF('3月'!CG4:CG34,$B37)+COUNTIF('3月'!CK4:CK34,$B37)+COUNTIF('3月'!CL4:CL34,$B37)+COUNTIF('3月'!CP4:CP34,$B37)+COUNTIF('3月'!CQ4:CQ34,$B37)+COUNTIF('3月'!CU4:CU34,$B37)+COUNTIF('3月'!CV4:CV34,$B37)+COUNTIF('3月'!CZ4:CZ34,$B37)+COUNTIF('3月'!DA4:DA34,$B37)+COUNTIF('3月'!DE4:DE34,$B37)+COUNTIF('3月'!DF4:DF34,$B37)+COUNTIF('3月'!DJ4:DJ34,$B37)+COUNTIF('3月'!DK4:DK34,$B37)+COUNTIF('3月'!DO4:DO34,$B37)+COUNTIF('3月'!DP4:DP34,$B37)+COUNTIF('3月'!DT4:DT34,$B37)+COUNTIF('3月'!DU4:DU34,$B37)+COUNTIF('3月'!DY4:DY34,$B37)+COUNTIF('3月'!DZ4:DZ34,$B37)+COUNTIF('3月'!ED4:ED34,$B37)+COUNTIF('3月'!EE4:EE34,$B37)+COUNTIF('3月'!EI4:EI34,$B37)+COUNTIF('3月'!EJ4:EJ34,$B37)+COUNTIF('3月'!EN4:EN34,$B37)+COUNTIF('3月'!EO4:EO34,$B37)+COUNTIF('3月'!ES4:ES34,$B37)+COUNTIF('3月'!ET4:ET34,$B37)),0)</f>
        <v>0</v>
      </c>
      <c r="F37" s="76">
        <f>IFERROR(IF($B37="","",COUNTIF('4月'!D4:D34,$B37)+COUNTIF('4月'!E4:E34,$B37)+COUNTIF('4月'!I4:I34,$B37)+COUNTIF('4月'!J4:J34,$B37)+COUNTIF('4月'!N4:N34,$B37)+COUNTIF('4月'!O4:O34,$B37)+COUNTIF('4月'!S4:S34,$B37)+COUNTIF('4月'!T4:T34,$B37)+COUNTIF('4月'!X4:X34,$B37)+COUNTIF('4月'!Y4:Y34,$B37)+COUNTIF('4月'!AC4:AC34,$B37)+COUNTIF('4月'!AD4:AD34,$B37)+COUNTIF('4月'!AH4:AH34,$B37)+COUNTIF('4月'!AI4:AI34,$B37)+COUNTIF('4月'!AM4:AM34,$B37)+COUNTIF('4月'!AN4:AN34,$B37)+COUNTIF('4月'!AR4:AR34,$B37)+COUNTIF('4月'!AS4:AS34,$B37)+COUNTIF('4月'!AW4:AW34,$B37)+COUNTIF('4月'!AX4:AX34,$B37)+COUNTIF('4月'!BB4:BB34,$B37)+COUNTIF('4月'!BC4:BC34,$B37)+COUNTIF('4月'!BG4:BG34,$B37)+COUNTIF('4月'!BH4:BH34,$B37)+COUNTIF('4月'!BL4:BL34,$B37)+COUNTIF('4月'!BM4:BM34,$B37)+COUNTIF('4月'!BQ4:BQ34,$B37)+COUNTIF('4月'!BR4:BR34,$B37)+COUNTIF('4月'!BV4:BV34,$B37)+COUNTIF('4月'!BW4:BW34,$B37)+COUNTIF('4月'!CA4:CA34,$B37)+COUNTIF('4月'!CB4:CB34,$B37)+COUNTIF('4月'!CF4:CF34,$B37)+COUNTIF('4月'!CG4:CG34,$B37)+COUNTIF('4月'!CK4:CK34,$B37)+COUNTIF('4月'!CL4:CL34,$B37)+COUNTIF('4月'!CP4:CP34,$B37)+COUNTIF('4月'!CQ4:CQ34,$B37)+COUNTIF('4月'!CU4:CU34,$B37)+COUNTIF('4月'!CV4:CV34,$B37)+COUNTIF('4月'!CZ4:CZ34,$B37)+COUNTIF('4月'!DA4:DA34,$B37)+COUNTIF('4月'!DE4:DE34,$B37)+COUNTIF('4月'!DF4:DF34,$B37)+COUNTIF('4月'!DJ4:DJ34,$B37)+COUNTIF('4月'!DK4:DK34,$B37)+COUNTIF('4月'!DO4:DO34,$B37)+COUNTIF('4月'!DP4:DP34,$B37)+COUNTIF('4月'!DT4:DT34,$B37)+COUNTIF('4月'!DU4:DU34,$B37)+COUNTIF('4月'!DY4:DY34,$B37)+COUNTIF('4月'!DZ4:DZ34,$B37)+COUNTIF('4月'!ED4:ED34,$B37)+COUNTIF('4月'!EE4:EE34,$B37)+COUNTIF('4月'!EI4:EI34,$B37)+COUNTIF('4月'!EJ4:EJ34,$B37)+COUNTIF('4月'!EN4:EN34,$B37)+COUNTIF('4月'!EO4:EO34,$B37)+COUNTIF('4月'!ES4:ES34,$B37)+COUNTIF('4月'!ET4:ET34,$B37)),0)</f>
        <v>0</v>
      </c>
      <c r="G37" s="76">
        <f>IFERROR(IF($B37="","",COUNTIF('5月'!D4:D34,$B37)+COUNTIF('5月'!E4:E34,$B37)+COUNTIF('5月'!I4:I34,$B37)+COUNTIF('5月'!J4:J34,$B37)+COUNTIF('5月'!N4:N34,$B37)+COUNTIF('5月'!O4:O34,$B37)+COUNTIF('5月'!S4:S34,$B37)+COUNTIF('5月'!T4:T34,$B37)+COUNTIF('5月'!X4:X34,$B37)+COUNTIF('5月'!Y4:Y34,$B37)+COUNTIF('5月'!AC4:AC34,$B37)+COUNTIF('5月'!AD4:AD34,$B37)+COUNTIF('5月'!AH4:AH34,$B37)+COUNTIF('5月'!AI4:AI34,$B37)+COUNTIF('5月'!AM4:AM34,$B37)+COUNTIF('5月'!AN4:AN34,$B37)+COUNTIF('5月'!AR4:AR34,$B37)+COUNTIF('5月'!AS4:AS34,$B37)+COUNTIF('5月'!AW4:AW34,$B37)+COUNTIF('5月'!AX4:AX34,$B37)+COUNTIF('5月'!BB4:BB34,$B37)+COUNTIF('5月'!BC4:BC34,$B37)+COUNTIF('5月'!BG4:BG34,$B37)+COUNTIF('5月'!BH4:BH34,$B37)+COUNTIF('5月'!BL4:BL34,$B37)+COUNTIF('5月'!BM4:BM34,$B37)+COUNTIF('5月'!BQ4:BQ34,$B37)+COUNTIF('5月'!BR4:BR34,$B37)+COUNTIF('5月'!BV4:BV34,$B37)+COUNTIF('5月'!BW4:BW34,$B37)+COUNTIF('5月'!CA4:CA34,$B37)+COUNTIF('5月'!CB4:CB34,$B37)+COUNTIF('5月'!CF4:CF34,$B37)+COUNTIF('5月'!CG4:CG34,$B37)+COUNTIF('5月'!CK4:CK34,$B37)+COUNTIF('5月'!CL4:CL34,$B37)+COUNTIF('5月'!CP4:CP34,$B37)+COUNTIF('5月'!CQ4:CQ34,$B37)+COUNTIF('5月'!CU4:CU34,$B37)+COUNTIF('5月'!CV4:CV34,$B37)+COUNTIF('5月'!CZ4:CZ34,$B37)+COUNTIF('5月'!DA4:DA34,$B37)+COUNTIF('5月'!DE4:DE34,$B37)+COUNTIF('5月'!DF4:DF34,$B37)+COUNTIF('5月'!DJ4:DJ34,$B37)+COUNTIF('5月'!DK4:DK34,$B37)+COUNTIF('5月'!DO4:DO34,$B37)+COUNTIF('5月'!DP4:DP34,$B37)+COUNTIF('5月'!DT4:DT34,$B37)+COUNTIF('5月'!DU4:DU34,$B37)+COUNTIF('5月'!DY4:DY34,$B37)+COUNTIF('5月'!DZ4:DZ34,$B37)+COUNTIF('5月'!ED4:ED34,$B37)+COUNTIF('5月'!EE4:EE34,$B37)+COUNTIF('5月'!EI4:EI34,$B37)+COUNTIF('5月'!EJ4:EJ34,$B37)+COUNTIF('5月'!EN4:EN34,$B37)+COUNTIF('5月'!EO4:EO34,$B37)+COUNTIF('5月'!ES4:ES34,$B37)+COUNTIF('5月'!ET4:ET34,$B37)),0)</f>
        <v>0</v>
      </c>
      <c r="H37" s="76">
        <f>IFERROR(IF($B37="","",COUNTIF('6月'!D4:D34,$B37)+COUNTIF('6月'!E4:E34,$B37)+COUNTIF('6月'!I4:I34,$B37)+COUNTIF('6月'!J4:J34,$B37)+COUNTIF('6月'!N4:N34,$B37)+COUNTIF('6月'!O4:O34,$B37)+COUNTIF('6月'!S4:S34,$B37)+COUNTIF('6月'!T4:T34,$B37)+COUNTIF('6月'!X4:X34,$B37)+COUNTIF('6月'!Y4:Y34,$B37)+COUNTIF('6月'!AC4:AC34,$B37)+COUNTIF('6月'!AD4:AD34,$B37)+COUNTIF('6月'!AH4:AH34,$B37)+COUNTIF('6月'!AI4:AI34,$B37)+COUNTIF('6月'!AM4:AM34,$B37)+COUNTIF('6月'!AN4:AN34,$B37)+COUNTIF('6月'!AR4:AR34,$B37)+COUNTIF('6月'!AS4:AS34,$B37)+COUNTIF('6月'!AW4:AW34,$B37)+COUNTIF('6月'!AX4:AX34,$B37)+COUNTIF('6月'!BB4:BB34,$B37)+COUNTIF('6月'!BC4:BC34,$B37)+COUNTIF('6月'!BG4:BG34,$B37)+COUNTIF('6月'!BH4:BH34,$B37)+COUNTIF('6月'!BL4:BL34,$B37)+COUNTIF('6月'!BM4:BM34,$B37)+COUNTIF('6月'!BQ4:BQ34,$B37)+COUNTIF('6月'!BR4:BR34,$B37)+COUNTIF('6月'!BV4:BV34,$B37)+COUNTIF('6月'!BW4:BW34,$B37)+COUNTIF('6月'!CA4:CA34,$B37)+COUNTIF('6月'!CB4:CB34,$B37)+COUNTIF('6月'!CF4:CF34,$B37)+COUNTIF('6月'!CG4:CG34,$B37)+COUNTIF('6月'!CK4:CK34,$B37)+COUNTIF('6月'!CL4:CL34,$B37)+COUNTIF('6月'!CP4:CP34,$B37)+COUNTIF('6月'!CQ4:CQ34,$B37)+COUNTIF('6月'!CU4:CU34,$B37)+COUNTIF('6月'!CV4:CV34,$B37)+COUNTIF('6月'!CZ4:CZ34,$B37)+COUNTIF('6月'!DA4:DA34,$B37)+COUNTIF('6月'!DE4:DE34,$B37)+COUNTIF('6月'!DF4:DF34,$B37)+COUNTIF('6月'!DJ4:DJ34,$B37)+COUNTIF('6月'!DK4:DK34,$B37)+COUNTIF('6月'!DO4:DO34,$B37)+COUNTIF('6月'!DP4:DP34,$B37)+COUNTIF('6月'!DT4:DT34,$B37)+COUNTIF('6月'!DU4:DU34,$B37)+COUNTIF('6月'!DY4:DY34,$B37)+COUNTIF('6月'!DZ4:DZ34,$B37)+COUNTIF('6月'!ED4:ED34,$B37)+COUNTIF('6月'!EE4:EE34,$B37)+COUNTIF('6月'!EI4:EI34,$B37)+COUNTIF('6月'!EJ4:EJ34,$B37)+COUNTIF('6月'!EN4:EN34,$B37)+COUNTIF('6月'!EO4:EO34,$B37)+COUNTIF('6月'!ES4:ES34,$B37)+COUNTIF('6月'!ET4:ET34,$B37)),0)</f>
        <v>0</v>
      </c>
      <c r="I37" s="76">
        <f>IFERROR(IF($B37="","",COUNTIF('7月'!D4:D34,$B37)+COUNTIF('7月'!E4:E34,$B37)+COUNTIF('7月'!I4:I34,$B37)+COUNTIF('7月'!J4:J34,$B37)+COUNTIF('7月'!N4:N34,$B37)+COUNTIF('7月'!O4:O34,$B37)+COUNTIF('7月'!S4:S34,$B37)+COUNTIF('7月'!T4:T34,$B37)+COUNTIF('7月'!X4:X34,$B37)+COUNTIF('7月'!Y4:Y34,$B37)+COUNTIF('7月'!AC4:AC34,$B37)+COUNTIF('7月'!AD4:AD34,$B37)+COUNTIF('7月'!AH4:AH34,$B37)+COUNTIF('7月'!AI4:AI34,$B37)+COUNTIF('7月'!AM4:AM34,$B37)+COUNTIF('7月'!AN4:AN34,$B37)+COUNTIF('7月'!AR4:AR34,$B37)+COUNTIF('7月'!AS4:AS34,$B37)+COUNTIF('7月'!AW4:AW34,$B37)+COUNTIF('7月'!AX4:AX34,$B37)+COUNTIF('7月'!BB4:BB34,$B37)+COUNTIF('7月'!BC4:BC34,$B37)+COUNTIF('7月'!BG4:BG34,$B37)+COUNTIF('7月'!BH4:BH34,$B37)+COUNTIF('7月'!BL4:BL34,$B37)+COUNTIF('7月'!BM4:BM34,$B37)+COUNTIF('7月'!BQ4:BQ34,$B37)+COUNTIF('7月'!BR4:BR34,$B37)+COUNTIF('7月'!BV4:BV34,$B37)+COUNTIF('7月'!BW4:BW34,$B37)+COUNTIF('7月'!CA4:CA34,$B37)+COUNTIF('7月'!CB4:CB34,$B37)+COUNTIF('7月'!CF4:CF34,$B37)+COUNTIF('7月'!CG4:CG34,$B37)+COUNTIF('7月'!CK4:CK34,$B37)+COUNTIF('7月'!CL4:CL34,$B37)+COUNTIF('7月'!CP4:CP34,$B37)+COUNTIF('7月'!CQ4:CQ34,$B37)+COUNTIF('7月'!CU4:CU34,$B37)+COUNTIF('7月'!CV4:CV34,$B37)+COUNTIF('7月'!CZ4:CZ34,$B37)+COUNTIF('7月'!DA4:DA34,$B37)+COUNTIF('7月'!DE4:DE34,$B37)+COUNTIF('7月'!DF4:DF34,$B37)+COUNTIF('7月'!DJ4:DJ34,$B37)+COUNTIF('7月'!DK4:DK34,$B37)+COUNTIF('7月'!DO4:DO34,$B37)+COUNTIF('7月'!DP4:DP34,$B37)+COUNTIF('7月'!DT4:DT34,$B37)+COUNTIF('7月'!DU4:DU34,$B37)+COUNTIF('7月'!DY4:DY34,$B37)+COUNTIF('7月'!DZ4:DZ34,$B37)+COUNTIF('7月'!ED4:ED34,$B37)+COUNTIF('7月'!EE4:EE34,$B37)+COUNTIF('7月'!EI4:EI34,$B37)+COUNTIF('7月'!EJ4:EJ34,$B37)+COUNTIF('7月'!EN4:EN34,$B37)+COUNTIF('7月'!EO4:EO34,$B37)+COUNTIF('7月'!ES4:ES34,$B37)+COUNTIF('7月'!ET4:ET34,$B37)),0)</f>
        <v>0</v>
      </c>
      <c r="J37" s="76">
        <f>IFERROR(IF($B37="","",COUNTIF('8月'!D4:D34,$B37)+COUNTIF('8月'!E4:E34,$B37)+COUNTIF('8月'!I4:I34,$B37)+COUNTIF('8月'!J4:J34,$B37)+COUNTIF('8月'!N4:N34,$B37)+COUNTIF('8月'!O4:O34,$B37)+COUNTIF('8月'!S4:S34,$B37)+COUNTIF('8月'!T4:T34,$B37)+COUNTIF('8月'!X4:X34,$B37)+COUNTIF('8月'!Y4:Y34,$B37)+COUNTIF('8月'!AC4:AC34,$B37)+COUNTIF('8月'!AD4:AD34,$B37)+COUNTIF('8月'!AH4:AH34,$B37)+COUNTIF('8月'!AI4:AI34,$B37)+COUNTIF('8月'!AM4:AM34,$B37)+COUNTIF('8月'!AN4:AN34,$B37)+COUNTIF('8月'!AR4:AR34,$B37)+COUNTIF('8月'!AS4:AS34,$B37)+COUNTIF('8月'!AW4:AW34,$B37)+COUNTIF('8月'!AX4:AX34,$B37)+COUNTIF('8月'!BB4:BB34,$B37)+COUNTIF('8月'!BC4:BC34,$B37)+COUNTIF('8月'!BG4:BG34,$B37)+COUNTIF('8月'!BH4:BH34,$B37)+COUNTIF('8月'!BL4:BL34,$B37)+COUNTIF('8月'!BM4:BM34,$B37)+COUNTIF('8月'!BQ4:BQ34,$B37)+COUNTIF('8月'!BR4:BR34,$B37)+COUNTIF('8月'!BV4:BV34,$B37)+COUNTIF('8月'!BW4:BW34,$B37)+COUNTIF('8月'!CA4:CA34,$B37)+COUNTIF('8月'!CB4:CB34,$B37)+COUNTIF('8月'!CF4:CF34,$B37)+COUNTIF('8月'!CG4:CG34,$B37)+COUNTIF('8月'!CK4:CK34,$B37)+COUNTIF('8月'!CL4:CL34,$B37)+COUNTIF('8月'!CP4:CP34,$B37)+COUNTIF('8月'!CQ4:CQ34,$B37)+COUNTIF('8月'!CU4:CU34,$B37)+COUNTIF('8月'!CV4:CV34,$B37)+COUNTIF('8月'!CZ4:CZ34,$B37)+COUNTIF('8月'!DA4:DA34,$B37)+COUNTIF('8月'!DE4:DE34,$B37)+COUNTIF('8月'!DF4:DF34,$B37)+COUNTIF('8月'!DJ4:DJ34,$B37)+COUNTIF('8月'!DK4:DK34,$B37)+COUNTIF('8月'!DO4:DO34,$B37)+COUNTIF('8月'!DP4:DP34,$B37)+COUNTIF('8月'!DT4:DT34,$B37)+COUNTIF('8月'!DU4:DU34,$B37)+COUNTIF('8月'!DY4:DY34,$B37)+COUNTIF('8月'!DZ4:DZ34,$B37)+COUNTIF('8月'!ED4:ED34,$B37)+COUNTIF('8月'!EE4:EE34,$B37)+COUNTIF('8月'!EI4:EI34,$B37)+COUNTIF('8月'!EJ4:EJ34,$B37)+COUNTIF('8月'!EN4:EN34,$B37)+COUNTIF('8月'!EO4:EO34,$B37)+COUNTIF('8月'!ES4:ES34,$B37)+COUNTIF('8月'!ET4:ET34,$B37)),0)</f>
        <v>0</v>
      </c>
      <c r="K37" s="76">
        <f>IFERROR(IF($B37="","",COUNTIF('9月'!D4:D34,$B37)+COUNTIF('9月'!E4:E34,$B37)+COUNTIF('9月'!I4:I34,$B37)+COUNTIF('9月'!J4:J34,$B37)+COUNTIF('9月'!N4:N34,$B37)+COUNTIF('9月'!O4:O34,$B37)+COUNTIF('9月'!S4:S34,$B37)+COUNTIF('9月'!T4:T34,$B37)+COUNTIF('9月'!X4:X34,$B37)+COUNTIF('9月'!Y4:Y34,$B37)+COUNTIF('9月'!AC4:AC34,$B37)+COUNTIF('9月'!AD4:AD34,$B37)+COUNTIF('9月'!AH4:AH34,$B37)+COUNTIF('9月'!AI4:AI34,$B37)+COUNTIF('9月'!AM4:AM34,$B37)+COUNTIF('9月'!AN4:AN34,$B37)+COUNTIF('9月'!AR4:AR34,$B37)+COUNTIF('9月'!AS4:AS34,$B37)+COUNTIF('9月'!AW4:AW34,$B37)+COUNTIF('9月'!AX4:AX34,$B37)+COUNTIF('9月'!BB4:BB34,$B37)+COUNTIF('9月'!BC4:BC34,$B37)+COUNTIF('9月'!BG4:BG34,$B37)+COUNTIF('9月'!BH4:BH34,$B37)+COUNTIF('9月'!BL4:BL34,$B37)+COUNTIF('9月'!BM4:BM34,$B37)+COUNTIF('9月'!BQ4:BQ34,$B37)+COUNTIF('9月'!BR4:BR34,$B37)+COUNTIF('9月'!BV4:BV34,$B37)+COUNTIF('9月'!BW4:BW34,$B37)+COUNTIF('9月'!CA4:CA34,$B37)+COUNTIF('9月'!CB4:CB34,$B37)+COUNTIF('9月'!CF4:CF34,$B37)+COUNTIF('9月'!CG4:CG34,$B37)+COUNTIF('9月'!CK4:CK34,$B37)+COUNTIF('9月'!CL4:CL34,$B37)+COUNTIF('9月'!CP4:CP34,$B37)+COUNTIF('9月'!CQ4:CQ34,$B37)+COUNTIF('9月'!CU4:CU34,$B37)+COUNTIF('9月'!CV4:CV34,$B37)+COUNTIF('9月'!CZ4:CZ34,$B37)+COUNTIF('9月'!DA4:DA34,$B37)+COUNTIF('9月'!DE4:DE34,$B37)+COUNTIF('9月'!DF4:DF34,$B37)+COUNTIF('9月'!DJ4:DJ34,$B37)+COUNTIF('9月'!DK4:DK34,$B37)+COUNTIF('9月'!DO4:DO34,$B37)+COUNTIF('9月'!DP4:DP34,$B37)+COUNTIF('9月'!DT4:DT34,$B37)+COUNTIF('9月'!DU4:DU34,$B37)+COUNTIF('9月'!DY4:DY34,$B37)+COUNTIF('9月'!DZ4:DZ34,$B37)+COUNTIF('9月'!ED4:ED34,$B37)+COUNTIF('9月'!EE4:EE34,$B37)+COUNTIF('9月'!EI4:EI34,$B37)+COUNTIF('9月'!EJ4:EJ34,$B37)+COUNTIF('9月'!EN4:EN34,$B37)+COUNTIF('9月'!EO4:EO34,$B37)+COUNTIF('9月'!ES4:ES34,$B37)+COUNTIF('9月'!ET4:ET34,$B37)),0)</f>
        <v>0</v>
      </c>
      <c r="L37" s="76">
        <f>IFERROR(IF($B37="","",COUNTIF('10月'!D4:D34,$B37)+COUNTIF('10月'!E4:E34,$B37)+COUNTIF('10月'!I4:I34,$B37)+COUNTIF('10月'!J4:J34,$B37)+COUNTIF('10月'!N4:N34,$B37)+COUNTIF('10月'!O4:O34,$B37)+COUNTIF('10月'!S4:S34,$B37)+COUNTIF('10月'!T4:T34,$B37)+COUNTIF('10月'!X4:X34,$B37)+COUNTIF('10月'!Y4:Y34,$B37)+COUNTIF('10月'!AC4:AC34,$B37)+COUNTIF('10月'!AD4:AD34,$B37)+COUNTIF('10月'!AH4:AH34,$B37)+COUNTIF('10月'!AI4:AI34,$B37)+COUNTIF('10月'!AM4:AM34,$B37)+COUNTIF('10月'!AN4:AN34,$B37)+COUNTIF('10月'!AR4:AR34,$B37)+COUNTIF('10月'!AS4:AS34,$B37)+COUNTIF('10月'!AW4:AW34,$B37)+COUNTIF('10月'!AX4:AX34,$B37)+COUNTIF('10月'!BB4:BB34,$B37)+COUNTIF('10月'!BC4:BC34,$B37)+COUNTIF('10月'!BG4:BG34,$B37)+COUNTIF('10月'!BH4:BH34,$B37)+COUNTIF('10月'!BL4:BL34,$B37)+COUNTIF('10月'!BM4:BM34,$B37)+COUNTIF('10月'!BQ4:BQ34,$B37)+COUNTIF('10月'!BR4:BR34,$B37)+COUNTIF('10月'!BV4:BV34,$B37)+COUNTIF('10月'!BW4:BW34,$B37)+COUNTIF('10月'!CA4:CA34,$B37)+COUNTIF('10月'!CB4:CB34,$B37)+COUNTIF('10月'!CF4:CF34,$B37)+COUNTIF('10月'!CG4:CG34,$B37)+COUNTIF('10月'!CK4:CK34,$B37)+COUNTIF('10月'!CL4:CL34,$B37)+COUNTIF('10月'!CP4:CP34,$B37)+COUNTIF('10月'!CQ4:CQ34,$B37)+COUNTIF('10月'!CU4:CU34,$B37)+COUNTIF('10月'!CV4:CV34,$B37)+COUNTIF('10月'!CZ4:CZ34,$B37)+COUNTIF('10月'!DA4:DA34,$B37)+COUNTIF('10月'!DE4:DE34,$B37)+COUNTIF('10月'!DF4:DF34,$B37)+COUNTIF('10月'!DJ4:DJ34,$B37)+COUNTIF('10月'!DK4:DK34,$B37)+COUNTIF('10月'!DO4:DO34,$B37)+COUNTIF('10月'!DP4:DP34,$B37)+COUNTIF('10月'!DT4:DT34,$B37)+COUNTIF('10月'!DU4:DU34,$B37)+COUNTIF('10月'!DY4:DY34,$B37)+COUNTIF('10月'!DZ4:DZ34,$B37)+COUNTIF('10月'!ED4:ED34,$B37)+COUNTIF('10月'!EE4:EE34,$B37)+COUNTIF('10月'!EI4:EI34,$B37)+COUNTIF('10月'!EJ4:EJ34,$B37)+COUNTIF('10月'!EN4:EN34,$B37)+COUNTIF('10月'!EO4:EO34,$B37)+COUNTIF('10月'!ES4:ES34,$B37)+COUNTIF('10月'!ET4:ET34,$B37)),0)</f>
        <v>0</v>
      </c>
      <c r="M37" s="76">
        <f>IFERROR(IF($B37="","",COUNTIF('11月'!D4:D34,$B37)+COUNTIF('11月'!E4:E34,$B37)+COUNTIF('11月'!I4:I34,$B37)+COUNTIF('11月'!J4:J34,$B37)+COUNTIF('11月'!N4:N34,$B37)+COUNTIF('11月'!O4:O34,$B37)+COUNTIF('11月'!S4:S34,$B37)+COUNTIF('11月'!T4:T34,$B37)+COUNTIF('11月'!X4:X34,$B37)+COUNTIF('11月'!Y4:Y34,$B37)+COUNTIF('11月'!AC4:AC34,$B37)+COUNTIF('11月'!AD4:AD34,$B37)+COUNTIF('11月'!AH4:AH34,$B37)+COUNTIF('11月'!AI4:AI34,$B37)+COUNTIF('11月'!AM4:AM34,$B37)+COUNTIF('11月'!AN4:AN34,$B37)+COUNTIF('11月'!AR4:AR34,$B37)+COUNTIF('11月'!AS4:AS34,$B37)+COUNTIF('11月'!AW4:AW34,$B37)+COUNTIF('11月'!AX4:AX34,$B37)+COUNTIF('11月'!BB4:BB34,$B37)+COUNTIF('11月'!BC4:BC34,$B37)+COUNTIF('11月'!BG4:BG34,$B37)+COUNTIF('11月'!BH4:BH34,$B37)+COUNTIF('11月'!BL4:BL34,$B37)+COUNTIF('11月'!BM4:BM34,$B37)+COUNTIF('11月'!BQ4:BQ34,$B37)+COUNTIF('11月'!BR4:BR34,$B37)+COUNTIF('11月'!BV4:BV34,$B37)+COUNTIF('11月'!BW4:BW34,$B37)+COUNTIF('11月'!CA4:CA34,$B37)+COUNTIF('11月'!CB4:CB34,$B37)+COUNTIF('11月'!CF4:CF34,$B37)+COUNTIF('11月'!CG4:CG34,$B37)+COUNTIF('11月'!CK4:CK34,$B37)+COUNTIF('11月'!CL4:CL34,$B37)+COUNTIF('11月'!CP4:CP34,$B37)+COUNTIF('11月'!CQ4:CQ34,$B37)+COUNTIF('11月'!CU4:CU34,$B37)+COUNTIF('11月'!CV4:CV34,$B37)+COUNTIF('11月'!CZ4:CZ34,$B37)+COUNTIF('11月'!DA4:DA34,$B37)+COUNTIF('11月'!DE4:DE34,$B37)+COUNTIF('11月'!DF4:DF34,$B37)+COUNTIF('11月'!DJ4:DJ34,$B37)+COUNTIF('11月'!DK4:DK34,$B37)+COUNTIF('11月'!DO4:DO34,$B37)+COUNTIF('11月'!DP4:DP34,$B37)+COUNTIF('11月'!DT4:DT34,$B37)+COUNTIF('11月'!DU4:DU34,$B37)+COUNTIF('11月'!DY4:DY34,$B37)+COUNTIF('11月'!DZ4:DZ34,$B37)+COUNTIF('11月'!ED4:ED34,$B37)+COUNTIF('11月'!EE4:EE34,$B37)+COUNTIF('11月'!EI4:EI34,$B37)+COUNTIF('11月'!EJ4:EJ34,$B37)+COUNTIF('11月'!EN4:EN34,$B37)+COUNTIF('11月'!EO4:EO34,$B37)+COUNTIF('11月'!ES4:ES34,$B37)+COUNTIF('11月'!ET4:ET34,$B37)),0)</f>
        <v>0</v>
      </c>
      <c r="N37" s="76">
        <f>IFERROR(IF($B37="","",COUNTIF('12月'!D4:D34,$B37)+COUNTIF('12月'!E4:E34,$B37)+COUNTIF('12月'!I4:I34,$B37)+COUNTIF('12月'!J4:J34,$B37)+COUNTIF('12月'!N4:N34,$B37)+COUNTIF('12月'!O4:O34,$B37)+COUNTIF('12月'!S4:S34,$B37)+COUNTIF('12月'!T4:T34,$B37)+COUNTIF('12月'!X4:X34,$B37)+COUNTIF('12月'!Y4:Y34,$B37)+COUNTIF('12月'!AC4:AC34,$B37)+COUNTIF('12月'!AD4:AD34,$B37)+COUNTIF('12月'!AH4:AH34,$B37)+COUNTIF('12月'!AI4:AI34,$B37)+COUNTIF('12月'!AM4:AM34,$B37)+COUNTIF('12月'!AN4:AN34,$B37)+COUNTIF('12月'!AR4:AR34,$B37)+COUNTIF('12月'!AS4:AS34,$B37)+COUNTIF('12月'!AW4:AW34,$B37)+COUNTIF('12月'!AX4:AX34,$B37)+COUNTIF('12月'!BB4:BB34,$B37)+COUNTIF('12月'!BC4:BC34,$B37)+COUNTIF('12月'!BG4:BG34,$B37)+COUNTIF('12月'!BH4:BH34,$B37)+COUNTIF('12月'!BL4:BL34,$B37)+COUNTIF('12月'!BM4:BM34,$B37)+COUNTIF('12月'!BQ4:BQ34,$B37)+COUNTIF('12月'!BR4:BR34,$B37)+COUNTIF('12月'!BV4:BV34,$B37)+COUNTIF('12月'!BW4:BW34,$B37)+COUNTIF('12月'!CA4:CA34,$B37)+COUNTIF('12月'!CB4:CB34,$B37)+COUNTIF('12月'!CF4:CF34,$B37)+COUNTIF('12月'!CG4:CG34,$B37)+COUNTIF('12月'!CK4:CK34,$B37)+COUNTIF('12月'!CL4:CL34,$B37)+COUNTIF('12月'!CP4:CP34,$B37)+COUNTIF('12月'!CQ4:CQ34,$B37)+COUNTIF('12月'!CU4:CU34,$B37)+COUNTIF('12月'!CV4:CV34,$B37)+COUNTIF('12月'!CZ4:CZ34,$B37)+COUNTIF('12月'!DA4:DA34,$B37)+COUNTIF('12月'!DE4:DE34,$B37)+COUNTIF('12月'!DF4:DF34,$B37)+COUNTIF('12月'!DJ4:DJ34,$B37)+COUNTIF('12月'!DK4:DK34,$B37)+COUNTIF('12月'!DO4:DO34,$B37)+COUNTIF('12月'!DP4:DP34,$B37)+COUNTIF('12月'!DT4:DT34,$B37)+COUNTIF('12月'!DU4:DU34,$B37)+COUNTIF('12月'!DY4:DY34,$B37)+COUNTIF('12月'!DZ4:DZ34,$B37)+COUNTIF('12月'!ED4:ED34,$B37)+COUNTIF('12月'!EE4:EE34,$B37)+COUNTIF('12月'!EI4:EI34,$B37)+COUNTIF('12月'!EJ4:EJ34,$B37)+COUNTIF('12月'!EN4:EN34,$B37)+COUNTIF('12月'!EO4:EO34,$B37)+COUNTIF('12月'!ES4:ES34,$B37)+COUNTIF('12月'!ET4:ET34,$B37)),0)</f>
        <v>0</v>
      </c>
      <c r="O37" s="78">
        <f t="shared" si="0"/>
        <v>0</v>
      </c>
    </row>
    <row r="38" spans="1:15" ht="19.5" customHeight="1">
      <c r="A38" s="76">
        <v>36</v>
      </c>
      <c r="B38" s="77">
        <f>IFERROR(現場マスタ!$C$39,"")</f>
        <v>0</v>
      </c>
      <c r="C38" s="76">
        <f>IFERROR(IF($B38="","",COUNTIF('1月'!D4:D34,$B38)+COUNTIF('1月'!E4:E34,$B38)+COUNTIF('1月'!I4:I34,$B38)+COUNTIF('1月'!J4:J34,$B38)+COUNTIF('1月'!N4:N34,$B38)+COUNTIF('1月'!O4:O34,$B38)+COUNTIF('1月'!S4:S34,$B38)+COUNTIF('1月'!T4:T34,$B38)+COUNTIF('1月'!X4:X34,$B38)+COUNTIF('1月'!Y4:Y34,$B38)+COUNTIF('1月'!AC4:AC34,$B38)+COUNTIF('1月'!AD4:AD34,$B38)+COUNTIF('1月'!AH4:AH34,$B38)+COUNTIF('1月'!AI4:AI34,$B38)+COUNTIF('1月'!AM4:AM34,$B38)+COUNTIF('1月'!AN4:AN34,$B38)+COUNTIF('1月'!AR4:AR34,$B38)+COUNTIF('1月'!AS4:AS34,$B38)+COUNTIF('1月'!AW4:AW34,$B38)+COUNTIF('1月'!AX4:AX34,$B38)+COUNTIF('1月'!BB4:BB34,$B38)+COUNTIF('1月'!BC4:BC34,$B38)+COUNTIF('1月'!BG4:BG34,$B38)+COUNTIF('1月'!BH4:BH34,$B38)+COUNTIF('1月'!BL4:BL34,$B38)+COUNTIF('1月'!BM4:BM34,$B38)+COUNTIF('1月'!BQ4:BQ34,$B38)+COUNTIF('1月'!BR4:BR34,$B38)+COUNTIF('1月'!BV4:BV34,$B38)+COUNTIF('1月'!BW4:BW34,$B38)+COUNTIF('1月'!CA4:CA34,$B38)+COUNTIF('1月'!CB4:CB34,$B38)+COUNTIF('1月'!CF4:CF34,$B38)+COUNTIF('1月'!CG4:CG34,$B38)+COUNTIF('1月'!CK4:CK34,$B38)+COUNTIF('1月'!CL4:CL34,$B38)+COUNTIF('1月'!CP4:CP34,$B38)+COUNTIF('1月'!CQ4:CQ34,$B38)+COUNTIF('1月'!CU4:CU34,$B38)+COUNTIF('1月'!CV4:CV34,$B38)+COUNTIF('1月'!CZ4:CZ34,$B38)+COUNTIF('1月'!DA4:DA34,$B38)+COUNTIF('1月'!DE4:DE34,$B38)+COUNTIF('1月'!DF4:DF34,$B38)+COUNTIF('1月'!DJ4:DJ34,$B38)+COUNTIF('1月'!DK4:DK34,$B38)+COUNTIF('1月'!DO4:DO34,$B38)+COUNTIF('1月'!DP4:DP34,$B38)+COUNTIF('1月'!DT4:DT34,$B38)+COUNTIF('1月'!DU4:DU34,$B38)+COUNTIF('1月'!DY4:DY34,$B38)+COUNTIF('1月'!DZ4:DZ34,$B38)+COUNTIF('1月'!ED4:ED34,$B38)+COUNTIF('1月'!EE4:EE34,$B38)+COUNTIF('1月'!EI4:EI34,$B38)+COUNTIF('1月'!EJ4:EJ34,$B38)+COUNTIF('1月'!EN4:EN34,$B38)+COUNTIF('1月'!EO4:EO34,$B38)+COUNTIF('1月'!ES4:ES34,$B38)+COUNTIF('1月'!ET4:ET34,$B38)),0)</f>
        <v>0</v>
      </c>
      <c r="D38" s="76">
        <f>IFERROR(IF($B38="","",COUNTIF('2月'!D4:D34,$B38)+COUNTIF('2月'!E4:E34,$B38)+COUNTIF('2月'!I4:I34,$B38)+COUNTIF('2月'!J4:J34,$B38)+COUNTIF('2月'!N4:N34,$B38)+COUNTIF('2月'!O4:O34,$B38)+COUNTIF('2月'!S4:S34,$B38)+COUNTIF('2月'!T4:T34,$B38)+COUNTIF('2月'!X4:X34,$B38)+COUNTIF('2月'!Y4:Y34,$B38)+COUNTIF('2月'!AC4:AC34,$B38)+COUNTIF('2月'!AD4:AD34,$B38)+COUNTIF('2月'!AH4:AH34,$B38)+COUNTIF('2月'!AI4:AI34,$B38)+COUNTIF('2月'!AM4:AM34,$B38)+COUNTIF('2月'!AN4:AN34,$B38)+COUNTIF('2月'!AR4:AR34,$B38)+COUNTIF('2月'!AS4:AS34,$B38)+COUNTIF('2月'!AW4:AW34,$B38)+COUNTIF('2月'!AX4:AX34,$B38)+COUNTIF('2月'!BB4:BB34,$B38)+COUNTIF('2月'!BC4:BC34,$B38)+COUNTIF('2月'!BG4:BG34,$B38)+COUNTIF('2月'!BH4:BH34,$B38)+COUNTIF('2月'!BL4:BL34,$B38)+COUNTIF('2月'!BM4:BM34,$B38)+COUNTIF('2月'!BQ4:BQ34,$B38)+COUNTIF('2月'!BR4:BR34,$B38)+COUNTIF('2月'!BV4:BV34,$B38)+COUNTIF('2月'!BW4:BW34,$B38)+COUNTIF('2月'!CA4:CA34,$B38)+COUNTIF('2月'!CB4:CB34,$B38)+COUNTIF('2月'!CF4:CF34,$B38)+COUNTIF('2月'!CG4:CG34,$B38)+COUNTIF('2月'!CK4:CK34,$B38)+COUNTIF('2月'!CL4:CL34,$B38)+COUNTIF('2月'!CP4:CP34,$B38)+COUNTIF('2月'!CQ4:CQ34,$B38)+COUNTIF('2月'!CU4:CU34,$B38)+COUNTIF('2月'!CV4:CV34,$B38)+COUNTIF('2月'!CZ4:CZ34,$B38)+COUNTIF('2月'!DA4:DA34,$B38)+COUNTIF('2月'!DE4:DE34,$B38)+COUNTIF('2月'!DF4:DF34,$B38)+COUNTIF('2月'!DJ4:DJ34,$B38)+COUNTIF('2月'!DK4:DK34,$B38)+COUNTIF('2月'!DO4:DO34,$B38)+COUNTIF('2月'!DP4:DP34,$B38)+COUNTIF('2月'!DT4:DT34,$B38)+COUNTIF('2月'!DU4:DU34,$B38)+COUNTIF('2月'!DY4:DY34,$B38)+COUNTIF('2月'!DZ4:DZ34,$B38)+COUNTIF('2月'!ED4:ED34,$B38)+COUNTIF('2月'!EE4:EE34,$B38)+COUNTIF('2月'!EI4:EI34,$B38)+COUNTIF('2月'!EJ4:EJ34,$B38)+COUNTIF('2月'!EN4:EN34,$B38)+COUNTIF('2月'!EO4:EO34,$B38)+COUNTIF('2月'!ES4:ES34,$B38)+COUNTIF('2月'!ET4:ET34,$B38)),0)</f>
        <v>0</v>
      </c>
      <c r="E38" s="76">
        <f>IFERROR(IF($B38="","",COUNTIF('3月'!D4:D34,$B38)+COUNTIF('3月'!E4:E34,$B38)+COUNTIF('3月'!I4:I34,$B38)+COUNTIF('3月'!J4:J34,$B38)+COUNTIF('3月'!N4:N34,$B38)+COUNTIF('3月'!O4:O34,$B38)+COUNTIF('3月'!S4:S34,$B38)+COUNTIF('3月'!T4:T34,$B38)+COUNTIF('3月'!X4:X34,$B38)+COUNTIF('3月'!Y4:Y34,$B38)+COUNTIF('3月'!AC4:AC34,$B38)+COUNTIF('3月'!AD4:AD34,$B38)+COUNTIF('3月'!AH4:AH34,$B38)+COUNTIF('3月'!AI4:AI34,$B38)+COUNTIF('3月'!AM4:AM34,$B38)+COUNTIF('3月'!AN4:AN34,$B38)+COUNTIF('3月'!AR4:AR34,$B38)+COUNTIF('3月'!AS4:AS34,$B38)+COUNTIF('3月'!AW4:AW34,$B38)+COUNTIF('3月'!AX4:AX34,$B38)+COUNTIF('3月'!BB4:BB34,$B38)+COUNTIF('3月'!BC4:BC34,$B38)+COUNTIF('3月'!BG4:BG34,$B38)+COUNTIF('3月'!BH4:BH34,$B38)+COUNTIF('3月'!BL4:BL34,$B38)+COUNTIF('3月'!BM4:BM34,$B38)+COUNTIF('3月'!BQ4:BQ34,$B38)+COUNTIF('3月'!BR4:BR34,$B38)+COUNTIF('3月'!BV4:BV34,$B38)+COUNTIF('3月'!BW4:BW34,$B38)+COUNTIF('3月'!CA4:CA34,$B38)+COUNTIF('3月'!CB4:CB34,$B38)+COUNTIF('3月'!CF4:CF34,$B38)+COUNTIF('3月'!CG4:CG34,$B38)+COUNTIF('3月'!CK4:CK34,$B38)+COUNTIF('3月'!CL4:CL34,$B38)+COUNTIF('3月'!CP4:CP34,$B38)+COUNTIF('3月'!CQ4:CQ34,$B38)+COUNTIF('3月'!CU4:CU34,$B38)+COUNTIF('3月'!CV4:CV34,$B38)+COUNTIF('3月'!CZ4:CZ34,$B38)+COUNTIF('3月'!DA4:DA34,$B38)+COUNTIF('3月'!DE4:DE34,$B38)+COUNTIF('3月'!DF4:DF34,$B38)+COUNTIF('3月'!DJ4:DJ34,$B38)+COUNTIF('3月'!DK4:DK34,$B38)+COUNTIF('3月'!DO4:DO34,$B38)+COUNTIF('3月'!DP4:DP34,$B38)+COUNTIF('3月'!DT4:DT34,$B38)+COUNTIF('3月'!DU4:DU34,$B38)+COUNTIF('3月'!DY4:DY34,$B38)+COUNTIF('3月'!DZ4:DZ34,$B38)+COUNTIF('3月'!ED4:ED34,$B38)+COUNTIF('3月'!EE4:EE34,$B38)+COUNTIF('3月'!EI4:EI34,$B38)+COUNTIF('3月'!EJ4:EJ34,$B38)+COUNTIF('3月'!EN4:EN34,$B38)+COUNTIF('3月'!EO4:EO34,$B38)+COUNTIF('3月'!ES4:ES34,$B38)+COUNTIF('3月'!ET4:ET34,$B38)),0)</f>
        <v>0</v>
      </c>
      <c r="F38" s="76">
        <f>IFERROR(IF($B38="","",COUNTIF('4月'!D4:D34,$B38)+COUNTIF('4月'!E4:E34,$B38)+COUNTIF('4月'!I4:I34,$B38)+COUNTIF('4月'!J4:J34,$B38)+COUNTIF('4月'!N4:N34,$B38)+COUNTIF('4月'!O4:O34,$B38)+COUNTIF('4月'!S4:S34,$B38)+COUNTIF('4月'!T4:T34,$B38)+COUNTIF('4月'!X4:X34,$B38)+COUNTIF('4月'!Y4:Y34,$B38)+COUNTIF('4月'!AC4:AC34,$B38)+COUNTIF('4月'!AD4:AD34,$B38)+COUNTIF('4月'!AH4:AH34,$B38)+COUNTIF('4月'!AI4:AI34,$B38)+COUNTIF('4月'!AM4:AM34,$B38)+COUNTIF('4月'!AN4:AN34,$B38)+COUNTIF('4月'!AR4:AR34,$B38)+COUNTIF('4月'!AS4:AS34,$B38)+COUNTIF('4月'!AW4:AW34,$B38)+COUNTIF('4月'!AX4:AX34,$B38)+COUNTIF('4月'!BB4:BB34,$B38)+COUNTIF('4月'!BC4:BC34,$B38)+COUNTIF('4月'!BG4:BG34,$B38)+COUNTIF('4月'!BH4:BH34,$B38)+COUNTIF('4月'!BL4:BL34,$B38)+COUNTIF('4月'!BM4:BM34,$B38)+COUNTIF('4月'!BQ4:BQ34,$B38)+COUNTIF('4月'!BR4:BR34,$B38)+COUNTIF('4月'!BV4:BV34,$B38)+COUNTIF('4月'!BW4:BW34,$B38)+COUNTIF('4月'!CA4:CA34,$B38)+COUNTIF('4月'!CB4:CB34,$B38)+COUNTIF('4月'!CF4:CF34,$B38)+COUNTIF('4月'!CG4:CG34,$B38)+COUNTIF('4月'!CK4:CK34,$B38)+COUNTIF('4月'!CL4:CL34,$B38)+COUNTIF('4月'!CP4:CP34,$B38)+COUNTIF('4月'!CQ4:CQ34,$B38)+COUNTIF('4月'!CU4:CU34,$B38)+COUNTIF('4月'!CV4:CV34,$B38)+COUNTIF('4月'!CZ4:CZ34,$B38)+COUNTIF('4月'!DA4:DA34,$B38)+COUNTIF('4月'!DE4:DE34,$B38)+COUNTIF('4月'!DF4:DF34,$B38)+COUNTIF('4月'!DJ4:DJ34,$B38)+COUNTIF('4月'!DK4:DK34,$B38)+COUNTIF('4月'!DO4:DO34,$B38)+COUNTIF('4月'!DP4:DP34,$B38)+COUNTIF('4月'!DT4:DT34,$B38)+COUNTIF('4月'!DU4:DU34,$B38)+COUNTIF('4月'!DY4:DY34,$B38)+COUNTIF('4月'!DZ4:DZ34,$B38)+COUNTIF('4月'!ED4:ED34,$B38)+COUNTIF('4月'!EE4:EE34,$B38)+COUNTIF('4月'!EI4:EI34,$B38)+COUNTIF('4月'!EJ4:EJ34,$B38)+COUNTIF('4月'!EN4:EN34,$B38)+COUNTIF('4月'!EO4:EO34,$B38)+COUNTIF('4月'!ES4:ES34,$B38)+COUNTIF('4月'!ET4:ET34,$B38)),0)</f>
        <v>0</v>
      </c>
      <c r="G38" s="76">
        <f>IFERROR(IF($B38="","",COUNTIF('5月'!D4:D34,$B38)+COUNTIF('5月'!E4:E34,$B38)+COUNTIF('5月'!I4:I34,$B38)+COUNTIF('5月'!J4:J34,$B38)+COUNTIF('5月'!N4:N34,$B38)+COUNTIF('5月'!O4:O34,$B38)+COUNTIF('5月'!S4:S34,$B38)+COUNTIF('5月'!T4:T34,$B38)+COUNTIF('5月'!X4:X34,$B38)+COUNTIF('5月'!Y4:Y34,$B38)+COUNTIF('5月'!AC4:AC34,$B38)+COUNTIF('5月'!AD4:AD34,$B38)+COUNTIF('5月'!AH4:AH34,$B38)+COUNTIF('5月'!AI4:AI34,$B38)+COUNTIF('5月'!AM4:AM34,$B38)+COUNTIF('5月'!AN4:AN34,$B38)+COUNTIF('5月'!AR4:AR34,$B38)+COUNTIF('5月'!AS4:AS34,$B38)+COUNTIF('5月'!AW4:AW34,$B38)+COUNTIF('5月'!AX4:AX34,$B38)+COUNTIF('5月'!BB4:BB34,$B38)+COUNTIF('5月'!BC4:BC34,$B38)+COUNTIF('5月'!BG4:BG34,$B38)+COUNTIF('5月'!BH4:BH34,$B38)+COUNTIF('5月'!BL4:BL34,$B38)+COUNTIF('5月'!BM4:BM34,$B38)+COUNTIF('5月'!BQ4:BQ34,$B38)+COUNTIF('5月'!BR4:BR34,$B38)+COUNTIF('5月'!BV4:BV34,$B38)+COUNTIF('5月'!BW4:BW34,$B38)+COUNTIF('5月'!CA4:CA34,$B38)+COUNTIF('5月'!CB4:CB34,$B38)+COUNTIF('5月'!CF4:CF34,$B38)+COUNTIF('5月'!CG4:CG34,$B38)+COUNTIF('5月'!CK4:CK34,$B38)+COUNTIF('5月'!CL4:CL34,$B38)+COUNTIF('5月'!CP4:CP34,$B38)+COUNTIF('5月'!CQ4:CQ34,$B38)+COUNTIF('5月'!CU4:CU34,$B38)+COUNTIF('5月'!CV4:CV34,$B38)+COUNTIF('5月'!CZ4:CZ34,$B38)+COUNTIF('5月'!DA4:DA34,$B38)+COUNTIF('5月'!DE4:DE34,$B38)+COUNTIF('5月'!DF4:DF34,$B38)+COUNTIF('5月'!DJ4:DJ34,$B38)+COUNTIF('5月'!DK4:DK34,$B38)+COUNTIF('5月'!DO4:DO34,$B38)+COUNTIF('5月'!DP4:DP34,$B38)+COUNTIF('5月'!DT4:DT34,$B38)+COUNTIF('5月'!DU4:DU34,$B38)+COUNTIF('5月'!DY4:DY34,$B38)+COUNTIF('5月'!DZ4:DZ34,$B38)+COUNTIF('5月'!ED4:ED34,$B38)+COUNTIF('5月'!EE4:EE34,$B38)+COUNTIF('5月'!EI4:EI34,$B38)+COUNTIF('5月'!EJ4:EJ34,$B38)+COUNTIF('5月'!EN4:EN34,$B38)+COUNTIF('5月'!EO4:EO34,$B38)+COUNTIF('5月'!ES4:ES34,$B38)+COUNTIF('5月'!ET4:ET34,$B38)),0)</f>
        <v>0</v>
      </c>
      <c r="H38" s="76">
        <f>IFERROR(IF($B38="","",COUNTIF('6月'!D4:D34,$B38)+COUNTIF('6月'!E4:E34,$B38)+COUNTIF('6月'!I4:I34,$B38)+COUNTIF('6月'!J4:J34,$B38)+COUNTIF('6月'!N4:N34,$B38)+COUNTIF('6月'!O4:O34,$B38)+COUNTIF('6月'!S4:S34,$B38)+COUNTIF('6月'!T4:T34,$B38)+COUNTIF('6月'!X4:X34,$B38)+COUNTIF('6月'!Y4:Y34,$B38)+COUNTIF('6月'!AC4:AC34,$B38)+COUNTIF('6月'!AD4:AD34,$B38)+COUNTIF('6月'!AH4:AH34,$B38)+COUNTIF('6月'!AI4:AI34,$B38)+COUNTIF('6月'!AM4:AM34,$B38)+COUNTIF('6月'!AN4:AN34,$B38)+COUNTIF('6月'!AR4:AR34,$B38)+COUNTIF('6月'!AS4:AS34,$B38)+COUNTIF('6月'!AW4:AW34,$B38)+COUNTIF('6月'!AX4:AX34,$B38)+COUNTIF('6月'!BB4:BB34,$B38)+COUNTIF('6月'!BC4:BC34,$B38)+COUNTIF('6月'!BG4:BG34,$B38)+COUNTIF('6月'!BH4:BH34,$B38)+COUNTIF('6月'!BL4:BL34,$B38)+COUNTIF('6月'!BM4:BM34,$B38)+COUNTIF('6月'!BQ4:BQ34,$B38)+COUNTIF('6月'!BR4:BR34,$B38)+COUNTIF('6月'!BV4:BV34,$B38)+COUNTIF('6月'!BW4:BW34,$B38)+COUNTIF('6月'!CA4:CA34,$B38)+COUNTIF('6月'!CB4:CB34,$B38)+COUNTIF('6月'!CF4:CF34,$B38)+COUNTIF('6月'!CG4:CG34,$B38)+COUNTIF('6月'!CK4:CK34,$B38)+COUNTIF('6月'!CL4:CL34,$B38)+COUNTIF('6月'!CP4:CP34,$B38)+COUNTIF('6月'!CQ4:CQ34,$B38)+COUNTIF('6月'!CU4:CU34,$B38)+COUNTIF('6月'!CV4:CV34,$B38)+COUNTIF('6月'!CZ4:CZ34,$B38)+COUNTIF('6月'!DA4:DA34,$B38)+COUNTIF('6月'!DE4:DE34,$B38)+COUNTIF('6月'!DF4:DF34,$B38)+COUNTIF('6月'!DJ4:DJ34,$B38)+COUNTIF('6月'!DK4:DK34,$B38)+COUNTIF('6月'!DO4:DO34,$B38)+COUNTIF('6月'!DP4:DP34,$B38)+COUNTIF('6月'!DT4:DT34,$B38)+COUNTIF('6月'!DU4:DU34,$B38)+COUNTIF('6月'!DY4:DY34,$B38)+COUNTIF('6月'!DZ4:DZ34,$B38)+COUNTIF('6月'!ED4:ED34,$B38)+COUNTIF('6月'!EE4:EE34,$B38)+COUNTIF('6月'!EI4:EI34,$B38)+COUNTIF('6月'!EJ4:EJ34,$B38)+COUNTIF('6月'!EN4:EN34,$B38)+COUNTIF('6月'!EO4:EO34,$B38)+COUNTIF('6月'!ES4:ES34,$B38)+COUNTIF('6月'!ET4:ET34,$B38)),0)</f>
        <v>0</v>
      </c>
      <c r="I38" s="76">
        <f>IFERROR(IF($B38="","",COUNTIF('7月'!D4:D34,$B38)+COUNTIF('7月'!E4:E34,$B38)+COUNTIF('7月'!I4:I34,$B38)+COUNTIF('7月'!J4:J34,$B38)+COUNTIF('7月'!N4:N34,$B38)+COUNTIF('7月'!O4:O34,$B38)+COUNTIF('7月'!S4:S34,$B38)+COUNTIF('7月'!T4:T34,$B38)+COUNTIF('7月'!X4:X34,$B38)+COUNTIF('7月'!Y4:Y34,$B38)+COUNTIF('7月'!AC4:AC34,$B38)+COUNTIF('7月'!AD4:AD34,$B38)+COUNTIF('7月'!AH4:AH34,$B38)+COUNTIF('7月'!AI4:AI34,$B38)+COUNTIF('7月'!AM4:AM34,$B38)+COUNTIF('7月'!AN4:AN34,$B38)+COUNTIF('7月'!AR4:AR34,$B38)+COUNTIF('7月'!AS4:AS34,$B38)+COUNTIF('7月'!AW4:AW34,$B38)+COUNTIF('7月'!AX4:AX34,$B38)+COUNTIF('7月'!BB4:BB34,$B38)+COUNTIF('7月'!BC4:BC34,$B38)+COUNTIF('7月'!BG4:BG34,$B38)+COUNTIF('7月'!BH4:BH34,$B38)+COUNTIF('7月'!BL4:BL34,$B38)+COUNTIF('7月'!BM4:BM34,$B38)+COUNTIF('7月'!BQ4:BQ34,$B38)+COUNTIF('7月'!BR4:BR34,$B38)+COUNTIF('7月'!BV4:BV34,$B38)+COUNTIF('7月'!BW4:BW34,$B38)+COUNTIF('7月'!CA4:CA34,$B38)+COUNTIF('7月'!CB4:CB34,$B38)+COUNTIF('7月'!CF4:CF34,$B38)+COUNTIF('7月'!CG4:CG34,$B38)+COUNTIF('7月'!CK4:CK34,$B38)+COUNTIF('7月'!CL4:CL34,$B38)+COUNTIF('7月'!CP4:CP34,$B38)+COUNTIF('7月'!CQ4:CQ34,$B38)+COUNTIF('7月'!CU4:CU34,$B38)+COUNTIF('7月'!CV4:CV34,$B38)+COUNTIF('7月'!CZ4:CZ34,$B38)+COUNTIF('7月'!DA4:DA34,$B38)+COUNTIF('7月'!DE4:DE34,$B38)+COUNTIF('7月'!DF4:DF34,$B38)+COUNTIF('7月'!DJ4:DJ34,$B38)+COUNTIF('7月'!DK4:DK34,$B38)+COUNTIF('7月'!DO4:DO34,$B38)+COUNTIF('7月'!DP4:DP34,$B38)+COUNTIF('7月'!DT4:DT34,$B38)+COUNTIF('7月'!DU4:DU34,$B38)+COUNTIF('7月'!DY4:DY34,$B38)+COUNTIF('7月'!DZ4:DZ34,$B38)+COUNTIF('7月'!ED4:ED34,$B38)+COUNTIF('7月'!EE4:EE34,$B38)+COUNTIF('7月'!EI4:EI34,$B38)+COUNTIF('7月'!EJ4:EJ34,$B38)+COUNTIF('7月'!EN4:EN34,$B38)+COUNTIF('7月'!EO4:EO34,$B38)+COUNTIF('7月'!ES4:ES34,$B38)+COUNTIF('7月'!ET4:ET34,$B38)),0)</f>
        <v>0</v>
      </c>
      <c r="J38" s="76">
        <f>IFERROR(IF($B38="","",COUNTIF('8月'!D4:D34,$B38)+COUNTIF('8月'!E4:E34,$B38)+COUNTIF('8月'!I4:I34,$B38)+COUNTIF('8月'!J4:J34,$B38)+COUNTIF('8月'!N4:N34,$B38)+COUNTIF('8月'!O4:O34,$B38)+COUNTIF('8月'!S4:S34,$B38)+COUNTIF('8月'!T4:T34,$B38)+COUNTIF('8月'!X4:X34,$B38)+COUNTIF('8月'!Y4:Y34,$B38)+COUNTIF('8月'!AC4:AC34,$B38)+COUNTIF('8月'!AD4:AD34,$B38)+COUNTIF('8月'!AH4:AH34,$B38)+COUNTIF('8月'!AI4:AI34,$B38)+COUNTIF('8月'!AM4:AM34,$B38)+COUNTIF('8月'!AN4:AN34,$B38)+COUNTIF('8月'!AR4:AR34,$B38)+COUNTIF('8月'!AS4:AS34,$B38)+COUNTIF('8月'!AW4:AW34,$B38)+COUNTIF('8月'!AX4:AX34,$B38)+COUNTIF('8月'!BB4:BB34,$B38)+COUNTIF('8月'!BC4:BC34,$B38)+COUNTIF('8月'!BG4:BG34,$B38)+COUNTIF('8月'!BH4:BH34,$B38)+COUNTIF('8月'!BL4:BL34,$B38)+COUNTIF('8月'!BM4:BM34,$B38)+COUNTIF('8月'!BQ4:BQ34,$B38)+COUNTIF('8月'!BR4:BR34,$B38)+COUNTIF('8月'!BV4:BV34,$B38)+COUNTIF('8月'!BW4:BW34,$B38)+COUNTIF('8月'!CA4:CA34,$B38)+COUNTIF('8月'!CB4:CB34,$B38)+COUNTIF('8月'!CF4:CF34,$B38)+COUNTIF('8月'!CG4:CG34,$B38)+COUNTIF('8月'!CK4:CK34,$B38)+COUNTIF('8月'!CL4:CL34,$B38)+COUNTIF('8月'!CP4:CP34,$B38)+COUNTIF('8月'!CQ4:CQ34,$B38)+COUNTIF('8月'!CU4:CU34,$B38)+COUNTIF('8月'!CV4:CV34,$B38)+COUNTIF('8月'!CZ4:CZ34,$B38)+COUNTIF('8月'!DA4:DA34,$B38)+COUNTIF('8月'!DE4:DE34,$B38)+COUNTIF('8月'!DF4:DF34,$B38)+COUNTIF('8月'!DJ4:DJ34,$B38)+COUNTIF('8月'!DK4:DK34,$B38)+COUNTIF('8月'!DO4:DO34,$B38)+COUNTIF('8月'!DP4:DP34,$B38)+COUNTIF('8月'!DT4:DT34,$B38)+COUNTIF('8月'!DU4:DU34,$B38)+COUNTIF('8月'!DY4:DY34,$B38)+COUNTIF('8月'!DZ4:DZ34,$B38)+COUNTIF('8月'!ED4:ED34,$B38)+COUNTIF('8月'!EE4:EE34,$B38)+COUNTIF('8月'!EI4:EI34,$B38)+COUNTIF('8月'!EJ4:EJ34,$B38)+COUNTIF('8月'!EN4:EN34,$B38)+COUNTIF('8月'!EO4:EO34,$B38)+COUNTIF('8月'!ES4:ES34,$B38)+COUNTIF('8月'!ET4:ET34,$B38)),0)</f>
        <v>0</v>
      </c>
      <c r="K38" s="76">
        <f>IFERROR(IF($B38="","",COUNTIF('9月'!D4:D34,$B38)+COUNTIF('9月'!E4:E34,$B38)+COUNTIF('9月'!I4:I34,$B38)+COUNTIF('9月'!J4:J34,$B38)+COUNTIF('9月'!N4:N34,$B38)+COUNTIF('9月'!O4:O34,$B38)+COUNTIF('9月'!S4:S34,$B38)+COUNTIF('9月'!T4:T34,$B38)+COUNTIF('9月'!X4:X34,$B38)+COUNTIF('9月'!Y4:Y34,$B38)+COUNTIF('9月'!AC4:AC34,$B38)+COUNTIF('9月'!AD4:AD34,$B38)+COUNTIF('9月'!AH4:AH34,$B38)+COUNTIF('9月'!AI4:AI34,$B38)+COUNTIF('9月'!AM4:AM34,$B38)+COUNTIF('9月'!AN4:AN34,$B38)+COUNTIF('9月'!AR4:AR34,$B38)+COUNTIF('9月'!AS4:AS34,$B38)+COUNTIF('9月'!AW4:AW34,$B38)+COUNTIF('9月'!AX4:AX34,$B38)+COUNTIF('9月'!BB4:BB34,$B38)+COUNTIF('9月'!BC4:BC34,$B38)+COUNTIF('9月'!BG4:BG34,$B38)+COUNTIF('9月'!BH4:BH34,$B38)+COUNTIF('9月'!BL4:BL34,$B38)+COUNTIF('9月'!BM4:BM34,$B38)+COUNTIF('9月'!BQ4:BQ34,$B38)+COUNTIF('9月'!BR4:BR34,$B38)+COUNTIF('9月'!BV4:BV34,$B38)+COUNTIF('9月'!BW4:BW34,$B38)+COUNTIF('9月'!CA4:CA34,$B38)+COUNTIF('9月'!CB4:CB34,$B38)+COUNTIF('9月'!CF4:CF34,$B38)+COUNTIF('9月'!CG4:CG34,$B38)+COUNTIF('9月'!CK4:CK34,$B38)+COUNTIF('9月'!CL4:CL34,$B38)+COUNTIF('9月'!CP4:CP34,$B38)+COUNTIF('9月'!CQ4:CQ34,$B38)+COUNTIF('9月'!CU4:CU34,$B38)+COUNTIF('9月'!CV4:CV34,$B38)+COUNTIF('9月'!CZ4:CZ34,$B38)+COUNTIF('9月'!DA4:DA34,$B38)+COUNTIF('9月'!DE4:DE34,$B38)+COUNTIF('9月'!DF4:DF34,$B38)+COUNTIF('9月'!DJ4:DJ34,$B38)+COUNTIF('9月'!DK4:DK34,$B38)+COUNTIF('9月'!DO4:DO34,$B38)+COUNTIF('9月'!DP4:DP34,$B38)+COUNTIF('9月'!DT4:DT34,$B38)+COUNTIF('9月'!DU4:DU34,$B38)+COUNTIF('9月'!DY4:DY34,$B38)+COUNTIF('9月'!DZ4:DZ34,$B38)+COUNTIF('9月'!ED4:ED34,$B38)+COUNTIF('9月'!EE4:EE34,$B38)+COUNTIF('9月'!EI4:EI34,$B38)+COUNTIF('9月'!EJ4:EJ34,$B38)+COUNTIF('9月'!EN4:EN34,$B38)+COUNTIF('9月'!EO4:EO34,$B38)+COUNTIF('9月'!ES4:ES34,$B38)+COUNTIF('9月'!ET4:ET34,$B38)),0)</f>
        <v>0</v>
      </c>
      <c r="L38" s="76">
        <f>IFERROR(IF($B38="","",COUNTIF('10月'!D4:D34,$B38)+COUNTIF('10月'!E4:E34,$B38)+COUNTIF('10月'!I4:I34,$B38)+COUNTIF('10月'!J4:J34,$B38)+COUNTIF('10月'!N4:N34,$B38)+COUNTIF('10月'!O4:O34,$B38)+COUNTIF('10月'!S4:S34,$B38)+COUNTIF('10月'!T4:T34,$B38)+COUNTIF('10月'!X4:X34,$B38)+COUNTIF('10月'!Y4:Y34,$B38)+COUNTIF('10月'!AC4:AC34,$B38)+COUNTIF('10月'!AD4:AD34,$B38)+COUNTIF('10月'!AH4:AH34,$B38)+COUNTIF('10月'!AI4:AI34,$B38)+COUNTIF('10月'!AM4:AM34,$B38)+COUNTIF('10月'!AN4:AN34,$B38)+COUNTIF('10月'!AR4:AR34,$B38)+COUNTIF('10月'!AS4:AS34,$B38)+COUNTIF('10月'!AW4:AW34,$B38)+COUNTIF('10月'!AX4:AX34,$B38)+COUNTIF('10月'!BB4:BB34,$B38)+COUNTIF('10月'!BC4:BC34,$B38)+COUNTIF('10月'!BG4:BG34,$B38)+COUNTIF('10月'!BH4:BH34,$B38)+COUNTIF('10月'!BL4:BL34,$B38)+COUNTIF('10月'!BM4:BM34,$B38)+COUNTIF('10月'!BQ4:BQ34,$B38)+COUNTIF('10月'!BR4:BR34,$B38)+COUNTIF('10月'!BV4:BV34,$B38)+COUNTIF('10月'!BW4:BW34,$B38)+COUNTIF('10月'!CA4:CA34,$B38)+COUNTIF('10月'!CB4:CB34,$B38)+COUNTIF('10月'!CF4:CF34,$B38)+COUNTIF('10月'!CG4:CG34,$B38)+COUNTIF('10月'!CK4:CK34,$B38)+COUNTIF('10月'!CL4:CL34,$B38)+COUNTIF('10月'!CP4:CP34,$B38)+COUNTIF('10月'!CQ4:CQ34,$B38)+COUNTIF('10月'!CU4:CU34,$B38)+COUNTIF('10月'!CV4:CV34,$B38)+COUNTIF('10月'!CZ4:CZ34,$B38)+COUNTIF('10月'!DA4:DA34,$B38)+COUNTIF('10月'!DE4:DE34,$B38)+COUNTIF('10月'!DF4:DF34,$B38)+COUNTIF('10月'!DJ4:DJ34,$B38)+COUNTIF('10月'!DK4:DK34,$B38)+COUNTIF('10月'!DO4:DO34,$B38)+COUNTIF('10月'!DP4:DP34,$B38)+COUNTIF('10月'!DT4:DT34,$B38)+COUNTIF('10月'!DU4:DU34,$B38)+COUNTIF('10月'!DY4:DY34,$B38)+COUNTIF('10月'!DZ4:DZ34,$B38)+COUNTIF('10月'!ED4:ED34,$B38)+COUNTIF('10月'!EE4:EE34,$B38)+COUNTIF('10月'!EI4:EI34,$B38)+COUNTIF('10月'!EJ4:EJ34,$B38)+COUNTIF('10月'!EN4:EN34,$B38)+COUNTIF('10月'!EO4:EO34,$B38)+COUNTIF('10月'!ES4:ES34,$B38)+COUNTIF('10月'!ET4:ET34,$B38)),0)</f>
        <v>0</v>
      </c>
      <c r="M38" s="76">
        <f>IFERROR(IF($B38="","",COUNTIF('11月'!D4:D34,$B38)+COUNTIF('11月'!E4:E34,$B38)+COUNTIF('11月'!I4:I34,$B38)+COUNTIF('11月'!J4:J34,$B38)+COUNTIF('11月'!N4:N34,$B38)+COUNTIF('11月'!O4:O34,$B38)+COUNTIF('11月'!S4:S34,$B38)+COUNTIF('11月'!T4:T34,$B38)+COUNTIF('11月'!X4:X34,$B38)+COUNTIF('11月'!Y4:Y34,$B38)+COUNTIF('11月'!AC4:AC34,$B38)+COUNTIF('11月'!AD4:AD34,$B38)+COUNTIF('11月'!AH4:AH34,$B38)+COUNTIF('11月'!AI4:AI34,$B38)+COUNTIF('11月'!AM4:AM34,$B38)+COUNTIF('11月'!AN4:AN34,$B38)+COUNTIF('11月'!AR4:AR34,$B38)+COUNTIF('11月'!AS4:AS34,$B38)+COUNTIF('11月'!AW4:AW34,$B38)+COUNTIF('11月'!AX4:AX34,$B38)+COUNTIF('11月'!BB4:BB34,$B38)+COUNTIF('11月'!BC4:BC34,$B38)+COUNTIF('11月'!BG4:BG34,$B38)+COUNTIF('11月'!BH4:BH34,$B38)+COUNTIF('11月'!BL4:BL34,$B38)+COUNTIF('11月'!BM4:BM34,$B38)+COUNTIF('11月'!BQ4:BQ34,$B38)+COUNTIF('11月'!BR4:BR34,$B38)+COUNTIF('11月'!BV4:BV34,$B38)+COUNTIF('11月'!BW4:BW34,$B38)+COUNTIF('11月'!CA4:CA34,$B38)+COUNTIF('11月'!CB4:CB34,$B38)+COUNTIF('11月'!CF4:CF34,$B38)+COUNTIF('11月'!CG4:CG34,$B38)+COUNTIF('11月'!CK4:CK34,$B38)+COUNTIF('11月'!CL4:CL34,$B38)+COUNTIF('11月'!CP4:CP34,$B38)+COUNTIF('11月'!CQ4:CQ34,$B38)+COUNTIF('11月'!CU4:CU34,$B38)+COUNTIF('11月'!CV4:CV34,$B38)+COUNTIF('11月'!CZ4:CZ34,$B38)+COUNTIF('11月'!DA4:DA34,$B38)+COUNTIF('11月'!DE4:DE34,$B38)+COUNTIF('11月'!DF4:DF34,$B38)+COUNTIF('11月'!DJ4:DJ34,$B38)+COUNTIF('11月'!DK4:DK34,$B38)+COUNTIF('11月'!DO4:DO34,$B38)+COUNTIF('11月'!DP4:DP34,$B38)+COUNTIF('11月'!DT4:DT34,$B38)+COUNTIF('11月'!DU4:DU34,$B38)+COUNTIF('11月'!DY4:DY34,$B38)+COUNTIF('11月'!DZ4:DZ34,$B38)+COUNTIF('11月'!ED4:ED34,$B38)+COUNTIF('11月'!EE4:EE34,$B38)+COUNTIF('11月'!EI4:EI34,$B38)+COUNTIF('11月'!EJ4:EJ34,$B38)+COUNTIF('11月'!EN4:EN34,$B38)+COUNTIF('11月'!EO4:EO34,$B38)+COUNTIF('11月'!ES4:ES34,$B38)+COUNTIF('11月'!ET4:ET34,$B38)),0)</f>
        <v>0</v>
      </c>
      <c r="N38" s="76">
        <f>IFERROR(IF($B38="","",COUNTIF('12月'!D4:D34,$B38)+COUNTIF('12月'!E4:E34,$B38)+COUNTIF('12月'!I4:I34,$B38)+COUNTIF('12月'!J4:J34,$B38)+COUNTIF('12月'!N4:N34,$B38)+COUNTIF('12月'!O4:O34,$B38)+COUNTIF('12月'!S4:S34,$B38)+COUNTIF('12月'!T4:T34,$B38)+COUNTIF('12月'!X4:X34,$B38)+COUNTIF('12月'!Y4:Y34,$B38)+COUNTIF('12月'!AC4:AC34,$B38)+COUNTIF('12月'!AD4:AD34,$B38)+COUNTIF('12月'!AH4:AH34,$B38)+COUNTIF('12月'!AI4:AI34,$B38)+COUNTIF('12月'!AM4:AM34,$B38)+COUNTIF('12月'!AN4:AN34,$B38)+COUNTIF('12月'!AR4:AR34,$B38)+COUNTIF('12月'!AS4:AS34,$B38)+COUNTIF('12月'!AW4:AW34,$B38)+COUNTIF('12月'!AX4:AX34,$B38)+COUNTIF('12月'!BB4:BB34,$B38)+COUNTIF('12月'!BC4:BC34,$B38)+COUNTIF('12月'!BG4:BG34,$B38)+COUNTIF('12月'!BH4:BH34,$B38)+COUNTIF('12月'!BL4:BL34,$B38)+COUNTIF('12月'!BM4:BM34,$B38)+COUNTIF('12月'!BQ4:BQ34,$B38)+COUNTIF('12月'!BR4:BR34,$B38)+COUNTIF('12月'!BV4:BV34,$B38)+COUNTIF('12月'!BW4:BW34,$B38)+COUNTIF('12月'!CA4:CA34,$B38)+COUNTIF('12月'!CB4:CB34,$B38)+COUNTIF('12月'!CF4:CF34,$B38)+COUNTIF('12月'!CG4:CG34,$B38)+COUNTIF('12月'!CK4:CK34,$B38)+COUNTIF('12月'!CL4:CL34,$B38)+COUNTIF('12月'!CP4:CP34,$B38)+COUNTIF('12月'!CQ4:CQ34,$B38)+COUNTIF('12月'!CU4:CU34,$B38)+COUNTIF('12月'!CV4:CV34,$B38)+COUNTIF('12月'!CZ4:CZ34,$B38)+COUNTIF('12月'!DA4:DA34,$B38)+COUNTIF('12月'!DE4:DE34,$B38)+COUNTIF('12月'!DF4:DF34,$B38)+COUNTIF('12月'!DJ4:DJ34,$B38)+COUNTIF('12月'!DK4:DK34,$B38)+COUNTIF('12月'!DO4:DO34,$B38)+COUNTIF('12月'!DP4:DP34,$B38)+COUNTIF('12月'!DT4:DT34,$B38)+COUNTIF('12月'!DU4:DU34,$B38)+COUNTIF('12月'!DY4:DY34,$B38)+COUNTIF('12月'!DZ4:DZ34,$B38)+COUNTIF('12月'!ED4:ED34,$B38)+COUNTIF('12月'!EE4:EE34,$B38)+COUNTIF('12月'!EI4:EI34,$B38)+COUNTIF('12月'!EJ4:EJ34,$B38)+COUNTIF('12月'!EN4:EN34,$B38)+COUNTIF('12月'!EO4:EO34,$B38)+COUNTIF('12月'!ES4:ES34,$B38)+COUNTIF('12月'!ET4:ET34,$B38)),0)</f>
        <v>0</v>
      </c>
      <c r="O38" s="78">
        <f t="shared" si="0"/>
        <v>0</v>
      </c>
    </row>
    <row r="39" spans="1:15" ht="19.5" customHeight="1">
      <c r="A39" s="76">
        <v>37</v>
      </c>
      <c r="B39" s="77">
        <f>IFERROR(現場マスタ!$C$40,"")</f>
        <v>0</v>
      </c>
      <c r="C39" s="76">
        <f>IFERROR(IF($B39="","",COUNTIF('1月'!D4:D34,$B39)+COUNTIF('1月'!E4:E34,$B39)+COUNTIF('1月'!I4:I34,$B39)+COUNTIF('1月'!J4:J34,$B39)+COUNTIF('1月'!N4:N34,$B39)+COUNTIF('1月'!O4:O34,$B39)+COUNTIF('1月'!S4:S34,$B39)+COUNTIF('1月'!T4:T34,$B39)+COUNTIF('1月'!X4:X34,$B39)+COUNTIF('1月'!Y4:Y34,$B39)+COUNTIF('1月'!AC4:AC34,$B39)+COUNTIF('1月'!AD4:AD34,$B39)+COUNTIF('1月'!AH4:AH34,$B39)+COUNTIF('1月'!AI4:AI34,$B39)+COUNTIF('1月'!AM4:AM34,$B39)+COUNTIF('1月'!AN4:AN34,$B39)+COUNTIF('1月'!AR4:AR34,$B39)+COUNTIF('1月'!AS4:AS34,$B39)+COUNTIF('1月'!AW4:AW34,$B39)+COUNTIF('1月'!AX4:AX34,$B39)+COUNTIF('1月'!BB4:BB34,$B39)+COUNTIF('1月'!BC4:BC34,$B39)+COUNTIF('1月'!BG4:BG34,$B39)+COUNTIF('1月'!BH4:BH34,$B39)+COUNTIF('1月'!BL4:BL34,$B39)+COUNTIF('1月'!BM4:BM34,$B39)+COUNTIF('1月'!BQ4:BQ34,$B39)+COUNTIF('1月'!BR4:BR34,$B39)+COUNTIF('1月'!BV4:BV34,$B39)+COUNTIF('1月'!BW4:BW34,$B39)+COUNTIF('1月'!CA4:CA34,$B39)+COUNTIF('1月'!CB4:CB34,$B39)+COUNTIF('1月'!CF4:CF34,$B39)+COUNTIF('1月'!CG4:CG34,$B39)+COUNTIF('1月'!CK4:CK34,$B39)+COUNTIF('1月'!CL4:CL34,$B39)+COUNTIF('1月'!CP4:CP34,$B39)+COUNTIF('1月'!CQ4:CQ34,$B39)+COUNTIF('1月'!CU4:CU34,$B39)+COUNTIF('1月'!CV4:CV34,$B39)+COUNTIF('1月'!CZ4:CZ34,$B39)+COUNTIF('1月'!DA4:DA34,$B39)+COUNTIF('1月'!DE4:DE34,$B39)+COUNTIF('1月'!DF4:DF34,$B39)+COUNTIF('1月'!DJ4:DJ34,$B39)+COUNTIF('1月'!DK4:DK34,$B39)+COUNTIF('1月'!DO4:DO34,$B39)+COUNTIF('1月'!DP4:DP34,$B39)+COUNTIF('1月'!DT4:DT34,$B39)+COUNTIF('1月'!DU4:DU34,$B39)+COUNTIF('1月'!DY4:DY34,$B39)+COUNTIF('1月'!DZ4:DZ34,$B39)+COUNTIF('1月'!ED4:ED34,$B39)+COUNTIF('1月'!EE4:EE34,$B39)+COUNTIF('1月'!EI4:EI34,$B39)+COUNTIF('1月'!EJ4:EJ34,$B39)+COUNTIF('1月'!EN4:EN34,$B39)+COUNTIF('1月'!EO4:EO34,$B39)+COUNTIF('1月'!ES4:ES34,$B39)+COUNTIF('1月'!ET4:ET34,$B39)),0)</f>
        <v>0</v>
      </c>
      <c r="D39" s="76">
        <f>IFERROR(IF($B39="","",COUNTIF('2月'!D4:D34,$B39)+COUNTIF('2月'!E4:E34,$B39)+COUNTIF('2月'!I4:I34,$B39)+COUNTIF('2月'!J4:J34,$B39)+COUNTIF('2月'!N4:N34,$B39)+COUNTIF('2月'!O4:O34,$B39)+COUNTIF('2月'!S4:S34,$B39)+COUNTIF('2月'!T4:T34,$B39)+COUNTIF('2月'!X4:X34,$B39)+COUNTIF('2月'!Y4:Y34,$B39)+COUNTIF('2月'!AC4:AC34,$B39)+COUNTIF('2月'!AD4:AD34,$B39)+COUNTIF('2月'!AH4:AH34,$B39)+COUNTIF('2月'!AI4:AI34,$B39)+COUNTIF('2月'!AM4:AM34,$B39)+COUNTIF('2月'!AN4:AN34,$B39)+COUNTIF('2月'!AR4:AR34,$B39)+COUNTIF('2月'!AS4:AS34,$B39)+COUNTIF('2月'!AW4:AW34,$B39)+COUNTIF('2月'!AX4:AX34,$B39)+COUNTIF('2月'!BB4:BB34,$B39)+COUNTIF('2月'!BC4:BC34,$B39)+COUNTIF('2月'!BG4:BG34,$B39)+COUNTIF('2月'!BH4:BH34,$B39)+COUNTIF('2月'!BL4:BL34,$B39)+COUNTIF('2月'!BM4:BM34,$B39)+COUNTIF('2月'!BQ4:BQ34,$B39)+COUNTIF('2月'!BR4:BR34,$B39)+COUNTIF('2月'!BV4:BV34,$B39)+COUNTIF('2月'!BW4:BW34,$B39)+COUNTIF('2月'!CA4:CA34,$B39)+COUNTIF('2月'!CB4:CB34,$B39)+COUNTIF('2月'!CF4:CF34,$B39)+COUNTIF('2月'!CG4:CG34,$B39)+COUNTIF('2月'!CK4:CK34,$B39)+COUNTIF('2月'!CL4:CL34,$B39)+COUNTIF('2月'!CP4:CP34,$B39)+COUNTIF('2月'!CQ4:CQ34,$B39)+COUNTIF('2月'!CU4:CU34,$B39)+COUNTIF('2月'!CV4:CV34,$B39)+COUNTIF('2月'!CZ4:CZ34,$B39)+COUNTIF('2月'!DA4:DA34,$B39)+COUNTIF('2月'!DE4:DE34,$B39)+COUNTIF('2月'!DF4:DF34,$B39)+COUNTIF('2月'!DJ4:DJ34,$B39)+COUNTIF('2月'!DK4:DK34,$B39)+COUNTIF('2月'!DO4:DO34,$B39)+COUNTIF('2月'!DP4:DP34,$B39)+COUNTIF('2月'!DT4:DT34,$B39)+COUNTIF('2月'!DU4:DU34,$B39)+COUNTIF('2月'!DY4:DY34,$B39)+COUNTIF('2月'!DZ4:DZ34,$B39)+COUNTIF('2月'!ED4:ED34,$B39)+COUNTIF('2月'!EE4:EE34,$B39)+COUNTIF('2月'!EI4:EI34,$B39)+COUNTIF('2月'!EJ4:EJ34,$B39)+COUNTIF('2月'!EN4:EN34,$B39)+COUNTIF('2月'!EO4:EO34,$B39)+COUNTIF('2月'!ES4:ES34,$B39)+COUNTIF('2月'!ET4:ET34,$B39)),0)</f>
        <v>0</v>
      </c>
      <c r="E39" s="76">
        <f>IFERROR(IF($B39="","",COUNTIF('3月'!D4:D34,$B39)+COUNTIF('3月'!E4:E34,$B39)+COUNTIF('3月'!I4:I34,$B39)+COUNTIF('3月'!J4:J34,$B39)+COUNTIF('3月'!N4:N34,$B39)+COUNTIF('3月'!O4:O34,$B39)+COUNTIF('3月'!S4:S34,$B39)+COUNTIF('3月'!T4:T34,$B39)+COUNTIF('3月'!X4:X34,$B39)+COUNTIF('3月'!Y4:Y34,$B39)+COUNTIF('3月'!AC4:AC34,$B39)+COUNTIF('3月'!AD4:AD34,$B39)+COUNTIF('3月'!AH4:AH34,$B39)+COUNTIF('3月'!AI4:AI34,$B39)+COUNTIF('3月'!AM4:AM34,$B39)+COUNTIF('3月'!AN4:AN34,$B39)+COUNTIF('3月'!AR4:AR34,$B39)+COUNTIF('3月'!AS4:AS34,$B39)+COUNTIF('3月'!AW4:AW34,$B39)+COUNTIF('3月'!AX4:AX34,$B39)+COUNTIF('3月'!BB4:BB34,$B39)+COUNTIF('3月'!BC4:BC34,$B39)+COUNTIF('3月'!BG4:BG34,$B39)+COUNTIF('3月'!BH4:BH34,$B39)+COUNTIF('3月'!BL4:BL34,$B39)+COUNTIF('3月'!BM4:BM34,$B39)+COUNTIF('3月'!BQ4:BQ34,$B39)+COUNTIF('3月'!BR4:BR34,$B39)+COUNTIF('3月'!BV4:BV34,$B39)+COUNTIF('3月'!BW4:BW34,$B39)+COUNTIF('3月'!CA4:CA34,$B39)+COUNTIF('3月'!CB4:CB34,$B39)+COUNTIF('3月'!CF4:CF34,$B39)+COUNTIF('3月'!CG4:CG34,$B39)+COUNTIF('3月'!CK4:CK34,$B39)+COUNTIF('3月'!CL4:CL34,$B39)+COUNTIF('3月'!CP4:CP34,$B39)+COUNTIF('3月'!CQ4:CQ34,$B39)+COUNTIF('3月'!CU4:CU34,$B39)+COUNTIF('3月'!CV4:CV34,$B39)+COUNTIF('3月'!CZ4:CZ34,$B39)+COUNTIF('3月'!DA4:DA34,$B39)+COUNTIF('3月'!DE4:DE34,$B39)+COUNTIF('3月'!DF4:DF34,$B39)+COUNTIF('3月'!DJ4:DJ34,$B39)+COUNTIF('3月'!DK4:DK34,$B39)+COUNTIF('3月'!DO4:DO34,$B39)+COUNTIF('3月'!DP4:DP34,$B39)+COUNTIF('3月'!DT4:DT34,$B39)+COUNTIF('3月'!DU4:DU34,$B39)+COUNTIF('3月'!DY4:DY34,$B39)+COUNTIF('3月'!DZ4:DZ34,$B39)+COUNTIF('3月'!ED4:ED34,$B39)+COUNTIF('3月'!EE4:EE34,$B39)+COUNTIF('3月'!EI4:EI34,$B39)+COUNTIF('3月'!EJ4:EJ34,$B39)+COUNTIF('3月'!EN4:EN34,$B39)+COUNTIF('3月'!EO4:EO34,$B39)+COUNTIF('3月'!ES4:ES34,$B39)+COUNTIF('3月'!ET4:ET34,$B39)),0)</f>
        <v>0</v>
      </c>
      <c r="F39" s="76">
        <f>IFERROR(IF($B39="","",COUNTIF('4月'!D4:D34,$B39)+COUNTIF('4月'!E4:E34,$B39)+COUNTIF('4月'!I4:I34,$B39)+COUNTIF('4月'!J4:J34,$B39)+COUNTIF('4月'!N4:N34,$B39)+COUNTIF('4月'!O4:O34,$B39)+COUNTIF('4月'!S4:S34,$B39)+COUNTIF('4月'!T4:T34,$B39)+COUNTIF('4月'!X4:X34,$B39)+COUNTIF('4月'!Y4:Y34,$B39)+COUNTIF('4月'!AC4:AC34,$B39)+COUNTIF('4月'!AD4:AD34,$B39)+COUNTIF('4月'!AH4:AH34,$B39)+COUNTIF('4月'!AI4:AI34,$B39)+COUNTIF('4月'!AM4:AM34,$B39)+COUNTIF('4月'!AN4:AN34,$B39)+COUNTIF('4月'!AR4:AR34,$B39)+COUNTIF('4月'!AS4:AS34,$B39)+COUNTIF('4月'!AW4:AW34,$B39)+COUNTIF('4月'!AX4:AX34,$B39)+COUNTIF('4月'!BB4:BB34,$B39)+COUNTIF('4月'!BC4:BC34,$B39)+COUNTIF('4月'!BG4:BG34,$B39)+COUNTIF('4月'!BH4:BH34,$B39)+COUNTIF('4月'!BL4:BL34,$B39)+COUNTIF('4月'!BM4:BM34,$B39)+COUNTIF('4月'!BQ4:BQ34,$B39)+COUNTIF('4月'!BR4:BR34,$B39)+COUNTIF('4月'!BV4:BV34,$B39)+COUNTIF('4月'!BW4:BW34,$B39)+COUNTIF('4月'!CA4:CA34,$B39)+COUNTIF('4月'!CB4:CB34,$B39)+COUNTIF('4月'!CF4:CF34,$B39)+COUNTIF('4月'!CG4:CG34,$B39)+COUNTIF('4月'!CK4:CK34,$B39)+COUNTIF('4月'!CL4:CL34,$B39)+COUNTIF('4月'!CP4:CP34,$B39)+COUNTIF('4月'!CQ4:CQ34,$B39)+COUNTIF('4月'!CU4:CU34,$B39)+COUNTIF('4月'!CV4:CV34,$B39)+COUNTIF('4月'!CZ4:CZ34,$B39)+COUNTIF('4月'!DA4:DA34,$B39)+COUNTIF('4月'!DE4:DE34,$B39)+COUNTIF('4月'!DF4:DF34,$B39)+COUNTIF('4月'!DJ4:DJ34,$B39)+COUNTIF('4月'!DK4:DK34,$B39)+COUNTIF('4月'!DO4:DO34,$B39)+COUNTIF('4月'!DP4:DP34,$B39)+COUNTIF('4月'!DT4:DT34,$B39)+COUNTIF('4月'!DU4:DU34,$B39)+COUNTIF('4月'!DY4:DY34,$B39)+COUNTIF('4月'!DZ4:DZ34,$B39)+COUNTIF('4月'!ED4:ED34,$B39)+COUNTIF('4月'!EE4:EE34,$B39)+COUNTIF('4月'!EI4:EI34,$B39)+COUNTIF('4月'!EJ4:EJ34,$B39)+COUNTIF('4月'!EN4:EN34,$B39)+COUNTIF('4月'!EO4:EO34,$B39)+COUNTIF('4月'!ES4:ES34,$B39)+COUNTIF('4月'!ET4:ET34,$B39)),0)</f>
        <v>0</v>
      </c>
      <c r="G39" s="76">
        <f>IFERROR(IF($B39="","",COUNTIF('5月'!D4:D34,$B39)+COUNTIF('5月'!E4:E34,$B39)+COUNTIF('5月'!I4:I34,$B39)+COUNTIF('5月'!J4:J34,$B39)+COUNTIF('5月'!N4:N34,$B39)+COUNTIF('5月'!O4:O34,$B39)+COUNTIF('5月'!S4:S34,$B39)+COUNTIF('5月'!T4:T34,$B39)+COUNTIF('5月'!X4:X34,$B39)+COUNTIF('5月'!Y4:Y34,$B39)+COUNTIF('5月'!AC4:AC34,$B39)+COUNTIF('5月'!AD4:AD34,$B39)+COUNTIF('5月'!AH4:AH34,$B39)+COUNTIF('5月'!AI4:AI34,$B39)+COUNTIF('5月'!AM4:AM34,$B39)+COUNTIF('5月'!AN4:AN34,$B39)+COUNTIF('5月'!AR4:AR34,$B39)+COUNTIF('5月'!AS4:AS34,$B39)+COUNTIF('5月'!AW4:AW34,$B39)+COUNTIF('5月'!AX4:AX34,$B39)+COUNTIF('5月'!BB4:BB34,$B39)+COUNTIF('5月'!BC4:BC34,$B39)+COUNTIF('5月'!BG4:BG34,$B39)+COUNTIF('5月'!BH4:BH34,$B39)+COUNTIF('5月'!BL4:BL34,$B39)+COUNTIF('5月'!BM4:BM34,$B39)+COUNTIF('5月'!BQ4:BQ34,$B39)+COUNTIF('5月'!BR4:BR34,$B39)+COUNTIF('5月'!BV4:BV34,$B39)+COUNTIF('5月'!BW4:BW34,$B39)+COUNTIF('5月'!CA4:CA34,$B39)+COUNTIF('5月'!CB4:CB34,$B39)+COUNTIF('5月'!CF4:CF34,$B39)+COUNTIF('5月'!CG4:CG34,$B39)+COUNTIF('5月'!CK4:CK34,$B39)+COUNTIF('5月'!CL4:CL34,$B39)+COUNTIF('5月'!CP4:CP34,$B39)+COUNTIF('5月'!CQ4:CQ34,$B39)+COUNTIF('5月'!CU4:CU34,$B39)+COUNTIF('5月'!CV4:CV34,$B39)+COUNTIF('5月'!CZ4:CZ34,$B39)+COUNTIF('5月'!DA4:DA34,$B39)+COUNTIF('5月'!DE4:DE34,$B39)+COUNTIF('5月'!DF4:DF34,$B39)+COUNTIF('5月'!DJ4:DJ34,$B39)+COUNTIF('5月'!DK4:DK34,$B39)+COUNTIF('5月'!DO4:DO34,$B39)+COUNTIF('5月'!DP4:DP34,$B39)+COUNTIF('5月'!DT4:DT34,$B39)+COUNTIF('5月'!DU4:DU34,$B39)+COUNTIF('5月'!DY4:DY34,$B39)+COUNTIF('5月'!DZ4:DZ34,$B39)+COUNTIF('5月'!ED4:ED34,$B39)+COUNTIF('5月'!EE4:EE34,$B39)+COUNTIF('5月'!EI4:EI34,$B39)+COUNTIF('5月'!EJ4:EJ34,$B39)+COUNTIF('5月'!EN4:EN34,$B39)+COUNTIF('5月'!EO4:EO34,$B39)+COUNTIF('5月'!ES4:ES34,$B39)+COUNTIF('5月'!ET4:ET34,$B39)),0)</f>
        <v>0</v>
      </c>
      <c r="H39" s="76">
        <f>IFERROR(IF($B39="","",COUNTIF('6月'!D4:D34,$B39)+COUNTIF('6月'!E4:E34,$B39)+COUNTIF('6月'!I4:I34,$B39)+COUNTIF('6月'!J4:J34,$B39)+COUNTIF('6月'!N4:N34,$B39)+COUNTIF('6月'!O4:O34,$B39)+COUNTIF('6月'!S4:S34,$B39)+COUNTIF('6月'!T4:T34,$B39)+COUNTIF('6月'!X4:X34,$B39)+COUNTIF('6月'!Y4:Y34,$B39)+COUNTIF('6月'!AC4:AC34,$B39)+COUNTIF('6月'!AD4:AD34,$B39)+COUNTIF('6月'!AH4:AH34,$B39)+COUNTIF('6月'!AI4:AI34,$B39)+COUNTIF('6月'!AM4:AM34,$B39)+COUNTIF('6月'!AN4:AN34,$B39)+COUNTIF('6月'!AR4:AR34,$B39)+COUNTIF('6月'!AS4:AS34,$B39)+COUNTIF('6月'!AW4:AW34,$B39)+COUNTIF('6月'!AX4:AX34,$B39)+COUNTIF('6月'!BB4:BB34,$B39)+COUNTIF('6月'!BC4:BC34,$B39)+COUNTIF('6月'!BG4:BG34,$B39)+COUNTIF('6月'!BH4:BH34,$B39)+COUNTIF('6月'!BL4:BL34,$B39)+COUNTIF('6月'!BM4:BM34,$B39)+COUNTIF('6月'!BQ4:BQ34,$B39)+COUNTIF('6月'!BR4:BR34,$B39)+COUNTIF('6月'!BV4:BV34,$B39)+COUNTIF('6月'!BW4:BW34,$B39)+COUNTIF('6月'!CA4:CA34,$B39)+COUNTIF('6月'!CB4:CB34,$B39)+COUNTIF('6月'!CF4:CF34,$B39)+COUNTIF('6月'!CG4:CG34,$B39)+COUNTIF('6月'!CK4:CK34,$B39)+COUNTIF('6月'!CL4:CL34,$B39)+COUNTIF('6月'!CP4:CP34,$B39)+COUNTIF('6月'!CQ4:CQ34,$B39)+COUNTIF('6月'!CU4:CU34,$B39)+COUNTIF('6月'!CV4:CV34,$B39)+COUNTIF('6月'!CZ4:CZ34,$B39)+COUNTIF('6月'!DA4:DA34,$B39)+COUNTIF('6月'!DE4:DE34,$B39)+COUNTIF('6月'!DF4:DF34,$B39)+COUNTIF('6月'!DJ4:DJ34,$B39)+COUNTIF('6月'!DK4:DK34,$B39)+COUNTIF('6月'!DO4:DO34,$B39)+COUNTIF('6月'!DP4:DP34,$B39)+COUNTIF('6月'!DT4:DT34,$B39)+COUNTIF('6月'!DU4:DU34,$B39)+COUNTIF('6月'!DY4:DY34,$B39)+COUNTIF('6月'!DZ4:DZ34,$B39)+COUNTIF('6月'!ED4:ED34,$B39)+COUNTIF('6月'!EE4:EE34,$B39)+COUNTIF('6月'!EI4:EI34,$B39)+COUNTIF('6月'!EJ4:EJ34,$B39)+COUNTIF('6月'!EN4:EN34,$B39)+COUNTIF('6月'!EO4:EO34,$B39)+COUNTIF('6月'!ES4:ES34,$B39)+COUNTIF('6月'!ET4:ET34,$B39)),0)</f>
        <v>0</v>
      </c>
      <c r="I39" s="76">
        <f>IFERROR(IF($B39="","",COUNTIF('7月'!D4:D34,$B39)+COUNTIF('7月'!E4:E34,$B39)+COUNTIF('7月'!I4:I34,$B39)+COUNTIF('7月'!J4:J34,$B39)+COUNTIF('7月'!N4:N34,$B39)+COUNTIF('7月'!O4:O34,$B39)+COUNTIF('7月'!S4:S34,$B39)+COUNTIF('7月'!T4:T34,$B39)+COUNTIF('7月'!X4:X34,$B39)+COUNTIF('7月'!Y4:Y34,$B39)+COUNTIF('7月'!AC4:AC34,$B39)+COUNTIF('7月'!AD4:AD34,$B39)+COUNTIF('7月'!AH4:AH34,$B39)+COUNTIF('7月'!AI4:AI34,$B39)+COUNTIF('7月'!AM4:AM34,$B39)+COUNTIF('7月'!AN4:AN34,$B39)+COUNTIF('7月'!AR4:AR34,$B39)+COUNTIF('7月'!AS4:AS34,$B39)+COUNTIF('7月'!AW4:AW34,$B39)+COUNTIF('7月'!AX4:AX34,$B39)+COUNTIF('7月'!BB4:BB34,$B39)+COUNTIF('7月'!BC4:BC34,$B39)+COUNTIF('7月'!BG4:BG34,$B39)+COUNTIF('7月'!BH4:BH34,$B39)+COUNTIF('7月'!BL4:BL34,$B39)+COUNTIF('7月'!BM4:BM34,$B39)+COUNTIF('7月'!BQ4:BQ34,$B39)+COUNTIF('7月'!BR4:BR34,$B39)+COUNTIF('7月'!BV4:BV34,$B39)+COUNTIF('7月'!BW4:BW34,$B39)+COUNTIF('7月'!CA4:CA34,$B39)+COUNTIF('7月'!CB4:CB34,$B39)+COUNTIF('7月'!CF4:CF34,$B39)+COUNTIF('7月'!CG4:CG34,$B39)+COUNTIF('7月'!CK4:CK34,$B39)+COUNTIF('7月'!CL4:CL34,$B39)+COUNTIF('7月'!CP4:CP34,$B39)+COUNTIF('7月'!CQ4:CQ34,$B39)+COUNTIF('7月'!CU4:CU34,$B39)+COUNTIF('7月'!CV4:CV34,$B39)+COUNTIF('7月'!CZ4:CZ34,$B39)+COUNTIF('7月'!DA4:DA34,$B39)+COUNTIF('7月'!DE4:DE34,$B39)+COUNTIF('7月'!DF4:DF34,$B39)+COUNTIF('7月'!DJ4:DJ34,$B39)+COUNTIF('7月'!DK4:DK34,$B39)+COUNTIF('7月'!DO4:DO34,$B39)+COUNTIF('7月'!DP4:DP34,$B39)+COUNTIF('7月'!DT4:DT34,$B39)+COUNTIF('7月'!DU4:DU34,$B39)+COUNTIF('7月'!DY4:DY34,$B39)+COUNTIF('7月'!DZ4:DZ34,$B39)+COUNTIF('7月'!ED4:ED34,$B39)+COUNTIF('7月'!EE4:EE34,$B39)+COUNTIF('7月'!EI4:EI34,$B39)+COUNTIF('7月'!EJ4:EJ34,$B39)+COUNTIF('7月'!EN4:EN34,$B39)+COUNTIF('7月'!EO4:EO34,$B39)+COUNTIF('7月'!ES4:ES34,$B39)+COUNTIF('7月'!ET4:ET34,$B39)),0)</f>
        <v>0</v>
      </c>
      <c r="J39" s="76">
        <f>IFERROR(IF($B39="","",COUNTIF('8月'!D4:D34,$B39)+COUNTIF('8月'!E4:E34,$B39)+COUNTIF('8月'!I4:I34,$B39)+COUNTIF('8月'!J4:J34,$B39)+COUNTIF('8月'!N4:N34,$B39)+COUNTIF('8月'!O4:O34,$B39)+COUNTIF('8月'!S4:S34,$B39)+COUNTIF('8月'!T4:T34,$B39)+COUNTIF('8月'!X4:X34,$B39)+COUNTIF('8月'!Y4:Y34,$B39)+COUNTIF('8月'!AC4:AC34,$B39)+COUNTIF('8月'!AD4:AD34,$B39)+COUNTIF('8月'!AH4:AH34,$B39)+COUNTIF('8月'!AI4:AI34,$B39)+COUNTIF('8月'!AM4:AM34,$B39)+COUNTIF('8月'!AN4:AN34,$B39)+COUNTIF('8月'!AR4:AR34,$B39)+COUNTIF('8月'!AS4:AS34,$B39)+COUNTIF('8月'!AW4:AW34,$B39)+COUNTIF('8月'!AX4:AX34,$B39)+COUNTIF('8月'!BB4:BB34,$B39)+COUNTIF('8月'!BC4:BC34,$B39)+COUNTIF('8月'!BG4:BG34,$B39)+COUNTIF('8月'!BH4:BH34,$B39)+COUNTIF('8月'!BL4:BL34,$B39)+COUNTIF('8月'!BM4:BM34,$B39)+COUNTIF('8月'!BQ4:BQ34,$B39)+COUNTIF('8月'!BR4:BR34,$B39)+COUNTIF('8月'!BV4:BV34,$B39)+COUNTIF('8月'!BW4:BW34,$B39)+COUNTIF('8月'!CA4:CA34,$B39)+COUNTIF('8月'!CB4:CB34,$B39)+COUNTIF('8月'!CF4:CF34,$B39)+COUNTIF('8月'!CG4:CG34,$B39)+COUNTIF('8月'!CK4:CK34,$B39)+COUNTIF('8月'!CL4:CL34,$B39)+COUNTIF('8月'!CP4:CP34,$B39)+COUNTIF('8月'!CQ4:CQ34,$B39)+COUNTIF('8月'!CU4:CU34,$B39)+COUNTIF('8月'!CV4:CV34,$B39)+COUNTIF('8月'!CZ4:CZ34,$B39)+COUNTIF('8月'!DA4:DA34,$B39)+COUNTIF('8月'!DE4:DE34,$B39)+COUNTIF('8月'!DF4:DF34,$B39)+COUNTIF('8月'!DJ4:DJ34,$B39)+COUNTIF('8月'!DK4:DK34,$B39)+COUNTIF('8月'!DO4:DO34,$B39)+COUNTIF('8月'!DP4:DP34,$B39)+COUNTIF('8月'!DT4:DT34,$B39)+COUNTIF('8月'!DU4:DU34,$B39)+COUNTIF('8月'!DY4:DY34,$B39)+COUNTIF('8月'!DZ4:DZ34,$B39)+COUNTIF('8月'!ED4:ED34,$B39)+COUNTIF('8月'!EE4:EE34,$B39)+COUNTIF('8月'!EI4:EI34,$B39)+COUNTIF('8月'!EJ4:EJ34,$B39)+COUNTIF('8月'!EN4:EN34,$B39)+COUNTIF('8月'!EO4:EO34,$B39)+COUNTIF('8月'!ES4:ES34,$B39)+COUNTIF('8月'!ET4:ET34,$B39)),0)</f>
        <v>0</v>
      </c>
      <c r="K39" s="76">
        <f>IFERROR(IF($B39="","",COUNTIF('9月'!D4:D34,$B39)+COUNTIF('9月'!E4:E34,$B39)+COUNTIF('9月'!I4:I34,$B39)+COUNTIF('9月'!J4:J34,$B39)+COUNTIF('9月'!N4:N34,$B39)+COUNTIF('9月'!O4:O34,$B39)+COUNTIF('9月'!S4:S34,$B39)+COUNTIF('9月'!T4:T34,$B39)+COUNTIF('9月'!X4:X34,$B39)+COUNTIF('9月'!Y4:Y34,$B39)+COUNTIF('9月'!AC4:AC34,$B39)+COUNTIF('9月'!AD4:AD34,$B39)+COUNTIF('9月'!AH4:AH34,$B39)+COUNTIF('9月'!AI4:AI34,$B39)+COUNTIF('9月'!AM4:AM34,$B39)+COUNTIF('9月'!AN4:AN34,$B39)+COUNTIF('9月'!AR4:AR34,$B39)+COUNTIF('9月'!AS4:AS34,$B39)+COUNTIF('9月'!AW4:AW34,$B39)+COUNTIF('9月'!AX4:AX34,$B39)+COUNTIF('9月'!BB4:BB34,$B39)+COUNTIF('9月'!BC4:BC34,$B39)+COUNTIF('9月'!BG4:BG34,$B39)+COUNTIF('9月'!BH4:BH34,$B39)+COUNTIF('9月'!BL4:BL34,$B39)+COUNTIF('9月'!BM4:BM34,$B39)+COUNTIF('9月'!BQ4:BQ34,$B39)+COUNTIF('9月'!BR4:BR34,$B39)+COUNTIF('9月'!BV4:BV34,$B39)+COUNTIF('9月'!BW4:BW34,$B39)+COUNTIF('9月'!CA4:CA34,$B39)+COUNTIF('9月'!CB4:CB34,$B39)+COUNTIF('9月'!CF4:CF34,$B39)+COUNTIF('9月'!CG4:CG34,$B39)+COUNTIF('9月'!CK4:CK34,$B39)+COUNTIF('9月'!CL4:CL34,$B39)+COUNTIF('9月'!CP4:CP34,$B39)+COUNTIF('9月'!CQ4:CQ34,$B39)+COUNTIF('9月'!CU4:CU34,$B39)+COUNTIF('9月'!CV4:CV34,$B39)+COUNTIF('9月'!CZ4:CZ34,$B39)+COUNTIF('9月'!DA4:DA34,$B39)+COUNTIF('9月'!DE4:DE34,$B39)+COUNTIF('9月'!DF4:DF34,$B39)+COUNTIF('9月'!DJ4:DJ34,$B39)+COUNTIF('9月'!DK4:DK34,$B39)+COUNTIF('9月'!DO4:DO34,$B39)+COUNTIF('9月'!DP4:DP34,$B39)+COUNTIF('9月'!DT4:DT34,$B39)+COUNTIF('9月'!DU4:DU34,$B39)+COUNTIF('9月'!DY4:DY34,$B39)+COUNTIF('9月'!DZ4:DZ34,$B39)+COUNTIF('9月'!ED4:ED34,$B39)+COUNTIF('9月'!EE4:EE34,$B39)+COUNTIF('9月'!EI4:EI34,$B39)+COUNTIF('9月'!EJ4:EJ34,$B39)+COUNTIF('9月'!EN4:EN34,$B39)+COUNTIF('9月'!EO4:EO34,$B39)+COUNTIF('9月'!ES4:ES34,$B39)+COUNTIF('9月'!ET4:ET34,$B39)),0)</f>
        <v>0</v>
      </c>
      <c r="L39" s="76">
        <f>IFERROR(IF($B39="","",COUNTIF('10月'!D4:D34,$B39)+COUNTIF('10月'!E4:E34,$B39)+COUNTIF('10月'!I4:I34,$B39)+COUNTIF('10月'!J4:J34,$B39)+COUNTIF('10月'!N4:N34,$B39)+COUNTIF('10月'!O4:O34,$B39)+COUNTIF('10月'!S4:S34,$B39)+COUNTIF('10月'!T4:T34,$B39)+COUNTIF('10月'!X4:X34,$B39)+COUNTIF('10月'!Y4:Y34,$B39)+COUNTIF('10月'!AC4:AC34,$B39)+COUNTIF('10月'!AD4:AD34,$B39)+COUNTIF('10月'!AH4:AH34,$B39)+COUNTIF('10月'!AI4:AI34,$B39)+COUNTIF('10月'!AM4:AM34,$B39)+COUNTIF('10月'!AN4:AN34,$B39)+COUNTIF('10月'!AR4:AR34,$B39)+COUNTIF('10月'!AS4:AS34,$B39)+COUNTIF('10月'!AW4:AW34,$B39)+COUNTIF('10月'!AX4:AX34,$B39)+COUNTIF('10月'!BB4:BB34,$B39)+COUNTIF('10月'!BC4:BC34,$B39)+COUNTIF('10月'!BG4:BG34,$B39)+COUNTIF('10月'!BH4:BH34,$B39)+COUNTIF('10月'!BL4:BL34,$B39)+COUNTIF('10月'!BM4:BM34,$B39)+COUNTIF('10月'!BQ4:BQ34,$B39)+COUNTIF('10月'!BR4:BR34,$B39)+COUNTIF('10月'!BV4:BV34,$B39)+COUNTIF('10月'!BW4:BW34,$B39)+COUNTIF('10月'!CA4:CA34,$B39)+COUNTIF('10月'!CB4:CB34,$B39)+COUNTIF('10月'!CF4:CF34,$B39)+COUNTIF('10月'!CG4:CG34,$B39)+COUNTIF('10月'!CK4:CK34,$B39)+COUNTIF('10月'!CL4:CL34,$B39)+COUNTIF('10月'!CP4:CP34,$B39)+COUNTIF('10月'!CQ4:CQ34,$B39)+COUNTIF('10月'!CU4:CU34,$B39)+COUNTIF('10月'!CV4:CV34,$B39)+COUNTIF('10月'!CZ4:CZ34,$B39)+COUNTIF('10月'!DA4:DA34,$B39)+COUNTIF('10月'!DE4:DE34,$B39)+COUNTIF('10月'!DF4:DF34,$B39)+COUNTIF('10月'!DJ4:DJ34,$B39)+COUNTIF('10月'!DK4:DK34,$B39)+COUNTIF('10月'!DO4:DO34,$B39)+COUNTIF('10月'!DP4:DP34,$B39)+COUNTIF('10月'!DT4:DT34,$B39)+COUNTIF('10月'!DU4:DU34,$B39)+COUNTIF('10月'!DY4:DY34,$B39)+COUNTIF('10月'!DZ4:DZ34,$B39)+COUNTIF('10月'!ED4:ED34,$B39)+COUNTIF('10月'!EE4:EE34,$B39)+COUNTIF('10月'!EI4:EI34,$B39)+COUNTIF('10月'!EJ4:EJ34,$B39)+COUNTIF('10月'!EN4:EN34,$B39)+COUNTIF('10月'!EO4:EO34,$B39)+COUNTIF('10月'!ES4:ES34,$B39)+COUNTIF('10月'!ET4:ET34,$B39)),0)</f>
        <v>0</v>
      </c>
      <c r="M39" s="76">
        <f>IFERROR(IF($B39="","",COUNTIF('11月'!D4:D34,$B39)+COUNTIF('11月'!E4:E34,$B39)+COUNTIF('11月'!I4:I34,$B39)+COUNTIF('11月'!J4:J34,$B39)+COUNTIF('11月'!N4:N34,$B39)+COUNTIF('11月'!O4:O34,$B39)+COUNTIF('11月'!S4:S34,$B39)+COUNTIF('11月'!T4:T34,$B39)+COUNTIF('11月'!X4:X34,$B39)+COUNTIF('11月'!Y4:Y34,$B39)+COUNTIF('11月'!AC4:AC34,$B39)+COUNTIF('11月'!AD4:AD34,$B39)+COUNTIF('11月'!AH4:AH34,$B39)+COUNTIF('11月'!AI4:AI34,$B39)+COUNTIF('11月'!AM4:AM34,$B39)+COUNTIF('11月'!AN4:AN34,$B39)+COUNTIF('11月'!AR4:AR34,$B39)+COUNTIF('11月'!AS4:AS34,$B39)+COUNTIF('11月'!AW4:AW34,$B39)+COUNTIF('11月'!AX4:AX34,$B39)+COUNTIF('11月'!BB4:BB34,$B39)+COUNTIF('11月'!BC4:BC34,$B39)+COUNTIF('11月'!BG4:BG34,$B39)+COUNTIF('11月'!BH4:BH34,$B39)+COUNTIF('11月'!BL4:BL34,$B39)+COUNTIF('11月'!BM4:BM34,$B39)+COUNTIF('11月'!BQ4:BQ34,$B39)+COUNTIF('11月'!BR4:BR34,$B39)+COUNTIF('11月'!BV4:BV34,$B39)+COUNTIF('11月'!BW4:BW34,$B39)+COUNTIF('11月'!CA4:CA34,$B39)+COUNTIF('11月'!CB4:CB34,$B39)+COUNTIF('11月'!CF4:CF34,$B39)+COUNTIF('11月'!CG4:CG34,$B39)+COUNTIF('11月'!CK4:CK34,$B39)+COUNTIF('11月'!CL4:CL34,$B39)+COUNTIF('11月'!CP4:CP34,$B39)+COUNTIF('11月'!CQ4:CQ34,$B39)+COUNTIF('11月'!CU4:CU34,$B39)+COUNTIF('11月'!CV4:CV34,$B39)+COUNTIF('11月'!CZ4:CZ34,$B39)+COUNTIF('11月'!DA4:DA34,$B39)+COUNTIF('11月'!DE4:DE34,$B39)+COUNTIF('11月'!DF4:DF34,$B39)+COUNTIF('11月'!DJ4:DJ34,$B39)+COUNTIF('11月'!DK4:DK34,$B39)+COUNTIF('11月'!DO4:DO34,$B39)+COUNTIF('11月'!DP4:DP34,$B39)+COUNTIF('11月'!DT4:DT34,$B39)+COUNTIF('11月'!DU4:DU34,$B39)+COUNTIF('11月'!DY4:DY34,$B39)+COUNTIF('11月'!DZ4:DZ34,$B39)+COUNTIF('11月'!ED4:ED34,$B39)+COUNTIF('11月'!EE4:EE34,$B39)+COUNTIF('11月'!EI4:EI34,$B39)+COUNTIF('11月'!EJ4:EJ34,$B39)+COUNTIF('11月'!EN4:EN34,$B39)+COUNTIF('11月'!EO4:EO34,$B39)+COUNTIF('11月'!ES4:ES34,$B39)+COUNTIF('11月'!ET4:ET34,$B39)),0)</f>
        <v>0</v>
      </c>
      <c r="N39" s="76">
        <f>IFERROR(IF($B39="","",COUNTIF('12月'!D4:D34,$B39)+COUNTIF('12月'!E4:E34,$B39)+COUNTIF('12月'!I4:I34,$B39)+COUNTIF('12月'!J4:J34,$B39)+COUNTIF('12月'!N4:N34,$B39)+COUNTIF('12月'!O4:O34,$B39)+COUNTIF('12月'!S4:S34,$B39)+COUNTIF('12月'!T4:T34,$B39)+COUNTIF('12月'!X4:X34,$B39)+COUNTIF('12月'!Y4:Y34,$B39)+COUNTIF('12月'!AC4:AC34,$B39)+COUNTIF('12月'!AD4:AD34,$B39)+COUNTIF('12月'!AH4:AH34,$B39)+COUNTIF('12月'!AI4:AI34,$B39)+COUNTIF('12月'!AM4:AM34,$B39)+COUNTIF('12月'!AN4:AN34,$B39)+COUNTIF('12月'!AR4:AR34,$B39)+COUNTIF('12月'!AS4:AS34,$B39)+COUNTIF('12月'!AW4:AW34,$B39)+COUNTIF('12月'!AX4:AX34,$B39)+COUNTIF('12月'!BB4:BB34,$B39)+COUNTIF('12月'!BC4:BC34,$B39)+COUNTIF('12月'!BG4:BG34,$B39)+COUNTIF('12月'!BH4:BH34,$B39)+COUNTIF('12月'!BL4:BL34,$B39)+COUNTIF('12月'!BM4:BM34,$B39)+COUNTIF('12月'!BQ4:BQ34,$B39)+COUNTIF('12月'!BR4:BR34,$B39)+COUNTIF('12月'!BV4:BV34,$B39)+COUNTIF('12月'!BW4:BW34,$B39)+COUNTIF('12月'!CA4:CA34,$B39)+COUNTIF('12月'!CB4:CB34,$B39)+COUNTIF('12月'!CF4:CF34,$B39)+COUNTIF('12月'!CG4:CG34,$B39)+COUNTIF('12月'!CK4:CK34,$B39)+COUNTIF('12月'!CL4:CL34,$B39)+COUNTIF('12月'!CP4:CP34,$B39)+COUNTIF('12月'!CQ4:CQ34,$B39)+COUNTIF('12月'!CU4:CU34,$B39)+COUNTIF('12月'!CV4:CV34,$B39)+COUNTIF('12月'!CZ4:CZ34,$B39)+COUNTIF('12月'!DA4:DA34,$B39)+COUNTIF('12月'!DE4:DE34,$B39)+COUNTIF('12月'!DF4:DF34,$B39)+COUNTIF('12月'!DJ4:DJ34,$B39)+COUNTIF('12月'!DK4:DK34,$B39)+COUNTIF('12月'!DO4:DO34,$B39)+COUNTIF('12月'!DP4:DP34,$B39)+COUNTIF('12月'!DT4:DT34,$B39)+COUNTIF('12月'!DU4:DU34,$B39)+COUNTIF('12月'!DY4:DY34,$B39)+COUNTIF('12月'!DZ4:DZ34,$B39)+COUNTIF('12月'!ED4:ED34,$B39)+COUNTIF('12月'!EE4:EE34,$B39)+COUNTIF('12月'!EI4:EI34,$B39)+COUNTIF('12月'!EJ4:EJ34,$B39)+COUNTIF('12月'!EN4:EN34,$B39)+COUNTIF('12月'!EO4:EO34,$B39)+COUNTIF('12月'!ES4:ES34,$B39)+COUNTIF('12月'!ET4:ET34,$B39)),0)</f>
        <v>0</v>
      </c>
      <c r="O39" s="78">
        <f t="shared" si="0"/>
        <v>0</v>
      </c>
    </row>
    <row r="40" spans="1:15" ht="19.5" customHeight="1">
      <c r="A40" s="76">
        <v>38</v>
      </c>
      <c r="B40" s="77">
        <f>IFERROR(現場マスタ!$C$41,"")</f>
        <v>0</v>
      </c>
      <c r="C40" s="76">
        <f>IFERROR(IF($B40="","",COUNTIF('1月'!D4:D34,$B40)+COUNTIF('1月'!E4:E34,$B40)+COUNTIF('1月'!I4:I34,$B40)+COUNTIF('1月'!J4:J34,$B40)+COUNTIF('1月'!N4:N34,$B40)+COUNTIF('1月'!O4:O34,$B40)+COUNTIF('1月'!S4:S34,$B40)+COUNTIF('1月'!T4:T34,$B40)+COUNTIF('1月'!X4:X34,$B40)+COUNTIF('1月'!Y4:Y34,$B40)+COUNTIF('1月'!AC4:AC34,$B40)+COUNTIF('1月'!AD4:AD34,$B40)+COUNTIF('1月'!AH4:AH34,$B40)+COUNTIF('1月'!AI4:AI34,$B40)+COUNTIF('1月'!AM4:AM34,$B40)+COUNTIF('1月'!AN4:AN34,$B40)+COUNTIF('1月'!AR4:AR34,$B40)+COUNTIF('1月'!AS4:AS34,$B40)+COUNTIF('1月'!AW4:AW34,$B40)+COUNTIF('1月'!AX4:AX34,$B40)+COUNTIF('1月'!BB4:BB34,$B40)+COUNTIF('1月'!BC4:BC34,$B40)+COUNTIF('1月'!BG4:BG34,$B40)+COUNTIF('1月'!BH4:BH34,$B40)+COUNTIF('1月'!BL4:BL34,$B40)+COUNTIF('1月'!BM4:BM34,$B40)+COUNTIF('1月'!BQ4:BQ34,$B40)+COUNTIF('1月'!BR4:BR34,$B40)+COUNTIF('1月'!BV4:BV34,$B40)+COUNTIF('1月'!BW4:BW34,$B40)+COUNTIF('1月'!CA4:CA34,$B40)+COUNTIF('1月'!CB4:CB34,$B40)+COUNTIF('1月'!CF4:CF34,$B40)+COUNTIF('1月'!CG4:CG34,$B40)+COUNTIF('1月'!CK4:CK34,$B40)+COUNTIF('1月'!CL4:CL34,$B40)+COUNTIF('1月'!CP4:CP34,$B40)+COUNTIF('1月'!CQ4:CQ34,$B40)+COUNTIF('1月'!CU4:CU34,$B40)+COUNTIF('1月'!CV4:CV34,$B40)+COUNTIF('1月'!CZ4:CZ34,$B40)+COUNTIF('1月'!DA4:DA34,$B40)+COUNTIF('1月'!DE4:DE34,$B40)+COUNTIF('1月'!DF4:DF34,$B40)+COUNTIF('1月'!DJ4:DJ34,$B40)+COUNTIF('1月'!DK4:DK34,$B40)+COUNTIF('1月'!DO4:DO34,$B40)+COUNTIF('1月'!DP4:DP34,$B40)+COUNTIF('1月'!DT4:DT34,$B40)+COUNTIF('1月'!DU4:DU34,$B40)+COUNTIF('1月'!DY4:DY34,$B40)+COUNTIF('1月'!DZ4:DZ34,$B40)+COUNTIF('1月'!ED4:ED34,$B40)+COUNTIF('1月'!EE4:EE34,$B40)+COUNTIF('1月'!EI4:EI34,$B40)+COUNTIF('1月'!EJ4:EJ34,$B40)+COUNTIF('1月'!EN4:EN34,$B40)+COUNTIF('1月'!EO4:EO34,$B40)+COUNTIF('1月'!ES4:ES34,$B40)+COUNTIF('1月'!ET4:ET34,$B40)),0)</f>
        <v>0</v>
      </c>
      <c r="D40" s="76">
        <f>IFERROR(IF($B40="","",COUNTIF('2月'!D4:D34,$B40)+COUNTIF('2月'!E4:E34,$B40)+COUNTIF('2月'!I4:I34,$B40)+COUNTIF('2月'!J4:J34,$B40)+COUNTIF('2月'!N4:N34,$B40)+COUNTIF('2月'!O4:O34,$B40)+COUNTIF('2月'!S4:S34,$B40)+COUNTIF('2月'!T4:T34,$B40)+COUNTIF('2月'!X4:X34,$B40)+COUNTIF('2月'!Y4:Y34,$B40)+COUNTIF('2月'!AC4:AC34,$B40)+COUNTIF('2月'!AD4:AD34,$B40)+COUNTIF('2月'!AH4:AH34,$B40)+COUNTIF('2月'!AI4:AI34,$B40)+COUNTIF('2月'!AM4:AM34,$B40)+COUNTIF('2月'!AN4:AN34,$B40)+COUNTIF('2月'!AR4:AR34,$B40)+COUNTIF('2月'!AS4:AS34,$B40)+COUNTIF('2月'!AW4:AW34,$B40)+COUNTIF('2月'!AX4:AX34,$B40)+COUNTIF('2月'!BB4:BB34,$B40)+COUNTIF('2月'!BC4:BC34,$B40)+COUNTIF('2月'!BG4:BG34,$B40)+COUNTIF('2月'!BH4:BH34,$B40)+COUNTIF('2月'!BL4:BL34,$B40)+COUNTIF('2月'!BM4:BM34,$B40)+COUNTIF('2月'!BQ4:BQ34,$B40)+COUNTIF('2月'!BR4:BR34,$B40)+COUNTIF('2月'!BV4:BV34,$B40)+COUNTIF('2月'!BW4:BW34,$B40)+COUNTIF('2月'!CA4:CA34,$B40)+COUNTIF('2月'!CB4:CB34,$B40)+COUNTIF('2月'!CF4:CF34,$B40)+COUNTIF('2月'!CG4:CG34,$B40)+COUNTIF('2月'!CK4:CK34,$B40)+COUNTIF('2月'!CL4:CL34,$B40)+COUNTIF('2月'!CP4:CP34,$B40)+COUNTIF('2月'!CQ4:CQ34,$B40)+COUNTIF('2月'!CU4:CU34,$B40)+COUNTIF('2月'!CV4:CV34,$B40)+COUNTIF('2月'!CZ4:CZ34,$B40)+COUNTIF('2月'!DA4:DA34,$B40)+COUNTIF('2月'!DE4:DE34,$B40)+COUNTIF('2月'!DF4:DF34,$B40)+COUNTIF('2月'!DJ4:DJ34,$B40)+COUNTIF('2月'!DK4:DK34,$B40)+COUNTIF('2月'!DO4:DO34,$B40)+COUNTIF('2月'!DP4:DP34,$B40)+COUNTIF('2月'!DT4:DT34,$B40)+COUNTIF('2月'!DU4:DU34,$B40)+COUNTIF('2月'!DY4:DY34,$B40)+COUNTIF('2月'!DZ4:DZ34,$B40)+COUNTIF('2月'!ED4:ED34,$B40)+COUNTIF('2月'!EE4:EE34,$B40)+COUNTIF('2月'!EI4:EI34,$B40)+COUNTIF('2月'!EJ4:EJ34,$B40)+COUNTIF('2月'!EN4:EN34,$B40)+COUNTIF('2月'!EO4:EO34,$B40)+COUNTIF('2月'!ES4:ES34,$B40)+COUNTIF('2月'!ET4:ET34,$B40)),0)</f>
        <v>0</v>
      </c>
      <c r="E40" s="76">
        <f>IFERROR(IF($B40="","",COUNTIF('3月'!D4:D34,$B40)+COUNTIF('3月'!E4:E34,$B40)+COUNTIF('3月'!I4:I34,$B40)+COUNTIF('3月'!J4:J34,$B40)+COUNTIF('3月'!N4:N34,$B40)+COUNTIF('3月'!O4:O34,$B40)+COUNTIF('3月'!S4:S34,$B40)+COUNTIF('3月'!T4:T34,$B40)+COUNTIF('3月'!X4:X34,$B40)+COUNTIF('3月'!Y4:Y34,$B40)+COUNTIF('3月'!AC4:AC34,$B40)+COUNTIF('3月'!AD4:AD34,$B40)+COUNTIF('3月'!AH4:AH34,$B40)+COUNTIF('3月'!AI4:AI34,$B40)+COUNTIF('3月'!AM4:AM34,$B40)+COUNTIF('3月'!AN4:AN34,$B40)+COUNTIF('3月'!AR4:AR34,$B40)+COUNTIF('3月'!AS4:AS34,$B40)+COUNTIF('3月'!AW4:AW34,$B40)+COUNTIF('3月'!AX4:AX34,$B40)+COUNTIF('3月'!BB4:BB34,$B40)+COUNTIF('3月'!BC4:BC34,$B40)+COUNTIF('3月'!BG4:BG34,$B40)+COUNTIF('3月'!BH4:BH34,$B40)+COUNTIF('3月'!BL4:BL34,$B40)+COUNTIF('3月'!BM4:BM34,$B40)+COUNTIF('3月'!BQ4:BQ34,$B40)+COUNTIF('3月'!BR4:BR34,$B40)+COUNTIF('3月'!BV4:BV34,$B40)+COUNTIF('3月'!BW4:BW34,$B40)+COUNTIF('3月'!CA4:CA34,$B40)+COUNTIF('3月'!CB4:CB34,$B40)+COUNTIF('3月'!CF4:CF34,$B40)+COUNTIF('3月'!CG4:CG34,$B40)+COUNTIF('3月'!CK4:CK34,$B40)+COUNTIF('3月'!CL4:CL34,$B40)+COUNTIF('3月'!CP4:CP34,$B40)+COUNTIF('3月'!CQ4:CQ34,$B40)+COUNTIF('3月'!CU4:CU34,$B40)+COUNTIF('3月'!CV4:CV34,$B40)+COUNTIF('3月'!CZ4:CZ34,$B40)+COUNTIF('3月'!DA4:DA34,$B40)+COUNTIF('3月'!DE4:DE34,$B40)+COUNTIF('3月'!DF4:DF34,$B40)+COUNTIF('3月'!DJ4:DJ34,$B40)+COUNTIF('3月'!DK4:DK34,$B40)+COUNTIF('3月'!DO4:DO34,$B40)+COUNTIF('3月'!DP4:DP34,$B40)+COUNTIF('3月'!DT4:DT34,$B40)+COUNTIF('3月'!DU4:DU34,$B40)+COUNTIF('3月'!DY4:DY34,$B40)+COUNTIF('3月'!DZ4:DZ34,$B40)+COUNTIF('3月'!ED4:ED34,$B40)+COUNTIF('3月'!EE4:EE34,$B40)+COUNTIF('3月'!EI4:EI34,$B40)+COUNTIF('3月'!EJ4:EJ34,$B40)+COUNTIF('3月'!EN4:EN34,$B40)+COUNTIF('3月'!EO4:EO34,$B40)+COUNTIF('3月'!ES4:ES34,$B40)+COUNTIF('3月'!ET4:ET34,$B40)),0)</f>
        <v>0</v>
      </c>
      <c r="F40" s="76">
        <f>IFERROR(IF($B40="","",COUNTIF('4月'!D4:D34,$B40)+COUNTIF('4月'!E4:E34,$B40)+COUNTIF('4月'!I4:I34,$B40)+COUNTIF('4月'!J4:J34,$B40)+COUNTIF('4月'!N4:N34,$B40)+COUNTIF('4月'!O4:O34,$B40)+COUNTIF('4月'!S4:S34,$B40)+COUNTIF('4月'!T4:T34,$B40)+COUNTIF('4月'!X4:X34,$B40)+COUNTIF('4月'!Y4:Y34,$B40)+COUNTIF('4月'!AC4:AC34,$B40)+COUNTIF('4月'!AD4:AD34,$B40)+COUNTIF('4月'!AH4:AH34,$B40)+COUNTIF('4月'!AI4:AI34,$B40)+COUNTIF('4月'!AM4:AM34,$B40)+COUNTIF('4月'!AN4:AN34,$B40)+COUNTIF('4月'!AR4:AR34,$B40)+COUNTIF('4月'!AS4:AS34,$B40)+COUNTIF('4月'!AW4:AW34,$B40)+COUNTIF('4月'!AX4:AX34,$B40)+COUNTIF('4月'!BB4:BB34,$B40)+COUNTIF('4月'!BC4:BC34,$B40)+COUNTIF('4月'!BG4:BG34,$B40)+COUNTIF('4月'!BH4:BH34,$B40)+COUNTIF('4月'!BL4:BL34,$B40)+COUNTIF('4月'!BM4:BM34,$B40)+COUNTIF('4月'!BQ4:BQ34,$B40)+COUNTIF('4月'!BR4:BR34,$B40)+COUNTIF('4月'!BV4:BV34,$B40)+COUNTIF('4月'!BW4:BW34,$B40)+COUNTIF('4月'!CA4:CA34,$B40)+COUNTIF('4月'!CB4:CB34,$B40)+COUNTIF('4月'!CF4:CF34,$B40)+COUNTIF('4月'!CG4:CG34,$B40)+COUNTIF('4月'!CK4:CK34,$B40)+COUNTIF('4月'!CL4:CL34,$B40)+COUNTIF('4月'!CP4:CP34,$B40)+COUNTIF('4月'!CQ4:CQ34,$B40)+COUNTIF('4月'!CU4:CU34,$B40)+COUNTIF('4月'!CV4:CV34,$B40)+COUNTIF('4月'!CZ4:CZ34,$B40)+COUNTIF('4月'!DA4:DA34,$B40)+COUNTIF('4月'!DE4:DE34,$B40)+COUNTIF('4月'!DF4:DF34,$B40)+COUNTIF('4月'!DJ4:DJ34,$B40)+COUNTIF('4月'!DK4:DK34,$B40)+COUNTIF('4月'!DO4:DO34,$B40)+COUNTIF('4月'!DP4:DP34,$B40)+COUNTIF('4月'!DT4:DT34,$B40)+COUNTIF('4月'!DU4:DU34,$B40)+COUNTIF('4月'!DY4:DY34,$B40)+COUNTIF('4月'!DZ4:DZ34,$B40)+COUNTIF('4月'!ED4:ED34,$B40)+COUNTIF('4月'!EE4:EE34,$B40)+COUNTIF('4月'!EI4:EI34,$B40)+COUNTIF('4月'!EJ4:EJ34,$B40)+COUNTIF('4月'!EN4:EN34,$B40)+COUNTIF('4月'!EO4:EO34,$B40)+COUNTIF('4月'!ES4:ES34,$B40)+COUNTIF('4月'!ET4:ET34,$B40)),0)</f>
        <v>0</v>
      </c>
      <c r="G40" s="76">
        <f>IFERROR(IF($B40="","",COUNTIF('5月'!D4:D34,$B40)+COUNTIF('5月'!E4:E34,$B40)+COUNTIF('5月'!I4:I34,$B40)+COUNTIF('5月'!J4:J34,$B40)+COUNTIF('5月'!N4:N34,$B40)+COUNTIF('5月'!O4:O34,$B40)+COUNTIF('5月'!S4:S34,$B40)+COUNTIF('5月'!T4:T34,$B40)+COUNTIF('5月'!X4:X34,$B40)+COUNTIF('5月'!Y4:Y34,$B40)+COUNTIF('5月'!AC4:AC34,$B40)+COUNTIF('5月'!AD4:AD34,$B40)+COUNTIF('5月'!AH4:AH34,$B40)+COUNTIF('5月'!AI4:AI34,$B40)+COUNTIF('5月'!AM4:AM34,$B40)+COUNTIF('5月'!AN4:AN34,$B40)+COUNTIF('5月'!AR4:AR34,$B40)+COUNTIF('5月'!AS4:AS34,$B40)+COUNTIF('5月'!AW4:AW34,$B40)+COUNTIF('5月'!AX4:AX34,$B40)+COUNTIF('5月'!BB4:BB34,$B40)+COUNTIF('5月'!BC4:BC34,$B40)+COUNTIF('5月'!BG4:BG34,$B40)+COUNTIF('5月'!BH4:BH34,$B40)+COUNTIF('5月'!BL4:BL34,$B40)+COUNTIF('5月'!BM4:BM34,$B40)+COUNTIF('5月'!BQ4:BQ34,$B40)+COUNTIF('5月'!BR4:BR34,$B40)+COUNTIF('5月'!BV4:BV34,$B40)+COUNTIF('5月'!BW4:BW34,$B40)+COUNTIF('5月'!CA4:CA34,$B40)+COUNTIF('5月'!CB4:CB34,$B40)+COUNTIF('5月'!CF4:CF34,$B40)+COUNTIF('5月'!CG4:CG34,$B40)+COUNTIF('5月'!CK4:CK34,$B40)+COUNTIF('5月'!CL4:CL34,$B40)+COUNTIF('5月'!CP4:CP34,$B40)+COUNTIF('5月'!CQ4:CQ34,$B40)+COUNTIF('5月'!CU4:CU34,$B40)+COUNTIF('5月'!CV4:CV34,$B40)+COUNTIF('5月'!CZ4:CZ34,$B40)+COUNTIF('5月'!DA4:DA34,$B40)+COUNTIF('5月'!DE4:DE34,$B40)+COUNTIF('5月'!DF4:DF34,$B40)+COUNTIF('5月'!DJ4:DJ34,$B40)+COUNTIF('5月'!DK4:DK34,$B40)+COUNTIF('5月'!DO4:DO34,$B40)+COUNTIF('5月'!DP4:DP34,$B40)+COUNTIF('5月'!DT4:DT34,$B40)+COUNTIF('5月'!DU4:DU34,$B40)+COUNTIF('5月'!DY4:DY34,$B40)+COUNTIF('5月'!DZ4:DZ34,$B40)+COUNTIF('5月'!ED4:ED34,$B40)+COUNTIF('5月'!EE4:EE34,$B40)+COUNTIF('5月'!EI4:EI34,$B40)+COUNTIF('5月'!EJ4:EJ34,$B40)+COUNTIF('5月'!EN4:EN34,$B40)+COUNTIF('5月'!EO4:EO34,$B40)+COUNTIF('5月'!ES4:ES34,$B40)+COUNTIF('5月'!ET4:ET34,$B40)),0)</f>
        <v>0</v>
      </c>
      <c r="H40" s="76">
        <f>IFERROR(IF($B40="","",COUNTIF('6月'!D4:D34,$B40)+COUNTIF('6月'!E4:E34,$B40)+COUNTIF('6月'!I4:I34,$B40)+COUNTIF('6月'!J4:J34,$B40)+COUNTIF('6月'!N4:N34,$B40)+COUNTIF('6月'!O4:O34,$B40)+COUNTIF('6月'!S4:S34,$B40)+COUNTIF('6月'!T4:T34,$B40)+COUNTIF('6月'!X4:X34,$B40)+COUNTIF('6月'!Y4:Y34,$B40)+COUNTIF('6月'!AC4:AC34,$B40)+COUNTIF('6月'!AD4:AD34,$B40)+COUNTIF('6月'!AH4:AH34,$B40)+COUNTIF('6月'!AI4:AI34,$B40)+COUNTIF('6月'!AM4:AM34,$B40)+COUNTIF('6月'!AN4:AN34,$B40)+COUNTIF('6月'!AR4:AR34,$B40)+COUNTIF('6月'!AS4:AS34,$B40)+COUNTIF('6月'!AW4:AW34,$B40)+COUNTIF('6月'!AX4:AX34,$B40)+COUNTIF('6月'!BB4:BB34,$B40)+COUNTIF('6月'!BC4:BC34,$B40)+COUNTIF('6月'!BG4:BG34,$B40)+COUNTIF('6月'!BH4:BH34,$B40)+COUNTIF('6月'!BL4:BL34,$B40)+COUNTIF('6月'!BM4:BM34,$B40)+COUNTIF('6月'!BQ4:BQ34,$B40)+COUNTIF('6月'!BR4:BR34,$B40)+COUNTIF('6月'!BV4:BV34,$B40)+COUNTIF('6月'!BW4:BW34,$B40)+COUNTIF('6月'!CA4:CA34,$B40)+COUNTIF('6月'!CB4:CB34,$B40)+COUNTIF('6月'!CF4:CF34,$B40)+COUNTIF('6月'!CG4:CG34,$B40)+COUNTIF('6月'!CK4:CK34,$B40)+COUNTIF('6月'!CL4:CL34,$B40)+COUNTIF('6月'!CP4:CP34,$B40)+COUNTIF('6月'!CQ4:CQ34,$B40)+COUNTIF('6月'!CU4:CU34,$B40)+COUNTIF('6月'!CV4:CV34,$B40)+COUNTIF('6月'!CZ4:CZ34,$B40)+COUNTIF('6月'!DA4:DA34,$B40)+COUNTIF('6月'!DE4:DE34,$B40)+COUNTIF('6月'!DF4:DF34,$B40)+COUNTIF('6月'!DJ4:DJ34,$B40)+COUNTIF('6月'!DK4:DK34,$B40)+COUNTIF('6月'!DO4:DO34,$B40)+COUNTIF('6月'!DP4:DP34,$B40)+COUNTIF('6月'!DT4:DT34,$B40)+COUNTIF('6月'!DU4:DU34,$B40)+COUNTIF('6月'!DY4:DY34,$B40)+COUNTIF('6月'!DZ4:DZ34,$B40)+COUNTIF('6月'!ED4:ED34,$B40)+COUNTIF('6月'!EE4:EE34,$B40)+COUNTIF('6月'!EI4:EI34,$B40)+COUNTIF('6月'!EJ4:EJ34,$B40)+COUNTIF('6月'!EN4:EN34,$B40)+COUNTIF('6月'!EO4:EO34,$B40)+COUNTIF('6月'!ES4:ES34,$B40)+COUNTIF('6月'!ET4:ET34,$B40)),0)</f>
        <v>0</v>
      </c>
      <c r="I40" s="76">
        <f>IFERROR(IF($B40="","",COUNTIF('7月'!D4:D34,$B40)+COUNTIF('7月'!E4:E34,$B40)+COUNTIF('7月'!I4:I34,$B40)+COUNTIF('7月'!J4:J34,$B40)+COUNTIF('7月'!N4:N34,$B40)+COUNTIF('7月'!O4:O34,$B40)+COUNTIF('7月'!S4:S34,$B40)+COUNTIF('7月'!T4:T34,$B40)+COUNTIF('7月'!X4:X34,$B40)+COUNTIF('7月'!Y4:Y34,$B40)+COUNTIF('7月'!AC4:AC34,$B40)+COUNTIF('7月'!AD4:AD34,$B40)+COUNTIF('7月'!AH4:AH34,$B40)+COUNTIF('7月'!AI4:AI34,$B40)+COUNTIF('7月'!AM4:AM34,$B40)+COUNTIF('7月'!AN4:AN34,$B40)+COUNTIF('7月'!AR4:AR34,$B40)+COUNTIF('7月'!AS4:AS34,$B40)+COUNTIF('7月'!AW4:AW34,$B40)+COUNTIF('7月'!AX4:AX34,$B40)+COUNTIF('7月'!BB4:BB34,$B40)+COUNTIF('7月'!BC4:BC34,$B40)+COUNTIF('7月'!BG4:BG34,$B40)+COUNTIF('7月'!BH4:BH34,$B40)+COUNTIF('7月'!BL4:BL34,$B40)+COUNTIF('7月'!BM4:BM34,$B40)+COUNTIF('7月'!BQ4:BQ34,$B40)+COUNTIF('7月'!BR4:BR34,$B40)+COUNTIF('7月'!BV4:BV34,$B40)+COUNTIF('7月'!BW4:BW34,$B40)+COUNTIF('7月'!CA4:CA34,$B40)+COUNTIF('7月'!CB4:CB34,$B40)+COUNTIF('7月'!CF4:CF34,$B40)+COUNTIF('7月'!CG4:CG34,$B40)+COUNTIF('7月'!CK4:CK34,$B40)+COUNTIF('7月'!CL4:CL34,$B40)+COUNTIF('7月'!CP4:CP34,$B40)+COUNTIF('7月'!CQ4:CQ34,$B40)+COUNTIF('7月'!CU4:CU34,$B40)+COUNTIF('7月'!CV4:CV34,$B40)+COUNTIF('7月'!CZ4:CZ34,$B40)+COUNTIF('7月'!DA4:DA34,$B40)+COUNTIF('7月'!DE4:DE34,$B40)+COUNTIF('7月'!DF4:DF34,$B40)+COUNTIF('7月'!DJ4:DJ34,$B40)+COUNTIF('7月'!DK4:DK34,$B40)+COUNTIF('7月'!DO4:DO34,$B40)+COUNTIF('7月'!DP4:DP34,$B40)+COUNTIF('7月'!DT4:DT34,$B40)+COUNTIF('7月'!DU4:DU34,$B40)+COUNTIF('7月'!DY4:DY34,$B40)+COUNTIF('7月'!DZ4:DZ34,$B40)+COUNTIF('7月'!ED4:ED34,$B40)+COUNTIF('7月'!EE4:EE34,$B40)+COUNTIF('7月'!EI4:EI34,$B40)+COUNTIF('7月'!EJ4:EJ34,$B40)+COUNTIF('7月'!EN4:EN34,$B40)+COUNTIF('7月'!EO4:EO34,$B40)+COUNTIF('7月'!ES4:ES34,$B40)+COUNTIF('7月'!ET4:ET34,$B40)),0)</f>
        <v>0</v>
      </c>
      <c r="J40" s="76">
        <f>IFERROR(IF($B40="","",COUNTIF('8月'!D4:D34,$B40)+COUNTIF('8月'!E4:E34,$B40)+COUNTIF('8月'!I4:I34,$B40)+COUNTIF('8月'!J4:J34,$B40)+COUNTIF('8月'!N4:N34,$B40)+COUNTIF('8月'!O4:O34,$B40)+COUNTIF('8月'!S4:S34,$B40)+COUNTIF('8月'!T4:T34,$B40)+COUNTIF('8月'!X4:X34,$B40)+COUNTIF('8月'!Y4:Y34,$B40)+COUNTIF('8月'!AC4:AC34,$B40)+COUNTIF('8月'!AD4:AD34,$B40)+COUNTIF('8月'!AH4:AH34,$B40)+COUNTIF('8月'!AI4:AI34,$B40)+COUNTIF('8月'!AM4:AM34,$B40)+COUNTIF('8月'!AN4:AN34,$B40)+COUNTIF('8月'!AR4:AR34,$B40)+COUNTIF('8月'!AS4:AS34,$B40)+COUNTIF('8月'!AW4:AW34,$B40)+COUNTIF('8月'!AX4:AX34,$B40)+COUNTIF('8月'!BB4:BB34,$B40)+COUNTIF('8月'!BC4:BC34,$B40)+COUNTIF('8月'!BG4:BG34,$B40)+COUNTIF('8月'!BH4:BH34,$B40)+COUNTIF('8月'!BL4:BL34,$B40)+COUNTIF('8月'!BM4:BM34,$B40)+COUNTIF('8月'!BQ4:BQ34,$B40)+COUNTIF('8月'!BR4:BR34,$B40)+COUNTIF('8月'!BV4:BV34,$B40)+COUNTIF('8月'!BW4:BW34,$B40)+COUNTIF('8月'!CA4:CA34,$B40)+COUNTIF('8月'!CB4:CB34,$B40)+COUNTIF('8月'!CF4:CF34,$B40)+COUNTIF('8月'!CG4:CG34,$B40)+COUNTIF('8月'!CK4:CK34,$B40)+COUNTIF('8月'!CL4:CL34,$B40)+COUNTIF('8月'!CP4:CP34,$B40)+COUNTIF('8月'!CQ4:CQ34,$B40)+COUNTIF('8月'!CU4:CU34,$B40)+COUNTIF('8月'!CV4:CV34,$B40)+COUNTIF('8月'!CZ4:CZ34,$B40)+COUNTIF('8月'!DA4:DA34,$B40)+COUNTIF('8月'!DE4:DE34,$B40)+COUNTIF('8月'!DF4:DF34,$B40)+COUNTIF('8月'!DJ4:DJ34,$B40)+COUNTIF('8月'!DK4:DK34,$B40)+COUNTIF('8月'!DO4:DO34,$B40)+COUNTIF('8月'!DP4:DP34,$B40)+COUNTIF('8月'!DT4:DT34,$B40)+COUNTIF('8月'!DU4:DU34,$B40)+COUNTIF('8月'!DY4:DY34,$B40)+COUNTIF('8月'!DZ4:DZ34,$B40)+COUNTIF('8月'!ED4:ED34,$B40)+COUNTIF('8月'!EE4:EE34,$B40)+COUNTIF('8月'!EI4:EI34,$B40)+COUNTIF('8月'!EJ4:EJ34,$B40)+COUNTIF('8月'!EN4:EN34,$B40)+COUNTIF('8月'!EO4:EO34,$B40)+COUNTIF('8月'!ES4:ES34,$B40)+COUNTIF('8月'!ET4:ET34,$B40)),0)</f>
        <v>0</v>
      </c>
      <c r="K40" s="76">
        <f>IFERROR(IF($B40="","",COUNTIF('9月'!D4:D34,$B40)+COUNTIF('9月'!E4:E34,$B40)+COUNTIF('9月'!I4:I34,$B40)+COUNTIF('9月'!J4:J34,$B40)+COUNTIF('9月'!N4:N34,$B40)+COUNTIF('9月'!O4:O34,$B40)+COUNTIF('9月'!S4:S34,$B40)+COUNTIF('9月'!T4:T34,$B40)+COUNTIF('9月'!X4:X34,$B40)+COUNTIF('9月'!Y4:Y34,$B40)+COUNTIF('9月'!AC4:AC34,$B40)+COUNTIF('9月'!AD4:AD34,$B40)+COUNTIF('9月'!AH4:AH34,$B40)+COUNTIF('9月'!AI4:AI34,$B40)+COUNTIF('9月'!AM4:AM34,$B40)+COUNTIF('9月'!AN4:AN34,$B40)+COUNTIF('9月'!AR4:AR34,$B40)+COUNTIF('9月'!AS4:AS34,$B40)+COUNTIF('9月'!AW4:AW34,$B40)+COUNTIF('9月'!AX4:AX34,$B40)+COUNTIF('9月'!BB4:BB34,$B40)+COUNTIF('9月'!BC4:BC34,$B40)+COUNTIF('9月'!BG4:BG34,$B40)+COUNTIF('9月'!BH4:BH34,$B40)+COUNTIF('9月'!BL4:BL34,$B40)+COUNTIF('9月'!BM4:BM34,$B40)+COUNTIF('9月'!BQ4:BQ34,$B40)+COUNTIF('9月'!BR4:BR34,$B40)+COUNTIF('9月'!BV4:BV34,$B40)+COUNTIF('9月'!BW4:BW34,$B40)+COUNTIF('9月'!CA4:CA34,$B40)+COUNTIF('9月'!CB4:CB34,$B40)+COUNTIF('9月'!CF4:CF34,$B40)+COUNTIF('9月'!CG4:CG34,$B40)+COUNTIF('9月'!CK4:CK34,$B40)+COUNTIF('9月'!CL4:CL34,$B40)+COUNTIF('9月'!CP4:CP34,$B40)+COUNTIF('9月'!CQ4:CQ34,$B40)+COUNTIF('9月'!CU4:CU34,$B40)+COUNTIF('9月'!CV4:CV34,$B40)+COUNTIF('9月'!CZ4:CZ34,$B40)+COUNTIF('9月'!DA4:DA34,$B40)+COUNTIF('9月'!DE4:DE34,$B40)+COUNTIF('9月'!DF4:DF34,$B40)+COUNTIF('9月'!DJ4:DJ34,$B40)+COUNTIF('9月'!DK4:DK34,$B40)+COUNTIF('9月'!DO4:DO34,$B40)+COUNTIF('9月'!DP4:DP34,$B40)+COUNTIF('9月'!DT4:DT34,$B40)+COUNTIF('9月'!DU4:DU34,$B40)+COUNTIF('9月'!DY4:DY34,$B40)+COUNTIF('9月'!DZ4:DZ34,$B40)+COUNTIF('9月'!ED4:ED34,$B40)+COUNTIF('9月'!EE4:EE34,$B40)+COUNTIF('9月'!EI4:EI34,$B40)+COUNTIF('9月'!EJ4:EJ34,$B40)+COUNTIF('9月'!EN4:EN34,$B40)+COUNTIF('9月'!EO4:EO34,$B40)+COUNTIF('9月'!ES4:ES34,$B40)+COUNTIF('9月'!ET4:ET34,$B40)),0)</f>
        <v>0</v>
      </c>
      <c r="L40" s="76">
        <f>IFERROR(IF($B40="","",COUNTIF('10月'!D4:D34,$B40)+COUNTIF('10月'!E4:E34,$B40)+COUNTIF('10月'!I4:I34,$B40)+COUNTIF('10月'!J4:J34,$B40)+COUNTIF('10月'!N4:N34,$B40)+COUNTIF('10月'!O4:O34,$B40)+COUNTIF('10月'!S4:S34,$B40)+COUNTIF('10月'!T4:T34,$B40)+COUNTIF('10月'!X4:X34,$B40)+COUNTIF('10月'!Y4:Y34,$B40)+COUNTIF('10月'!AC4:AC34,$B40)+COUNTIF('10月'!AD4:AD34,$B40)+COUNTIF('10月'!AH4:AH34,$B40)+COUNTIF('10月'!AI4:AI34,$B40)+COUNTIF('10月'!AM4:AM34,$B40)+COUNTIF('10月'!AN4:AN34,$B40)+COUNTIF('10月'!AR4:AR34,$B40)+COUNTIF('10月'!AS4:AS34,$B40)+COUNTIF('10月'!AW4:AW34,$B40)+COUNTIF('10月'!AX4:AX34,$B40)+COUNTIF('10月'!BB4:BB34,$B40)+COUNTIF('10月'!BC4:BC34,$B40)+COUNTIF('10月'!BG4:BG34,$B40)+COUNTIF('10月'!BH4:BH34,$B40)+COUNTIF('10月'!BL4:BL34,$B40)+COUNTIF('10月'!BM4:BM34,$B40)+COUNTIF('10月'!BQ4:BQ34,$B40)+COUNTIF('10月'!BR4:BR34,$B40)+COUNTIF('10月'!BV4:BV34,$B40)+COUNTIF('10月'!BW4:BW34,$B40)+COUNTIF('10月'!CA4:CA34,$B40)+COUNTIF('10月'!CB4:CB34,$B40)+COUNTIF('10月'!CF4:CF34,$B40)+COUNTIF('10月'!CG4:CG34,$B40)+COUNTIF('10月'!CK4:CK34,$B40)+COUNTIF('10月'!CL4:CL34,$B40)+COUNTIF('10月'!CP4:CP34,$B40)+COUNTIF('10月'!CQ4:CQ34,$B40)+COUNTIF('10月'!CU4:CU34,$B40)+COUNTIF('10月'!CV4:CV34,$B40)+COUNTIF('10月'!CZ4:CZ34,$B40)+COUNTIF('10月'!DA4:DA34,$B40)+COUNTIF('10月'!DE4:DE34,$B40)+COUNTIF('10月'!DF4:DF34,$B40)+COUNTIF('10月'!DJ4:DJ34,$B40)+COUNTIF('10月'!DK4:DK34,$B40)+COUNTIF('10月'!DO4:DO34,$B40)+COUNTIF('10月'!DP4:DP34,$B40)+COUNTIF('10月'!DT4:DT34,$B40)+COUNTIF('10月'!DU4:DU34,$B40)+COUNTIF('10月'!DY4:DY34,$B40)+COUNTIF('10月'!DZ4:DZ34,$B40)+COUNTIF('10月'!ED4:ED34,$B40)+COUNTIF('10月'!EE4:EE34,$B40)+COUNTIF('10月'!EI4:EI34,$B40)+COUNTIF('10月'!EJ4:EJ34,$B40)+COUNTIF('10月'!EN4:EN34,$B40)+COUNTIF('10月'!EO4:EO34,$B40)+COUNTIF('10月'!ES4:ES34,$B40)+COUNTIF('10月'!ET4:ET34,$B40)),0)</f>
        <v>0</v>
      </c>
      <c r="M40" s="76">
        <f>IFERROR(IF($B40="","",COUNTIF('11月'!D4:D34,$B40)+COUNTIF('11月'!E4:E34,$B40)+COUNTIF('11月'!I4:I34,$B40)+COUNTIF('11月'!J4:J34,$B40)+COUNTIF('11月'!N4:N34,$B40)+COUNTIF('11月'!O4:O34,$B40)+COUNTIF('11月'!S4:S34,$B40)+COUNTIF('11月'!T4:T34,$B40)+COUNTIF('11月'!X4:X34,$B40)+COUNTIF('11月'!Y4:Y34,$B40)+COUNTIF('11月'!AC4:AC34,$B40)+COUNTIF('11月'!AD4:AD34,$B40)+COUNTIF('11月'!AH4:AH34,$B40)+COUNTIF('11月'!AI4:AI34,$B40)+COUNTIF('11月'!AM4:AM34,$B40)+COUNTIF('11月'!AN4:AN34,$B40)+COUNTIF('11月'!AR4:AR34,$B40)+COUNTIF('11月'!AS4:AS34,$B40)+COUNTIF('11月'!AW4:AW34,$B40)+COUNTIF('11月'!AX4:AX34,$B40)+COUNTIF('11月'!BB4:BB34,$B40)+COUNTIF('11月'!BC4:BC34,$B40)+COUNTIF('11月'!BG4:BG34,$B40)+COUNTIF('11月'!BH4:BH34,$B40)+COUNTIF('11月'!BL4:BL34,$B40)+COUNTIF('11月'!BM4:BM34,$B40)+COUNTIF('11月'!BQ4:BQ34,$B40)+COUNTIF('11月'!BR4:BR34,$B40)+COUNTIF('11月'!BV4:BV34,$B40)+COUNTIF('11月'!BW4:BW34,$B40)+COUNTIF('11月'!CA4:CA34,$B40)+COUNTIF('11月'!CB4:CB34,$B40)+COUNTIF('11月'!CF4:CF34,$B40)+COUNTIF('11月'!CG4:CG34,$B40)+COUNTIF('11月'!CK4:CK34,$B40)+COUNTIF('11月'!CL4:CL34,$B40)+COUNTIF('11月'!CP4:CP34,$B40)+COUNTIF('11月'!CQ4:CQ34,$B40)+COUNTIF('11月'!CU4:CU34,$B40)+COUNTIF('11月'!CV4:CV34,$B40)+COUNTIF('11月'!CZ4:CZ34,$B40)+COUNTIF('11月'!DA4:DA34,$B40)+COUNTIF('11月'!DE4:DE34,$B40)+COUNTIF('11月'!DF4:DF34,$B40)+COUNTIF('11月'!DJ4:DJ34,$B40)+COUNTIF('11月'!DK4:DK34,$B40)+COUNTIF('11月'!DO4:DO34,$B40)+COUNTIF('11月'!DP4:DP34,$B40)+COUNTIF('11月'!DT4:DT34,$B40)+COUNTIF('11月'!DU4:DU34,$B40)+COUNTIF('11月'!DY4:DY34,$B40)+COUNTIF('11月'!DZ4:DZ34,$B40)+COUNTIF('11月'!ED4:ED34,$B40)+COUNTIF('11月'!EE4:EE34,$B40)+COUNTIF('11月'!EI4:EI34,$B40)+COUNTIF('11月'!EJ4:EJ34,$B40)+COUNTIF('11月'!EN4:EN34,$B40)+COUNTIF('11月'!EO4:EO34,$B40)+COUNTIF('11月'!ES4:ES34,$B40)+COUNTIF('11月'!ET4:ET34,$B40)),0)</f>
        <v>0</v>
      </c>
      <c r="N40" s="76">
        <f>IFERROR(IF($B40="","",COUNTIF('12月'!D4:D34,$B40)+COUNTIF('12月'!E4:E34,$B40)+COUNTIF('12月'!I4:I34,$B40)+COUNTIF('12月'!J4:J34,$B40)+COUNTIF('12月'!N4:N34,$B40)+COUNTIF('12月'!O4:O34,$B40)+COUNTIF('12月'!S4:S34,$B40)+COUNTIF('12月'!T4:T34,$B40)+COUNTIF('12月'!X4:X34,$B40)+COUNTIF('12月'!Y4:Y34,$B40)+COUNTIF('12月'!AC4:AC34,$B40)+COUNTIF('12月'!AD4:AD34,$B40)+COUNTIF('12月'!AH4:AH34,$B40)+COUNTIF('12月'!AI4:AI34,$B40)+COUNTIF('12月'!AM4:AM34,$B40)+COUNTIF('12月'!AN4:AN34,$B40)+COUNTIF('12月'!AR4:AR34,$B40)+COUNTIF('12月'!AS4:AS34,$B40)+COUNTIF('12月'!AW4:AW34,$B40)+COUNTIF('12月'!AX4:AX34,$B40)+COUNTIF('12月'!BB4:BB34,$B40)+COUNTIF('12月'!BC4:BC34,$B40)+COUNTIF('12月'!BG4:BG34,$B40)+COUNTIF('12月'!BH4:BH34,$B40)+COUNTIF('12月'!BL4:BL34,$B40)+COUNTIF('12月'!BM4:BM34,$B40)+COUNTIF('12月'!BQ4:BQ34,$B40)+COUNTIF('12月'!BR4:BR34,$B40)+COUNTIF('12月'!BV4:BV34,$B40)+COUNTIF('12月'!BW4:BW34,$B40)+COUNTIF('12月'!CA4:CA34,$B40)+COUNTIF('12月'!CB4:CB34,$B40)+COUNTIF('12月'!CF4:CF34,$B40)+COUNTIF('12月'!CG4:CG34,$B40)+COUNTIF('12月'!CK4:CK34,$B40)+COUNTIF('12月'!CL4:CL34,$B40)+COUNTIF('12月'!CP4:CP34,$B40)+COUNTIF('12月'!CQ4:CQ34,$B40)+COUNTIF('12月'!CU4:CU34,$B40)+COUNTIF('12月'!CV4:CV34,$B40)+COUNTIF('12月'!CZ4:CZ34,$B40)+COUNTIF('12月'!DA4:DA34,$B40)+COUNTIF('12月'!DE4:DE34,$B40)+COUNTIF('12月'!DF4:DF34,$B40)+COUNTIF('12月'!DJ4:DJ34,$B40)+COUNTIF('12月'!DK4:DK34,$B40)+COUNTIF('12月'!DO4:DO34,$B40)+COUNTIF('12月'!DP4:DP34,$B40)+COUNTIF('12月'!DT4:DT34,$B40)+COUNTIF('12月'!DU4:DU34,$B40)+COUNTIF('12月'!DY4:DY34,$B40)+COUNTIF('12月'!DZ4:DZ34,$B40)+COUNTIF('12月'!ED4:ED34,$B40)+COUNTIF('12月'!EE4:EE34,$B40)+COUNTIF('12月'!EI4:EI34,$B40)+COUNTIF('12月'!EJ4:EJ34,$B40)+COUNTIF('12月'!EN4:EN34,$B40)+COUNTIF('12月'!EO4:EO34,$B40)+COUNTIF('12月'!ES4:ES34,$B40)+COUNTIF('12月'!ET4:ET34,$B40)),0)</f>
        <v>0</v>
      </c>
      <c r="O40" s="78">
        <f t="shared" si="0"/>
        <v>0</v>
      </c>
    </row>
    <row r="41" spans="1:15" ht="19.5" customHeight="1">
      <c r="A41" s="76">
        <v>39</v>
      </c>
      <c r="B41" s="77">
        <f>IFERROR(現場マスタ!$C$42,"")</f>
        <v>0</v>
      </c>
      <c r="C41" s="76">
        <f>IFERROR(IF($B41="","",COUNTIF('1月'!D4:D34,$B41)+COUNTIF('1月'!E4:E34,$B41)+COUNTIF('1月'!I4:I34,$B41)+COUNTIF('1月'!J4:J34,$B41)+COUNTIF('1月'!N4:N34,$B41)+COUNTIF('1月'!O4:O34,$B41)+COUNTIF('1月'!S4:S34,$B41)+COUNTIF('1月'!T4:T34,$B41)+COUNTIF('1月'!X4:X34,$B41)+COUNTIF('1月'!Y4:Y34,$B41)+COUNTIF('1月'!AC4:AC34,$B41)+COUNTIF('1月'!AD4:AD34,$B41)+COUNTIF('1月'!AH4:AH34,$B41)+COUNTIF('1月'!AI4:AI34,$B41)+COUNTIF('1月'!AM4:AM34,$B41)+COUNTIF('1月'!AN4:AN34,$B41)+COUNTIF('1月'!AR4:AR34,$B41)+COUNTIF('1月'!AS4:AS34,$B41)+COUNTIF('1月'!AW4:AW34,$B41)+COUNTIF('1月'!AX4:AX34,$B41)+COUNTIF('1月'!BB4:BB34,$B41)+COUNTIF('1月'!BC4:BC34,$B41)+COUNTIF('1月'!BG4:BG34,$B41)+COUNTIF('1月'!BH4:BH34,$B41)+COUNTIF('1月'!BL4:BL34,$B41)+COUNTIF('1月'!BM4:BM34,$B41)+COUNTIF('1月'!BQ4:BQ34,$B41)+COUNTIF('1月'!BR4:BR34,$B41)+COUNTIF('1月'!BV4:BV34,$B41)+COUNTIF('1月'!BW4:BW34,$B41)+COUNTIF('1月'!CA4:CA34,$B41)+COUNTIF('1月'!CB4:CB34,$B41)+COUNTIF('1月'!CF4:CF34,$B41)+COUNTIF('1月'!CG4:CG34,$B41)+COUNTIF('1月'!CK4:CK34,$B41)+COUNTIF('1月'!CL4:CL34,$B41)+COUNTIF('1月'!CP4:CP34,$B41)+COUNTIF('1月'!CQ4:CQ34,$B41)+COUNTIF('1月'!CU4:CU34,$B41)+COUNTIF('1月'!CV4:CV34,$B41)+COUNTIF('1月'!CZ4:CZ34,$B41)+COUNTIF('1月'!DA4:DA34,$B41)+COUNTIF('1月'!DE4:DE34,$B41)+COUNTIF('1月'!DF4:DF34,$B41)+COUNTIF('1月'!DJ4:DJ34,$B41)+COUNTIF('1月'!DK4:DK34,$B41)+COUNTIF('1月'!DO4:DO34,$B41)+COUNTIF('1月'!DP4:DP34,$B41)+COUNTIF('1月'!DT4:DT34,$B41)+COUNTIF('1月'!DU4:DU34,$B41)+COUNTIF('1月'!DY4:DY34,$B41)+COUNTIF('1月'!DZ4:DZ34,$B41)+COUNTIF('1月'!ED4:ED34,$B41)+COUNTIF('1月'!EE4:EE34,$B41)+COUNTIF('1月'!EI4:EI34,$B41)+COUNTIF('1月'!EJ4:EJ34,$B41)+COUNTIF('1月'!EN4:EN34,$B41)+COUNTIF('1月'!EO4:EO34,$B41)+COUNTIF('1月'!ES4:ES34,$B41)+COUNTIF('1月'!ET4:ET34,$B41)),0)</f>
        <v>0</v>
      </c>
      <c r="D41" s="76">
        <f>IFERROR(IF($B41="","",COUNTIF('2月'!D4:D34,$B41)+COUNTIF('2月'!E4:E34,$B41)+COUNTIF('2月'!I4:I34,$B41)+COUNTIF('2月'!J4:J34,$B41)+COUNTIF('2月'!N4:N34,$B41)+COUNTIF('2月'!O4:O34,$B41)+COUNTIF('2月'!S4:S34,$B41)+COUNTIF('2月'!T4:T34,$B41)+COUNTIF('2月'!X4:X34,$B41)+COUNTIF('2月'!Y4:Y34,$B41)+COUNTIF('2月'!AC4:AC34,$B41)+COUNTIF('2月'!AD4:AD34,$B41)+COUNTIF('2月'!AH4:AH34,$B41)+COUNTIF('2月'!AI4:AI34,$B41)+COUNTIF('2月'!AM4:AM34,$B41)+COUNTIF('2月'!AN4:AN34,$B41)+COUNTIF('2月'!AR4:AR34,$B41)+COUNTIF('2月'!AS4:AS34,$B41)+COUNTIF('2月'!AW4:AW34,$B41)+COUNTIF('2月'!AX4:AX34,$B41)+COUNTIF('2月'!BB4:BB34,$B41)+COUNTIF('2月'!BC4:BC34,$B41)+COUNTIF('2月'!BG4:BG34,$B41)+COUNTIF('2月'!BH4:BH34,$B41)+COUNTIF('2月'!BL4:BL34,$B41)+COUNTIF('2月'!BM4:BM34,$B41)+COUNTIF('2月'!BQ4:BQ34,$B41)+COUNTIF('2月'!BR4:BR34,$B41)+COUNTIF('2月'!BV4:BV34,$B41)+COUNTIF('2月'!BW4:BW34,$B41)+COUNTIF('2月'!CA4:CA34,$B41)+COUNTIF('2月'!CB4:CB34,$B41)+COUNTIF('2月'!CF4:CF34,$B41)+COUNTIF('2月'!CG4:CG34,$B41)+COUNTIF('2月'!CK4:CK34,$B41)+COUNTIF('2月'!CL4:CL34,$B41)+COUNTIF('2月'!CP4:CP34,$B41)+COUNTIF('2月'!CQ4:CQ34,$B41)+COUNTIF('2月'!CU4:CU34,$B41)+COUNTIF('2月'!CV4:CV34,$B41)+COUNTIF('2月'!CZ4:CZ34,$B41)+COUNTIF('2月'!DA4:DA34,$B41)+COUNTIF('2月'!DE4:DE34,$B41)+COUNTIF('2月'!DF4:DF34,$B41)+COUNTIF('2月'!DJ4:DJ34,$B41)+COUNTIF('2月'!DK4:DK34,$B41)+COUNTIF('2月'!DO4:DO34,$B41)+COUNTIF('2月'!DP4:DP34,$B41)+COUNTIF('2月'!DT4:DT34,$B41)+COUNTIF('2月'!DU4:DU34,$B41)+COUNTIF('2月'!DY4:DY34,$B41)+COUNTIF('2月'!DZ4:DZ34,$B41)+COUNTIF('2月'!ED4:ED34,$B41)+COUNTIF('2月'!EE4:EE34,$B41)+COUNTIF('2月'!EI4:EI34,$B41)+COUNTIF('2月'!EJ4:EJ34,$B41)+COUNTIF('2月'!EN4:EN34,$B41)+COUNTIF('2月'!EO4:EO34,$B41)+COUNTIF('2月'!ES4:ES34,$B41)+COUNTIF('2月'!ET4:ET34,$B41)),0)</f>
        <v>0</v>
      </c>
      <c r="E41" s="76">
        <f>IFERROR(IF($B41="","",COUNTIF('3月'!D4:D34,$B41)+COUNTIF('3月'!E4:E34,$B41)+COUNTIF('3月'!I4:I34,$B41)+COUNTIF('3月'!J4:J34,$B41)+COUNTIF('3月'!N4:N34,$B41)+COUNTIF('3月'!O4:O34,$B41)+COUNTIF('3月'!S4:S34,$B41)+COUNTIF('3月'!T4:T34,$B41)+COUNTIF('3月'!X4:X34,$B41)+COUNTIF('3月'!Y4:Y34,$B41)+COUNTIF('3月'!AC4:AC34,$B41)+COUNTIF('3月'!AD4:AD34,$B41)+COUNTIF('3月'!AH4:AH34,$B41)+COUNTIF('3月'!AI4:AI34,$B41)+COUNTIF('3月'!AM4:AM34,$B41)+COUNTIF('3月'!AN4:AN34,$B41)+COUNTIF('3月'!AR4:AR34,$B41)+COUNTIF('3月'!AS4:AS34,$B41)+COUNTIF('3月'!AW4:AW34,$B41)+COUNTIF('3月'!AX4:AX34,$B41)+COUNTIF('3月'!BB4:BB34,$B41)+COUNTIF('3月'!BC4:BC34,$B41)+COUNTIF('3月'!BG4:BG34,$B41)+COUNTIF('3月'!BH4:BH34,$B41)+COUNTIF('3月'!BL4:BL34,$B41)+COUNTIF('3月'!BM4:BM34,$B41)+COUNTIF('3月'!BQ4:BQ34,$B41)+COUNTIF('3月'!BR4:BR34,$B41)+COUNTIF('3月'!BV4:BV34,$B41)+COUNTIF('3月'!BW4:BW34,$B41)+COUNTIF('3月'!CA4:CA34,$B41)+COUNTIF('3月'!CB4:CB34,$B41)+COUNTIF('3月'!CF4:CF34,$B41)+COUNTIF('3月'!CG4:CG34,$B41)+COUNTIF('3月'!CK4:CK34,$B41)+COUNTIF('3月'!CL4:CL34,$B41)+COUNTIF('3月'!CP4:CP34,$B41)+COUNTIF('3月'!CQ4:CQ34,$B41)+COUNTIF('3月'!CU4:CU34,$B41)+COUNTIF('3月'!CV4:CV34,$B41)+COUNTIF('3月'!CZ4:CZ34,$B41)+COUNTIF('3月'!DA4:DA34,$B41)+COUNTIF('3月'!DE4:DE34,$B41)+COUNTIF('3月'!DF4:DF34,$B41)+COUNTIF('3月'!DJ4:DJ34,$B41)+COUNTIF('3月'!DK4:DK34,$B41)+COUNTIF('3月'!DO4:DO34,$B41)+COUNTIF('3月'!DP4:DP34,$B41)+COUNTIF('3月'!DT4:DT34,$B41)+COUNTIF('3月'!DU4:DU34,$B41)+COUNTIF('3月'!DY4:DY34,$B41)+COUNTIF('3月'!DZ4:DZ34,$B41)+COUNTIF('3月'!ED4:ED34,$B41)+COUNTIF('3月'!EE4:EE34,$B41)+COUNTIF('3月'!EI4:EI34,$B41)+COUNTIF('3月'!EJ4:EJ34,$B41)+COUNTIF('3月'!EN4:EN34,$B41)+COUNTIF('3月'!EO4:EO34,$B41)+COUNTIF('3月'!ES4:ES34,$B41)+COUNTIF('3月'!ET4:ET34,$B41)),0)</f>
        <v>0</v>
      </c>
      <c r="F41" s="76">
        <f>IFERROR(IF($B41="","",COUNTIF('4月'!D4:D34,$B41)+COUNTIF('4月'!E4:E34,$B41)+COUNTIF('4月'!I4:I34,$B41)+COUNTIF('4月'!J4:J34,$B41)+COUNTIF('4月'!N4:N34,$B41)+COUNTIF('4月'!O4:O34,$B41)+COUNTIF('4月'!S4:S34,$B41)+COUNTIF('4月'!T4:T34,$B41)+COUNTIF('4月'!X4:X34,$B41)+COUNTIF('4月'!Y4:Y34,$B41)+COUNTIF('4月'!AC4:AC34,$B41)+COUNTIF('4月'!AD4:AD34,$B41)+COUNTIF('4月'!AH4:AH34,$B41)+COUNTIF('4月'!AI4:AI34,$B41)+COUNTIF('4月'!AM4:AM34,$B41)+COUNTIF('4月'!AN4:AN34,$B41)+COUNTIF('4月'!AR4:AR34,$B41)+COUNTIF('4月'!AS4:AS34,$B41)+COUNTIF('4月'!AW4:AW34,$B41)+COUNTIF('4月'!AX4:AX34,$B41)+COUNTIF('4月'!BB4:BB34,$B41)+COUNTIF('4月'!BC4:BC34,$B41)+COUNTIF('4月'!BG4:BG34,$B41)+COUNTIF('4月'!BH4:BH34,$B41)+COUNTIF('4月'!BL4:BL34,$B41)+COUNTIF('4月'!BM4:BM34,$B41)+COUNTIF('4月'!BQ4:BQ34,$B41)+COUNTIF('4月'!BR4:BR34,$B41)+COUNTIF('4月'!BV4:BV34,$B41)+COUNTIF('4月'!BW4:BW34,$B41)+COUNTIF('4月'!CA4:CA34,$B41)+COUNTIF('4月'!CB4:CB34,$B41)+COUNTIF('4月'!CF4:CF34,$B41)+COUNTIF('4月'!CG4:CG34,$B41)+COUNTIF('4月'!CK4:CK34,$B41)+COUNTIF('4月'!CL4:CL34,$B41)+COUNTIF('4月'!CP4:CP34,$B41)+COUNTIF('4月'!CQ4:CQ34,$B41)+COUNTIF('4月'!CU4:CU34,$B41)+COUNTIF('4月'!CV4:CV34,$B41)+COUNTIF('4月'!CZ4:CZ34,$B41)+COUNTIF('4月'!DA4:DA34,$B41)+COUNTIF('4月'!DE4:DE34,$B41)+COUNTIF('4月'!DF4:DF34,$B41)+COUNTIF('4月'!DJ4:DJ34,$B41)+COUNTIF('4月'!DK4:DK34,$B41)+COUNTIF('4月'!DO4:DO34,$B41)+COUNTIF('4月'!DP4:DP34,$B41)+COUNTIF('4月'!DT4:DT34,$B41)+COUNTIF('4月'!DU4:DU34,$B41)+COUNTIF('4月'!DY4:DY34,$B41)+COUNTIF('4月'!DZ4:DZ34,$B41)+COUNTIF('4月'!ED4:ED34,$B41)+COUNTIF('4月'!EE4:EE34,$B41)+COUNTIF('4月'!EI4:EI34,$B41)+COUNTIF('4月'!EJ4:EJ34,$B41)+COUNTIF('4月'!EN4:EN34,$B41)+COUNTIF('4月'!EO4:EO34,$B41)+COUNTIF('4月'!ES4:ES34,$B41)+COUNTIF('4月'!ET4:ET34,$B41)),0)</f>
        <v>0</v>
      </c>
      <c r="G41" s="76">
        <f>IFERROR(IF($B41="","",COUNTIF('5月'!D4:D34,$B41)+COUNTIF('5月'!E4:E34,$B41)+COUNTIF('5月'!I4:I34,$B41)+COUNTIF('5月'!J4:J34,$B41)+COUNTIF('5月'!N4:N34,$B41)+COUNTIF('5月'!O4:O34,$B41)+COUNTIF('5月'!S4:S34,$B41)+COUNTIF('5月'!T4:T34,$B41)+COUNTIF('5月'!X4:X34,$B41)+COUNTIF('5月'!Y4:Y34,$B41)+COUNTIF('5月'!AC4:AC34,$B41)+COUNTIF('5月'!AD4:AD34,$B41)+COUNTIF('5月'!AH4:AH34,$B41)+COUNTIF('5月'!AI4:AI34,$B41)+COUNTIF('5月'!AM4:AM34,$B41)+COUNTIF('5月'!AN4:AN34,$B41)+COUNTIF('5月'!AR4:AR34,$B41)+COUNTIF('5月'!AS4:AS34,$B41)+COUNTIF('5月'!AW4:AW34,$B41)+COUNTIF('5月'!AX4:AX34,$B41)+COUNTIF('5月'!BB4:BB34,$B41)+COUNTIF('5月'!BC4:BC34,$B41)+COUNTIF('5月'!BG4:BG34,$B41)+COUNTIF('5月'!BH4:BH34,$B41)+COUNTIF('5月'!BL4:BL34,$B41)+COUNTIF('5月'!BM4:BM34,$B41)+COUNTIF('5月'!BQ4:BQ34,$B41)+COUNTIF('5月'!BR4:BR34,$B41)+COUNTIF('5月'!BV4:BV34,$B41)+COUNTIF('5月'!BW4:BW34,$B41)+COUNTIF('5月'!CA4:CA34,$B41)+COUNTIF('5月'!CB4:CB34,$B41)+COUNTIF('5月'!CF4:CF34,$B41)+COUNTIF('5月'!CG4:CG34,$B41)+COUNTIF('5月'!CK4:CK34,$B41)+COUNTIF('5月'!CL4:CL34,$B41)+COUNTIF('5月'!CP4:CP34,$B41)+COUNTIF('5月'!CQ4:CQ34,$B41)+COUNTIF('5月'!CU4:CU34,$B41)+COUNTIF('5月'!CV4:CV34,$B41)+COUNTIF('5月'!CZ4:CZ34,$B41)+COUNTIF('5月'!DA4:DA34,$B41)+COUNTIF('5月'!DE4:DE34,$B41)+COUNTIF('5月'!DF4:DF34,$B41)+COUNTIF('5月'!DJ4:DJ34,$B41)+COUNTIF('5月'!DK4:DK34,$B41)+COUNTIF('5月'!DO4:DO34,$B41)+COUNTIF('5月'!DP4:DP34,$B41)+COUNTIF('5月'!DT4:DT34,$B41)+COUNTIF('5月'!DU4:DU34,$B41)+COUNTIF('5月'!DY4:DY34,$B41)+COUNTIF('5月'!DZ4:DZ34,$B41)+COUNTIF('5月'!ED4:ED34,$B41)+COUNTIF('5月'!EE4:EE34,$B41)+COUNTIF('5月'!EI4:EI34,$B41)+COUNTIF('5月'!EJ4:EJ34,$B41)+COUNTIF('5月'!EN4:EN34,$B41)+COUNTIF('5月'!EO4:EO34,$B41)+COUNTIF('5月'!ES4:ES34,$B41)+COUNTIF('5月'!ET4:ET34,$B41)),0)</f>
        <v>0</v>
      </c>
      <c r="H41" s="76">
        <f>IFERROR(IF($B41="","",COUNTIF('6月'!D4:D34,$B41)+COUNTIF('6月'!E4:E34,$B41)+COUNTIF('6月'!I4:I34,$B41)+COUNTIF('6月'!J4:J34,$B41)+COUNTIF('6月'!N4:N34,$B41)+COUNTIF('6月'!O4:O34,$B41)+COUNTIF('6月'!S4:S34,$B41)+COUNTIF('6月'!T4:T34,$B41)+COUNTIF('6月'!X4:X34,$B41)+COUNTIF('6月'!Y4:Y34,$B41)+COUNTIF('6月'!AC4:AC34,$B41)+COUNTIF('6月'!AD4:AD34,$B41)+COUNTIF('6月'!AH4:AH34,$B41)+COUNTIF('6月'!AI4:AI34,$B41)+COUNTIF('6月'!AM4:AM34,$B41)+COUNTIF('6月'!AN4:AN34,$B41)+COUNTIF('6月'!AR4:AR34,$B41)+COUNTIF('6月'!AS4:AS34,$B41)+COUNTIF('6月'!AW4:AW34,$B41)+COUNTIF('6月'!AX4:AX34,$B41)+COUNTIF('6月'!BB4:BB34,$B41)+COUNTIF('6月'!BC4:BC34,$B41)+COUNTIF('6月'!BG4:BG34,$B41)+COUNTIF('6月'!BH4:BH34,$B41)+COUNTIF('6月'!BL4:BL34,$B41)+COUNTIF('6月'!BM4:BM34,$B41)+COUNTIF('6月'!BQ4:BQ34,$B41)+COUNTIF('6月'!BR4:BR34,$B41)+COUNTIF('6月'!BV4:BV34,$B41)+COUNTIF('6月'!BW4:BW34,$B41)+COUNTIF('6月'!CA4:CA34,$B41)+COUNTIF('6月'!CB4:CB34,$B41)+COUNTIF('6月'!CF4:CF34,$B41)+COUNTIF('6月'!CG4:CG34,$B41)+COUNTIF('6月'!CK4:CK34,$B41)+COUNTIF('6月'!CL4:CL34,$B41)+COUNTIF('6月'!CP4:CP34,$B41)+COUNTIF('6月'!CQ4:CQ34,$B41)+COUNTIF('6月'!CU4:CU34,$B41)+COUNTIF('6月'!CV4:CV34,$B41)+COUNTIF('6月'!CZ4:CZ34,$B41)+COUNTIF('6月'!DA4:DA34,$B41)+COUNTIF('6月'!DE4:DE34,$B41)+COUNTIF('6月'!DF4:DF34,$B41)+COUNTIF('6月'!DJ4:DJ34,$B41)+COUNTIF('6月'!DK4:DK34,$B41)+COUNTIF('6月'!DO4:DO34,$B41)+COUNTIF('6月'!DP4:DP34,$B41)+COUNTIF('6月'!DT4:DT34,$B41)+COUNTIF('6月'!DU4:DU34,$B41)+COUNTIF('6月'!DY4:DY34,$B41)+COUNTIF('6月'!DZ4:DZ34,$B41)+COUNTIF('6月'!ED4:ED34,$B41)+COUNTIF('6月'!EE4:EE34,$B41)+COUNTIF('6月'!EI4:EI34,$B41)+COUNTIF('6月'!EJ4:EJ34,$B41)+COUNTIF('6月'!EN4:EN34,$B41)+COUNTIF('6月'!EO4:EO34,$B41)+COUNTIF('6月'!ES4:ES34,$B41)+COUNTIF('6月'!ET4:ET34,$B41)),0)</f>
        <v>0</v>
      </c>
      <c r="I41" s="76">
        <f>IFERROR(IF($B41="","",COUNTIF('7月'!D4:D34,$B41)+COUNTIF('7月'!E4:E34,$B41)+COUNTIF('7月'!I4:I34,$B41)+COUNTIF('7月'!J4:J34,$B41)+COUNTIF('7月'!N4:N34,$B41)+COUNTIF('7月'!O4:O34,$B41)+COUNTIF('7月'!S4:S34,$B41)+COUNTIF('7月'!T4:T34,$B41)+COUNTIF('7月'!X4:X34,$B41)+COUNTIF('7月'!Y4:Y34,$B41)+COUNTIF('7月'!AC4:AC34,$B41)+COUNTIF('7月'!AD4:AD34,$B41)+COUNTIF('7月'!AH4:AH34,$B41)+COUNTIF('7月'!AI4:AI34,$B41)+COUNTIF('7月'!AM4:AM34,$B41)+COUNTIF('7月'!AN4:AN34,$B41)+COUNTIF('7月'!AR4:AR34,$B41)+COUNTIF('7月'!AS4:AS34,$B41)+COUNTIF('7月'!AW4:AW34,$B41)+COUNTIF('7月'!AX4:AX34,$B41)+COUNTIF('7月'!BB4:BB34,$B41)+COUNTIF('7月'!BC4:BC34,$B41)+COUNTIF('7月'!BG4:BG34,$B41)+COUNTIF('7月'!BH4:BH34,$B41)+COUNTIF('7月'!BL4:BL34,$B41)+COUNTIF('7月'!BM4:BM34,$B41)+COUNTIF('7月'!BQ4:BQ34,$B41)+COUNTIF('7月'!BR4:BR34,$B41)+COUNTIF('7月'!BV4:BV34,$B41)+COUNTIF('7月'!BW4:BW34,$B41)+COUNTIF('7月'!CA4:CA34,$B41)+COUNTIF('7月'!CB4:CB34,$B41)+COUNTIF('7月'!CF4:CF34,$B41)+COUNTIF('7月'!CG4:CG34,$B41)+COUNTIF('7月'!CK4:CK34,$B41)+COUNTIF('7月'!CL4:CL34,$B41)+COUNTIF('7月'!CP4:CP34,$B41)+COUNTIF('7月'!CQ4:CQ34,$B41)+COUNTIF('7月'!CU4:CU34,$B41)+COUNTIF('7月'!CV4:CV34,$B41)+COUNTIF('7月'!CZ4:CZ34,$B41)+COUNTIF('7月'!DA4:DA34,$B41)+COUNTIF('7月'!DE4:DE34,$B41)+COUNTIF('7月'!DF4:DF34,$B41)+COUNTIF('7月'!DJ4:DJ34,$B41)+COUNTIF('7月'!DK4:DK34,$B41)+COUNTIF('7月'!DO4:DO34,$B41)+COUNTIF('7月'!DP4:DP34,$B41)+COUNTIF('7月'!DT4:DT34,$B41)+COUNTIF('7月'!DU4:DU34,$B41)+COUNTIF('7月'!DY4:DY34,$B41)+COUNTIF('7月'!DZ4:DZ34,$B41)+COUNTIF('7月'!ED4:ED34,$B41)+COUNTIF('7月'!EE4:EE34,$B41)+COUNTIF('7月'!EI4:EI34,$B41)+COUNTIF('7月'!EJ4:EJ34,$B41)+COUNTIF('7月'!EN4:EN34,$B41)+COUNTIF('7月'!EO4:EO34,$B41)+COUNTIF('7月'!ES4:ES34,$B41)+COUNTIF('7月'!ET4:ET34,$B41)),0)</f>
        <v>0</v>
      </c>
      <c r="J41" s="76">
        <f>IFERROR(IF($B41="","",COUNTIF('8月'!D4:D34,$B41)+COUNTIF('8月'!E4:E34,$B41)+COUNTIF('8月'!I4:I34,$B41)+COUNTIF('8月'!J4:J34,$B41)+COUNTIF('8月'!N4:N34,$B41)+COUNTIF('8月'!O4:O34,$B41)+COUNTIF('8月'!S4:S34,$B41)+COUNTIF('8月'!T4:T34,$B41)+COUNTIF('8月'!X4:X34,$B41)+COUNTIF('8月'!Y4:Y34,$B41)+COUNTIF('8月'!AC4:AC34,$B41)+COUNTIF('8月'!AD4:AD34,$B41)+COUNTIF('8月'!AH4:AH34,$B41)+COUNTIF('8月'!AI4:AI34,$B41)+COUNTIF('8月'!AM4:AM34,$B41)+COUNTIF('8月'!AN4:AN34,$B41)+COUNTIF('8月'!AR4:AR34,$B41)+COUNTIF('8月'!AS4:AS34,$B41)+COUNTIF('8月'!AW4:AW34,$B41)+COUNTIF('8月'!AX4:AX34,$B41)+COUNTIF('8月'!BB4:BB34,$B41)+COUNTIF('8月'!BC4:BC34,$B41)+COUNTIF('8月'!BG4:BG34,$B41)+COUNTIF('8月'!BH4:BH34,$B41)+COUNTIF('8月'!BL4:BL34,$B41)+COUNTIF('8月'!BM4:BM34,$B41)+COUNTIF('8月'!BQ4:BQ34,$B41)+COUNTIF('8月'!BR4:BR34,$B41)+COUNTIF('8月'!BV4:BV34,$B41)+COUNTIF('8月'!BW4:BW34,$B41)+COUNTIF('8月'!CA4:CA34,$B41)+COUNTIF('8月'!CB4:CB34,$B41)+COUNTIF('8月'!CF4:CF34,$B41)+COUNTIF('8月'!CG4:CG34,$B41)+COUNTIF('8月'!CK4:CK34,$B41)+COUNTIF('8月'!CL4:CL34,$B41)+COUNTIF('8月'!CP4:CP34,$B41)+COUNTIF('8月'!CQ4:CQ34,$B41)+COUNTIF('8月'!CU4:CU34,$B41)+COUNTIF('8月'!CV4:CV34,$B41)+COUNTIF('8月'!CZ4:CZ34,$B41)+COUNTIF('8月'!DA4:DA34,$B41)+COUNTIF('8月'!DE4:DE34,$B41)+COUNTIF('8月'!DF4:DF34,$B41)+COUNTIF('8月'!DJ4:DJ34,$B41)+COUNTIF('8月'!DK4:DK34,$B41)+COUNTIF('8月'!DO4:DO34,$B41)+COUNTIF('8月'!DP4:DP34,$B41)+COUNTIF('8月'!DT4:DT34,$B41)+COUNTIF('8月'!DU4:DU34,$B41)+COUNTIF('8月'!DY4:DY34,$B41)+COUNTIF('8月'!DZ4:DZ34,$B41)+COUNTIF('8月'!ED4:ED34,$B41)+COUNTIF('8月'!EE4:EE34,$B41)+COUNTIF('8月'!EI4:EI34,$B41)+COUNTIF('8月'!EJ4:EJ34,$B41)+COUNTIF('8月'!EN4:EN34,$B41)+COUNTIF('8月'!EO4:EO34,$B41)+COUNTIF('8月'!ES4:ES34,$B41)+COUNTIF('8月'!ET4:ET34,$B41)),0)</f>
        <v>0</v>
      </c>
      <c r="K41" s="76">
        <f>IFERROR(IF($B41="","",COUNTIF('9月'!D4:D34,$B41)+COUNTIF('9月'!E4:E34,$B41)+COUNTIF('9月'!I4:I34,$B41)+COUNTIF('9月'!J4:J34,$B41)+COUNTIF('9月'!N4:N34,$B41)+COUNTIF('9月'!O4:O34,$B41)+COUNTIF('9月'!S4:S34,$B41)+COUNTIF('9月'!T4:T34,$B41)+COUNTIF('9月'!X4:X34,$B41)+COUNTIF('9月'!Y4:Y34,$B41)+COUNTIF('9月'!AC4:AC34,$B41)+COUNTIF('9月'!AD4:AD34,$B41)+COUNTIF('9月'!AH4:AH34,$B41)+COUNTIF('9月'!AI4:AI34,$B41)+COUNTIF('9月'!AM4:AM34,$B41)+COUNTIF('9月'!AN4:AN34,$B41)+COUNTIF('9月'!AR4:AR34,$B41)+COUNTIF('9月'!AS4:AS34,$B41)+COUNTIF('9月'!AW4:AW34,$B41)+COUNTIF('9月'!AX4:AX34,$B41)+COUNTIF('9月'!BB4:BB34,$B41)+COUNTIF('9月'!BC4:BC34,$B41)+COUNTIF('9月'!BG4:BG34,$B41)+COUNTIF('9月'!BH4:BH34,$B41)+COUNTIF('9月'!BL4:BL34,$B41)+COUNTIF('9月'!BM4:BM34,$B41)+COUNTIF('9月'!BQ4:BQ34,$B41)+COUNTIF('9月'!BR4:BR34,$B41)+COUNTIF('9月'!BV4:BV34,$B41)+COUNTIF('9月'!BW4:BW34,$B41)+COUNTIF('9月'!CA4:CA34,$B41)+COUNTIF('9月'!CB4:CB34,$B41)+COUNTIF('9月'!CF4:CF34,$B41)+COUNTIF('9月'!CG4:CG34,$B41)+COUNTIF('9月'!CK4:CK34,$B41)+COUNTIF('9月'!CL4:CL34,$B41)+COUNTIF('9月'!CP4:CP34,$B41)+COUNTIF('9月'!CQ4:CQ34,$B41)+COUNTIF('9月'!CU4:CU34,$B41)+COUNTIF('9月'!CV4:CV34,$B41)+COUNTIF('9月'!CZ4:CZ34,$B41)+COUNTIF('9月'!DA4:DA34,$B41)+COUNTIF('9月'!DE4:DE34,$B41)+COUNTIF('9月'!DF4:DF34,$B41)+COUNTIF('9月'!DJ4:DJ34,$B41)+COUNTIF('9月'!DK4:DK34,$B41)+COUNTIF('9月'!DO4:DO34,$B41)+COUNTIF('9月'!DP4:DP34,$B41)+COUNTIF('9月'!DT4:DT34,$B41)+COUNTIF('9月'!DU4:DU34,$B41)+COUNTIF('9月'!DY4:DY34,$B41)+COUNTIF('9月'!DZ4:DZ34,$B41)+COUNTIF('9月'!ED4:ED34,$B41)+COUNTIF('9月'!EE4:EE34,$B41)+COUNTIF('9月'!EI4:EI34,$B41)+COUNTIF('9月'!EJ4:EJ34,$B41)+COUNTIF('9月'!EN4:EN34,$B41)+COUNTIF('9月'!EO4:EO34,$B41)+COUNTIF('9月'!ES4:ES34,$B41)+COUNTIF('9月'!ET4:ET34,$B41)),0)</f>
        <v>0</v>
      </c>
      <c r="L41" s="76">
        <f>IFERROR(IF($B41="","",COUNTIF('10月'!D4:D34,$B41)+COUNTIF('10月'!E4:E34,$B41)+COUNTIF('10月'!I4:I34,$B41)+COUNTIF('10月'!J4:J34,$B41)+COUNTIF('10月'!N4:N34,$B41)+COUNTIF('10月'!O4:O34,$B41)+COUNTIF('10月'!S4:S34,$B41)+COUNTIF('10月'!T4:T34,$B41)+COUNTIF('10月'!X4:X34,$B41)+COUNTIF('10月'!Y4:Y34,$B41)+COUNTIF('10月'!AC4:AC34,$B41)+COUNTIF('10月'!AD4:AD34,$B41)+COUNTIF('10月'!AH4:AH34,$B41)+COUNTIF('10月'!AI4:AI34,$B41)+COUNTIF('10月'!AM4:AM34,$B41)+COUNTIF('10月'!AN4:AN34,$B41)+COUNTIF('10月'!AR4:AR34,$B41)+COUNTIF('10月'!AS4:AS34,$B41)+COUNTIF('10月'!AW4:AW34,$B41)+COUNTIF('10月'!AX4:AX34,$B41)+COUNTIF('10月'!BB4:BB34,$B41)+COUNTIF('10月'!BC4:BC34,$B41)+COUNTIF('10月'!BG4:BG34,$B41)+COUNTIF('10月'!BH4:BH34,$B41)+COUNTIF('10月'!BL4:BL34,$B41)+COUNTIF('10月'!BM4:BM34,$B41)+COUNTIF('10月'!BQ4:BQ34,$B41)+COUNTIF('10月'!BR4:BR34,$B41)+COUNTIF('10月'!BV4:BV34,$B41)+COUNTIF('10月'!BW4:BW34,$B41)+COUNTIF('10月'!CA4:CA34,$B41)+COUNTIF('10月'!CB4:CB34,$B41)+COUNTIF('10月'!CF4:CF34,$B41)+COUNTIF('10月'!CG4:CG34,$B41)+COUNTIF('10月'!CK4:CK34,$B41)+COUNTIF('10月'!CL4:CL34,$B41)+COUNTIF('10月'!CP4:CP34,$B41)+COUNTIF('10月'!CQ4:CQ34,$B41)+COUNTIF('10月'!CU4:CU34,$B41)+COUNTIF('10月'!CV4:CV34,$B41)+COUNTIF('10月'!CZ4:CZ34,$B41)+COUNTIF('10月'!DA4:DA34,$B41)+COUNTIF('10月'!DE4:DE34,$B41)+COUNTIF('10月'!DF4:DF34,$B41)+COUNTIF('10月'!DJ4:DJ34,$B41)+COUNTIF('10月'!DK4:DK34,$B41)+COUNTIF('10月'!DO4:DO34,$B41)+COUNTIF('10月'!DP4:DP34,$B41)+COUNTIF('10月'!DT4:DT34,$B41)+COUNTIF('10月'!DU4:DU34,$B41)+COUNTIF('10月'!DY4:DY34,$B41)+COUNTIF('10月'!DZ4:DZ34,$B41)+COUNTIF('10月'!ED4:ED34,$B41)+COUNTIF('10月'!EE4:EE34,$B41)+COUNTIF('10月'!EI4:EI34,$B41)+COUNTIF('10月'!EJ4:EJ34,$B41)+COUNTIF('10月'!EN4:EN34,$B41)+COUNTIF('10月'!EO4:EO34,$B41)+COUNTIF('10月'!ES4:ES34,$B41)+COUNTIF('10月'!ET4:ET34,$B41)),0)</f>
        <v>0</v>
      </c>
      <c r="M41" s="76">
        <f>IFERROR(IF($B41="","",COUNTIF('11月'!D4:D34,$B41)+COUNTIF('11月'!E4:E34,$B41)+COUNTIF('11月'!I4:I34,$B41)+COUNTIF('11月'!J4:J34,$B41)+COUNTIF('11月'!N4:N34,$B41)+COUNTIF('11月'!O4:O34,$B41)+COUNTIF('11月'!S4:S34,$B41)+COUNTIF('11月'!T4:T34,$B41)+COUNTIF('11月'!X4:X34,$B41)+COUNTIF('11月'!Y4:Y34,$B41)+COUNTIF('11月'!AC4:AC34,$B41)+COUNTIF('11月'!AD4:AD34,$B41)+COUNTIF('11月'!AH4:AH34,$B41)+COUNTIF('11月'!AI4:AI34,$B41)+COUNTIF('11月'!AM4:AM34,$B41)+COUNTIF('11月'!AN4:AN34,$B41)+COUNTIF('11月'!AR4:AR34,$B41)+COUNTIF('11月'!AS4:AS34,$B41)+COUNTIF('11月'!AW4:AW34,$B41)+COUNTIF('11月'!AX4:AX34,$B41)+COUNTIF('11月'!BB4:BB34,$B41)+COUNTIF('11月'!BC4:BC34,$B41)+COUNTIF('11月'!BG4:BG34,$B41)+COUNTIF('11月'!BH4:BH34,$B41)+COUNTIF('11月'!BL4:BL34,$B41)+COUNTIF('11月'!BM4:BM34,$B41)+COUNTIF('11月'!BQ4:BQ34,$B41)+COUNTIF('11月'!BR4:BR34,$B41)+COUNTIF('11月'!BV4:BV34,$B41)+COUNTIF('11月'!BW4:BW34,$B41)+COUNTIF('11月'!CA4:CA34,$B41)+COUNTIF('11月'!CB4:CB34,$B41)+COUNTIF('11月'!CF4:CF34,$B41)+COUNTIF('11月'!CG4:CG34,$B41)+COUNTIF('11月'!CK4:CK34,$B41)+COUNTIF('11月'!CL4:CL34,$B41)+COUNTIF('11月'!CP4:CP34,$B41)+COUNTIF('11月'!CQ4:CQ34,$B41)+COUNTIF('11月'!CU4:CU34,$B41)+COUNTIF('11月'!CV4:CV34,$B41)+COUNTIF('11月'!CZ4:CZ34,$B41)+COUNTIF('11月'!DA4:DA34,$B41)+COUNTIF('11月'!DE4:DE34,$B41)+COUNTIF('11月'!DF4:DF34,$B41)+COUNTIF('11月'!DJ4:DJ34,$B41)+COUNTIF('11月'!DK4:DK34,$B41)+COUNTIF('11月'!DO4:DO34,$B41)+COUNTIF('11月'!DP4:DP34,$B41)+COUNTIF('11月'!DT4:DT34,$B41)+COUNTIF('11月'!DU4:DU34,$B41)+COUNTIF('11月'!DY4:DY34,$B41)+COUNTIF('11月'!DZ4:DZ34,$B41)+COUNTIF('11月'!ED4:ED34,$B41)+COUNTIF('11月'!EE4:EE34,$B41)+COUNTIF('11月'!EI4:EI34,$B41)+COUNTIF('11月'!EJ4:EJ34,$B41)+COUNTIF('11月'!EN4:EN34,$B41)+COUNTIF('11月'!EO4:EO34,$B41)+COUNTIF('11月'!ES4:ES34,$B41)+COUNTIF('11月'!ET4:ET34,$B41)),0)</f>
        <v>0</v>
      </c>
      <c r="N41" s="76">
        <f>IFERROR(IF($B41="","",COUNTIF('12月'!D4:D34,$B41)+COUNTIF('12月'!E4:E34,$B41)+COUNTIF('12月'!I4:I34,$B41)+COUNTIF('12月'!J4:J34,$B41)+COUNTIF('12月'!N4:N34,$B41)+COUNTIF('12月'!O4:O34,$B41)+COUNTIF('12月'!S4:S34,$B41)+COUNTIF('12月'!T4:T34,$B41)+COUNTIF('12月'!X4:X34,$B41)+COUNTIF('12月'!Y4:Y34,$B41)+COUNTIF('12月'!AC4:AC34,$B41)+COUNTIF('12月'!AD4:AD34,$B41)+COUNTIF('12月'!AH4:AH34,$B41)+COUNTIF('12月'!AI4:AI34,$B41)+COUNTIF('12月'!AM4:AM34,$B41)+COUNTIF('12月'!AN4:AN34,$B41)+COUNTIF('12月'!AR4:AR34,$B41)+COUNTIF('12月'!AS4:AS34,$B41)+COUNTIF('12月'!AW4:AW34,$B41)+COUNTIF('12月'!AX4:AX34,$B41)+COUNTIF('12月'!BB4:BB34,$B41)+COUNTIF('12月'!BC4:BC34,$B41)+COUNTIF('12月'!BG4:BG34,$B41)+COUNTIF('12月'!BH4:BH34,$B41)+COUNTIF('12月'!BL4:BL34,$B41)+COUNTIF('12月'!BM4:BM34,$B41)+COUNTIF('12月'!BQ4:BQ34,$B41)+COUNTIF('12月'!BR4:BR34,$B41)+COUNTIF('12月'!BV4:BV34,$B41)+COUNTIF('12月'!BW4:BW34,$B41)+COUNTIF('12月'!CA4:CA34,$B41)+COUNTIF('12月'!CB4:CB34,$B41)+COUNTIF('12月'!CF4:CF34,$B41)+COUNTIF('12月'!CG4:CG34,$B41)+COUNTIF('12月'!CK4:CK34,$B41)+COUNTIF('12月'!CL4:CL34,$B41)+COUNTIF('12月'!CP4:CP34,$B41)+COUNTIF('12月'!CQ4:CQ34,$B41)+COUNTIF('12月'!CU4:CU34,$B41)+COUNTIF('12月'!CV4:CV34,$B41)+COUNTIF('12月'!CZ4:CZ34,$B41)+COUNTIF('12月'!DA4:DA34,$B41)+COUNTIF('12月'!DE4:DE34,$B41)+COUNTIF('12月'!DF4:DF34,$B41)+COUNTIF('12月'!DJ4:DJ34,$B41)+COUNTIF('12月'!DK4:DK34,$B41)+COUNTIF('12月'!DO4:DO34,$B41)+COUNTIF('12月'!DP4:DP34,$B41)+COUNTIF('12月'!DT4:DT34,$B41)+COUNTIF('12月'!DU4:DU34,$B41)+COUNTIF('12月'!DY4:DY34,$B41)+COUNTIF('12月'!DZ4:DZ34,$B41)+COUNTIF('12月'!ED4:ED34,$B41)+COUNTIF('12月'!EE4:EE34,$B41)+COUNTIF('12月'!EI4:EI34,$B41)+COUNTIF('12月'!EJ4:EJ34,$B41)+COUNTIF('12月'!EN4:EN34,$B41)+COUNTIF('12月'!EO4:EO34,$B41)+COUNTIF('12月'!ES4:ES34,$B41)+COUNTIF('12月'!ET4:ET34,$B41)),0)</f>
        <v>0</v>
      </c>
      <c r="O41" s="78">
        <f t="shared" si="0"/>
        <v>0</v>
      </c>
    </row>
    <row r="42" spans="1:15" ht="19.5" customHeight="1">
      <c r="A42" s="76">
        <v>40</v>
      </c>
      <c r="B42" s="77">
        <f>IFERROR(現場マスタ!$C$43,"")</f>
        <v>0</v>
      </c>
      <c r="C42" s="76">
        <f>IFERROR(IF($B42="","",COUNTIF('1月'!D4:D34,$B42)+COUNTIF('1月'!E4:E34,$B42)+COUNTIF('1月'!I4:I34,$B42)+COUNTIF('1月'!J4:J34,$B42)+COUNTIF('1月'!N4:N34,$B42)+COUNTIF('1月'!O4:O34,$B42)+COUNTIF('1月'!S4:S34,$B42)+COUNTIF('1月'!T4:T34,$B42)+COUNTIF('1月'!X4:X34,$B42)+COUNTIF('1月'!Y4:Y34,$B42)+COUNTIF('1月'!AC4:AC34,$B42)+COUNTIF('1月'!AD4:AD34,$B42)+COUNTIF('1月'!AH4:AH34,$B42)+COUNTIF('1月'!AI4:AI34,$B42)+COUNTIF('1月'!AM4:AM34,$B42)+COUNTIF('1月'!AN4:AN34,$B42)+COUNTIF('1月'!AR4:AR34,$B42)+COUNTIF('1月'!AS4:AS34,$B42)+COUNTIF('1月'!AW4:AW34,$B42)+COUNTIF('1月'!AX4:AX34,$B42)+COUNTIF('1月'!BB4:BB34,$B42)+COUNTIF('1月'!BC4:BC34,$B42)+COUNTIF('1月'!BG4:BG34,$B42)+COUNTIF('1月'!BH4:BH34,$B42)+COUNTIF('1月'!BL4:BL34,$B42)+COUNTIF('1月'!BM4:BM34,$B42)+COUNTIF('1月'!BQ4:BQ34,$B42)+COUNTIF('1月'!BR4:BR34,$B42)+COUNTIF('1月'!BV4:BV34,$B42)+COUNTIF('1月'!BW4:BW34,$B42)+COUNTIF('1月'!CA4:CA34,$B42)+COUNTIF('1月'!CB4:CB34,$B42)+COUNTIF('1月'!CF4:CF34,$B42)+COUNTIF('1月'!CG4:CG34,$B42)+COUNTIF('1月'!CK4:CK34,$B42)+COUNTIF('1月'!CL4:CL34,$B42)+COUNTIF('1月'!CP4:CP34,$B42)+COUNTIF('1月'!CQ4:CQ34,$B42)+COUNTIF('1月'!CU4:CU34,$B42)+COUNTIF('1月'!CV4:CV34,$B42)+COUNTIF('1月'!CZ4:CZ34,$B42)+COUNTIF('1月'!DA4:DA34,$B42)+COUNTIF('1月'!DE4:DE34,$B42)+COUNTIF('1月'!DF4:DF34,$B42)+COUNTIF('1月'!DJ4:DJ34,$B42)+COUNTIF('1月'!DK4:DK34,$B42)+COUNTIF('1月'!DO4:DO34,$B42)+COUNTIF('1月'!DP4:DP34,$B42)+COUNTIF('1月'!DT4:DT34,$B42)+COUNTIF('1月'!DU4:DU34,$B42)+COUNTIF('1月'!DY4:DY34,$B42)+COUNTIF('1月'!DZ4:DZ34,$B42)+COUNTIF('1月'!ED4:ED34,$B42)+COUNTIF('1月'!EE4:EE34,$B42)+COUNTIF('1月'!EI4:EI34,$B42)+COUNTIF('1月'!EJ4:EJ34,$B42)+COUNTIF('1月'!EN4:EN34,$B42)+COUNTIF('1月'!EO4:EO34,$B42)+COUNTIF('1月'!ES4:ES34,$B42)+COUNTIF('1月'!ET4:ET34,$B42)),0)</f>
        <v>0</v>
      </c>
      <c r="D42" s="76">
        <f>IFERROR(IF($B42="","",COUNTIF('2月'!D4:D34,$B42)+COUNTIF('2月'!E4:E34,$B42)+COUNTIF('2月'!I4:I34,$B42)+COUNTIF('2月'!J4:J34,$B42)+COUNTIF('2月'!N4:N34,$B42)+COUNTIF('2月'!O4:O34,$B42)+COUNTIF('2月'!S4:S34,$B42)+COUNTIF('2月'!T4:T34,$B42)+COUNTIF('2月'!X4:X34,$B42)+COUNTIF('2月'!Y4:Y34,$B42)+COUNTIF('2月'!AC4:AC34,$B42)+COUNTIF('2月'!AD4:AD34,$B42)+COUNTIF('2月'!AH4:AH34,$B42)+COUNTIF('2月'!AI4:AI34,$B42)+COUNTIF('2月'!AM4:AM34,$B42)+COUNTIF('2月'!AN4:AN34,$B42)+COUNTIF('2月'!AR4:AR34,$B42)+COUNTIF('2月'!AS4:AS34,$B42)+COUNTIF('2月'!AW4:AW34,$B42)+COUNTIF('2月'!AX4:AX34,$B42)+COUNTIF('2月'!BB4:BB34,$B42)+COUNTIF('2月'!BC4:BC34,$B42)+COUNTIF('2月'!BG4:BG34,$B42)+COUNTIF('2月'!BH4:BH34,$B42)+COUNTIF('2月'!BL4:BL34,$B42)+COUNTIF('2月'!BM4:BM34,$B42)+COUNTIF('2月'!BQ4:BQ34,$B42)+COUNTIF('2月'!BR4:BR34,$B42)+COUNTIF('2月'!BV4:BV34,$B42)+COUNTIF('2月'!BW4:BW34,$B42)+COUNTIF('2月'!CA4:CA34,$B42)+COUNTIF('2月'!CB4:CB34,$B42)+COUNTIF('2月'!CF4:CF34,$B42)+COUNTIF('2月'!CG4:CG34,$B42)+COUNTIF('2月'!CK4:CK34,$B42)+COUNTIF('2月'!CL4:CL34,$B42)+COUNTIF('2月'!CP4:CP34,$B42)+COUNTIF('2月'!CQ4:CQ34,$B42)+COUNTIF('2月'!CU4:CU34,$B42)+COUNTIF('2月'!CV4:CV34,$B42)+COUNTIF('2月'!CZ4:CZ34,$B42)+COUNTIF('2月'!DA4:DA34,$B42)+COUNTIF('2月'!DE4:DE34,$B42)+COUNTIF('2月'!DF4:DF34,$B42)+COUNTIF('2月'!DJ4:DJ34,$B42)+COUNTIF('2月'!DK4:DK34,$B42)+COUNTIF('2月'!DO4:DO34,$B42)+COUNTIF('2月'!DP4:DP34,$B42)+COUNTIF('2月'!DT4:DT34,$B42)+COUNTIF('2月'!DU4:DU34,$B42)+COUNTIF('2月'!DY4:DY34,$B42)+COUNTIF('2月'!DZ4:DZ34,$B42)+COUNTIF('2月'!ED4:ED34,$B42)+COUNTIF('2月'!EE4:EE34,$B42)+COUNTIF('2月'!EI4:EI34,$B42)+COUNTIF('2月'!EJ4:EJ34,$B42)+COUNTIF('2月'!EN4:EN34,$B42)+COUNTIF('2月'!EO4:EO34,$B42)+COUNTIF('2月'!ES4:ES34,$B42)+COUNTIF('2月'!ET4:ET34,$B42)),0)</f>
        <v>0</v>
      </c>
      <c r="E42" s="76">
        <f>IFERROR(IF($B42="","",COUNTIF('3月'!D4:D34,$B42)+COUNTIF('3月'!E4:E34,$B42)+COUNTIF('3月'!I4:I34,$B42)+COUNTIF('3月'!J4:J34,$B42)+COUNTIF('3月'!N4:N34,$B42)+COUNTIF('3月'!O4:O34,$B42)+COUNTIF('3月'!S4:S34,$B42)+COUNTIF('3月'!T4:T34,$B42)+COUNTIF('3月'!X4:X34,$B42)+COUNTIF('3月'!Y4:Y34,$B42)+COUNTIF('3月'!AC4:AC34,$B42)+COUNTIF('3月'!AD4:AD34,$B42)+COUNTIF('3月'!AH4:AH34,$B42)+COUNTIF('3月'!AI4:AI34,$B42)+COUNTIF('3月'!AM4:AM34,$B42)+COUNTIF('3月'!AN4:AN34,$B42)+COUNTIF('3月'!AR4:AR34,$B42)+COUNTIF('3月'!AS4:AS34,$B42)+COUNTIF('3月'!AW4:AW34,$B42)+COUNTIF('3月'!AX4:AX34,$B42)+COUNTIF('3月'!BB4:BB34,$B42)+COUNTIF('3月'!BC4:BC34,$B42)+COUNTIF('3月'!BG4:BG34,$B42)+COUNTIF('3月'!BH4:BH34,$B42)+COUNTIF('3月'!BL4:BL34,$B42)+COUNTIF('3月'!BM4:BM34,$B42)+COUNTIF('3月'!BQ4:BQ34,$B42)+COUNTIF('3月'!BR4:BR34,$B42)+COUNTIF('3月'!BV4:BV34,$B42)+COUNTIF('3月'!BW4:BW34,$B42)+COUNTIF('3月'!CA4:CA34,$B42)+COUNTIF('3月'!CB4:CB34,$B42)+COUNTIF('3月'!CF4:CF34,$B42)+COUNTIF('3月'!CG4:CG34,$B42)+COUNTIF('3月'!CK4:CK34,$B42)+COUNTIF('3月'!CL4:CL34,$B42)+COUNTIF('3月'!CP4:CP34,$B42)+COUNTIF('3月'!CQ4:CQ34,$B42)+COUNTIF('3月'!CU4:CU34,$B42)+COUNTIF('3月'!CV4:CV34,$B42)+COUNTIF('3月'!CZ4:CZ34,$B42)+COUNTIF('3月'!DA4:DA34,$B42)+COUNTIF('3月'!DE4:DE34,$B42)+COUNTIF('3月'!DF4:DF34,$B42)+COUNTIF('3月'!DJ4:DJ34,$B42)+COUNTIF('3月'!DK4:DK34,$B42)+COUNTIF('3月'!DO4:DO34,$B42)+COUNTIF('3月'!DP4:DP34,$B42)+COUNTIF('3月'!DT4:DT34,$B42)+COUNTIF('3月'!DU4:DU34,$B42)+COUNTIF('3月'!DY4:DY34,$B42)+COUNTIF('3月'!DZ4:DZ34,$B42)+COUNTIF('3月'!ED4:ED34,$B42)+COUNTIF('3月'!EE4:EE34,$B42)+COUNTIF('3月'!EI4:EI34,$B42)+COUNTIF('3月'!EJ4:EJ34,$B42)+COUNTIF('3月'!EN4:EN34,$B42)+COUNTIF('3月'!EO4:EO34,$B42)+COUNTIF('3月'!ES4:ES34,$B42)+COUNTIF('3月'!ET4:ET34,$B42)),0)</f>
        <v>0</v>
      </c>
      <c r="F42" s="76">
        <f>IFERROR(IF($B42="","",COUNTIF('4月'!D4:D34,$B42)+COUNTIF('4月'!E4:E34,$B42)+COUNTIF('4月'!I4:I34,$B42)+COUNTIF('4月'!J4:J34,$B42)+COUNTIF('4月'!N4:N34,$B42)+COUNTIF('4月'!O4:O34,$B42)+COUNTIF('4月'!S4:S34,$B42)+COUNTIF('4月'!T4:T34,$B42)+COUNTIF('4月'!X4:X34,$B42)+COUNTIF('4月'!Y4:Y34,$B42)+COUNTIF('4月'!AC4:AC34,$B42)+COUNTIF('4月'!AD4:AD34,$B42)+COUNTIF('4月'!AH4:AH34,$B42)+COUNTIF('4月'!AI4:AI34,$B42)+COUNTIF('4月'!AM4:AM34,$B42)+COUNTIF('4月'!AN4:AN34,$B42)+COUNTIF('4月'!AR4:AR34,$B42)+COUNTIF('4月'!AS4:AS34,$B42)+COUNTIF('4月'!AW4:AW34,$B42)+COUNTIF('4月'!AX4:AX34,$B42)+COUNTIF('4月'!BB4:BB34,$B42)+COUNTIF('4月'!BC4:BC34,$B42)+COUNTIF('4月'!BG4:BG34,$B42)+COUNTIF('4月'!BH4:BH34,$B42)+COUNTIF('4月'!BL4:BL34,$B42)+COUNTIF('4月'!BM4:BM34,$B42)+COUNTIF('4月'!BQ4:BQ34,$B42)+COUNTIF('4月'!BR4:BR34,$B42)+COUNTIF('4月'!BV4:BV34,$B42)+COUNTIF('4月'!BW4:BW34,$B42)+COUNTIF('4月'!CA4:CA34,$B42)+COUNTIF('4月'!CB4:CB34,$B42)+COUNTIF('4月'!CF4:CF34,$B42)+COUNTIF('4月'!CG4:CG34,$B42)+COUNTIF('4月'!CK4:CK34,$B42)+COUNTIF('4月'!CL4:CL34,$B42)+COUNTIF('4月'!CP4:CP34,$B42)+COUNTIF('4月'!CQ4:CQ34,$B42)+COUNTIF('4月'!CU4:CU34,$B42)+COUNTIF('4月'!CV4:CV34,$B42)+COUNTIF('4月'!CZ4:CZ34,$B42)+COUNTIF('4月'!DA4:DA34,$B42)+COUNTIF('4月'!DE4:DE34,$B42)+COUNTIF('4月'!DF4:DF34,$B42)+COUNTIF('4月'!DJ4:DJ34,$B42)+COUNTIF('4月'!DK4:DK34,$B42)+COUNTIF('4月'!DO4:DO34,$B42)+COUNTIF('4月'!DP4:DP34,$B42)+COUNTIF('4月'!DT4:DT34,$B42)+COUNTIF('4月'!DU4:DU34,$B42)+COUNTIF('4月'!DY4:DY34,$B42)+COUNTIF('4月'!DZ4:DZ34,$B42)+COUNTIF('4月'!ED4:ED34,$B42)+COUNTIF('4月'!EE4:EE34,$B42)+COUNTIF('4月'!EI4:EI34,$B42)+COUNTIF('4月'!EJ4:EJ34,$B42)+COUNTIF('4月'!EN4:EN34,$B42)+COUNTIF('4月'!EO4:EO34,$B42)+COUNTIF('4月'!ES4:ES34,$B42)+COUNTIF('4月'!ET4:ET34,$B42)),0)</f>
        <v>0</v>
      </c>
      <c r="G42" s="76">
        <f>IFERROR(IF($B42="","",COUNTIF('5月'!D4:D34,$B42)+COUNTIF('5月'!E4:E34,$B42)+COUNTIF('5月'!I4:I34,$B42)+COUNTIF('5月'!J4:J34,$B42)+COUNTIF('5月'!N4:N34,$B42)+COUNTIF('5月'!O4:O34,$B42)+COUNTIF('5月'!S4:S34,$B42)+COUNTIF('5月'!T4:T34,$B42)+COUNTIF('5月'!X4:X34,$B42)+COUNTIF('5月'!Y4:Y34,$B42)+COUNTIF('5月'!AC4:AC34,$B42)+COUNTIF('5月'!AD4:AD34,$B42)+COUNTIF('5月'!AH4:AH34,$B42)+COUNTIF('5月'!AI4:AI34,$B42)+COUNTIF('5月'!AM4:AM34,$B42)+COUNTIF('5月'!AN4:AN34,$B42)+COUNTIF('5月'!AR4:AR34,$B42)+COUNTIF('5月'!AS4:AS34,$B42)+COUNTIF('5月'!AW4:AW34,$B42)+COUNTIF('5月'!AX4:AX34,$B42)+COUNTIF('5月'!BB4:BB34,$B42)+COUNTIF('5月'!BC4:BC34,$B42)+COUNTIF('5月'!BG4:BG34,$B42)+COUNTIF('5月'!BH4:BH34,$B42)+COUNTIF('5月'!BL4:BL34,$B42)+COUNTIF('5月'!BM4:BM34,$B42)+COUNTIF('5月'!BQ4:BQ34,$B42)+COUNTIF('5月'!BR4:BR34,$B42)+COUNTIF('5月'!BV4:BV34,$B42)+COUNTIF('5月'!BW4:BW34,$B42)+COUNTIF('5月'!CA4:CA34,$B42)+COUNTIF('5月'!CB4:CB34,$B42)+COUNTIF('5月'!CF4:CF34,$B42)+COUNTIF('5月'!CG4:CG34,$B42)+COUNTIF('5月'!CK4:CK34,$B42)+COUNTIF('5月'!CL4:CL34,$B42)+COUNTIF('5月'!CP4:CP34,$B42)+COUNTIF('5月'!CQ4:CQ34,$B42)+COUNTIF('5月'!CU4:CU34,$B42)+COUNTIF('5月'!CV4:CV34,$B42)+COUNTIF('5月'!CZ4:CZ34,$B42)+COUNTIF('5月'!DA4:DA34,$B42)+COUNTIF('5月'!DE4:DE34,$B42)+COUNTIF('5月'!DF4:DF34,$B42)+COUNTIF('5月'!DJ4:DJ34,$B42)+COUNTIF('5月'!DK4:DK34,$B42)+COUNTIF('5月'!DO4:DO34,$B42)+COUNTIF('5月'!DP4:DP34,$B42)+COUNTIF('5月'!DT4:DT34,$B42)+COUNTIF('5月'!DU4:DU34,$B42)+COUNTIF('5月'!DY4:DY34,$B42)+COUNTIF('5月'!DZ4:DZ34,$B42)+COUNTIF('5月'!ED4:ED34,$B42)+COUNTIF('5月'!EE4:EE34,$B42)+COUNTIF('5月'!EI4:EI34,$B42)+COUNTIF('5月'!EJ4:EJ34,$B42)+COUNTIF('5月'!EN4:EN34,$B42)+COUNTIF('5月'!EO4:EO34,$B42)+COUNTIF('5月'!ES4:ES34,$B42)+COUNTIF('5月'!ET4:ET34,$B42)),0)</f>
        <v>0</v>
      </c>
      <c r="H42" s="76">
        <f>IFERROR(IF($B42="","",COUNTIF('6月'!D4:D34,$B42)+COUNTIF('6月'!E4:E34,$B42)+COUNTIF('6月'!I4:I34,$B42)+COUNTIF('6月'!J4:J34,$B42)+COUNTIF('6月'!N4:N34,$B42)+COUNTIF('6月'!O4:O34,$B42)+COUNTIF('6月'!S4:S34,$B42)+COUNTIF('6月'!T4:T34,$B42)+COUNTIF('6月'!X4:X34,$B42)+COUNTIF('6月'!Y4:Y34,$B42)+COUNTIF('6月'!AC4:AC34,$B42)+COUNTIF('6月'!AD4:AD34,$B42)+COUNTIF('6月'!AH4:AH34,$B42)+COUNTIF('6月'!AI4:AI34,$B42)+COUNTIF('6月'!AM4:AM34,$B42)+COUNTIF('6月'!AN4:AN34,$B42)+COUNTIF('6月'!AR4:AR34,$B42)+COUNTIF('6月'!AS4:AS34,$B42)+COUNTIF('6月'!AW4:AW34,$B42)+COUNTIF('6月'!AX4:AX34,$B42)+COUNTIF('6月'!BB4:BB34,$B42)+COUNTIF('6月'!BC4:BC34,$B42)+COUNTIF('6月'!BG4:BG34,$B42)+COUNTIF('6月'!BH4:BH34,$B42)+COUNTIF('6月'!BL4:BL34,$B42)+COUNTIF('6月'!BM4:BM34,$B42)+COUNTIF('6月'!BQ4:BQ34,$B42)+COUNTIF('6月'!BR4:BR34,$B42)+COUNTIF('6月'!BV4:BV34,$B42)+COUNTIF('6月'!BW4:BW34,$B42)+COUNTIF('6月'!CA4:CA34,$B42)+COUNTIF('6月'!CB4:CB34,$B42)+COUNTIF('6月'!CF4:CF34,$B42)+COUNTIF('6月'!CG4:CG34,$B42)+COUNTIF('6月'!CK4:CK34,$B42)+COUNTIF('6月'!CL4:CL34,$B42)+COUNTIF('6月'!CP4:CP34,$B42)+COUNTIF('6月'!CQ4:CQ34,$B42)+COUNTIF('6月'!CU4:CU34,$B42)+COUNTIF('6月'!CV4:CV34,$B42)+COUNTIF('6月'!CZ4:CZ34,$B42)+COUNTIF('6月'!DA4:DA34,$B42)+COUNTIF('6月'!DE4:DE34,$B42)+COUNTIF('6月'!DF4:DF34,$B42)+COUNTIF('6月'!DJ4:DJ34,$B42)+COUNTIF('6月'!DK4:DK34,$B42)+COUNTIF('6月'!DO4:DO34,$B42)+COUNTIF('6月'!DP4:DP34,$B42)+COUNTIF('6月'!DT4:DT34,$B42)+COUNTIF('6月'!DU4:DU34,$B42)+COUNTIF('6月'!DY4:DY34,$B42)+COUNTIF('6月'!DZ4:DZ34,$B42)+COUNTIF('6月'!ED4:ED34,$B42)+COUNTIF('6月'!EE4:EE34,$B42)+COUNTIF('6月'!EI4:EI34,$B42)+COUNTIF('6月'!EJ4:EJ34,$B42)+COUNTIF('6月'!EN4:EN34,$B42)+COUNTIF('6月'!EO4:EO34,$B42)+COUNTIF('6月'!ES4:ES34,$B42)+COUNTIF('6月'!ET4:ET34,$B42)),0)</f>
        <v>0</v>
      </c>
      <c r="I42" s="76">
        <f>IFERROR(IF($B42="","",COUNTIF('7月'!D4:D34,$B42)+COUNTIF('7月'!E4:E34,$B42)+COUNTIF('7月'!I4:I34,$B42)+COUNTIF('7月'!J4:J34,$B42)+COUNTIF('7月'!N4:N34,$B42)+COUNTIF('7月'!O4:O34,$B42)+COUNTIF('7月'!S4:S34,$B42)+COUNTIF('7月'!T4:T34,$B42)+COUNTIF('7月'!X4:X34,$B42)+COUNTIF('7月'!Y4:Y34,$B42)+COUNTIF('7月'!AC4:AC34,$B42)+COUNTIF('7月'!AD4:AD34,$B42)+COUNTIF('7月'!AH4:AH34,$B42)+COUNTIF('7月'!AI4:AI34,$B42)+COUNTIF('7月'!AM4:AM34,$B42)+COUNTIF('7月'!AN4:AN34,$B42)+COUNTIF('7月'!AR4:AR34,$B42)+COUNTIF('7月'!AS4:AS34,$B42)+COUNTIF('7月'!AW4:AW34,$B42)+COUNTIF('7月'!AX4:AX34,$B42)+COUNTIF('7月'!BB4:BB34,$B42)+COUNTIF('7月'!BC4:BC34,$B42)+COUNTIF('7月'!BG4:BG34,$B42)+COUNTIF('7月'!BH4:BH34,$B42)+COUNTIF('7月'!BL4:BL34,$B42)+COUNTIF('7月'!BM4:BM34,$B42)+COUNTIF('7月'!BQ4:BQ34,$B42)+COUNTIF('7月'!BR4:BR34,$B42)+COUNTIF('7月'!BV4:BV34,$B42)+COUNTIF('7月'!BW4:BW34,$B42)+COUNTIF('7月'!CA4:CA34,$B42)+COUNTIF('7月'!CB4:CB34,$B42)+COUNTIF('7月'!CF4:CF34,$B42)+COUNTIF('7月'!CG4:CG34,$B42)+COUNTIF('7月'!CK4:CK34,$B42)+COUNTIF('7月'!CL4:CL34,$B42)+COUNTIF('7月'!CP4:CP34,$B42)+COUNTIF('7月'!CQ4:CQ34,$B42)+COUNTIF('7月'!CU4:CU34,$B42)+COUNTIF('7月'!CV4:CV34,$B42)+COUNTIF('7月'!CZ4:CZ34,$B42)+COUNTIF('7月'!DA4:DA34,$B42)+COUNTIF('7月'!DE4:DE34,$B42)+COUNTIF('7月'!DF4:DF34,$B42)+COUNTIF('7月'!DJ4:DJ34,$B42)+COUNTIF('7月'!DK4:DK34,$B42)+COUNTIF('7月'!DO4:DO34,$B42)+COUNTIF('7月'!DP4:DP34,$B42)+COUNTIF('7月'!DT4:DT34,$B42)+COUNTIF('7月'!DU4:DU34,$B42)+COUNTIF('7月'!DY4:DY34,$B42)+COUNTIF('7月'!DZ4:DZ34,$B42)+COUNTIF('7月'!ED4:ED34,$B42)+COUNTIF('7月'!EE4:EE34,$B42)+COUNTIF('7月'!EI4:EI34,$B42)+COUNTIF('7月'!EJ4:EJ34,$B42)+COUNTIF('7月'!EN4:EN34,$B42)+COUNTIF('7月'!EO4:EO34,$B42)+COUNTIF('7月'!ES4:ES34,$B42)+COUNTIF('7月'!ET4:ET34,$B42)),0)</f>
        <v>0</v>
      </c>
      <c r="J42" s="76">
        <f>IFERROR(IF($B42="","",COUNTIF('8月'!D4:D34,$B42)+COUNTIF('8月'!E4:E34,$B42)+COUNTIF('8月'!I4:I34,$B42)+COUNTIF('8月'!J4:J34,$B42)+COUNTIF('8月'!N4:N34,$B42)+COUNTIF('8月'!O4:O34,$B42)+COUNTIF('8月'!S4:S34,$B42)+COUNTIF('8月'!T4:T34,$B42)+COUNTIF('8月'!X4:X34,$B42)+COUNTIF('8月'!Y4:Y34,$B42)+COUNTIF('8月'!AC4:AC34,$B42)+COUNTIF('8月'!AD4:AD34,$B42)+COUNTIF('8月'!AH4:AH34,$B42)+COUNTIF('8月'!AI4:AI34,$B42)+COUNTIF('8月'!AM4:AM34,$B42)+COUNTIF('8月'!AN4:AN34,$B42)+COUNTIF('8月'!AR4:AR34,$B42)+COUNTIF('8月'!AS4:AS34,$B42)+COUNTIF('8月'!AW4:AW34,$B42)+COUNTIF('8月'!AX4:AX34,$B42)+COUNTIF('8月'!BB4:BB34,$B42)+COUNTIF('8月'!BC4:BC34,$B42)+COUNTIF('8月'!BG4:BG34,$B42)+COUNTIF('8月'!BH4:BH34,$B42)+COUNTIF('8月'!BL4:BL34,$B42)+COUNTIF('8月'!BM4:BM34,$B42)+COUNTIF('8月'!BQ4:BQ34,$B42)+COUNTIF('8月'!BR4:BR34,$B42)+COUNTIF('8月'!BV4:BV34,$B42)+COUNTIF('8月'!BW4:BW34,$B42)+COUNTIF('8月'!CA4:CA34,$B42)+COUNTIF('8月'!CB4:CB34,$B42)+COUNTIF('8月'!CF4:CF34,$B42)+COUNTIF('8月'!CG4:CG34,$B42)+COUNTIF('8月'!CK4:CK34,$B42)+COUNTIF('8月'!CL4:CL34,$B42)+COUNTIF('8月'!CP4:CP34,$B42)+COUNTIF('8月'!CQ4:CQ34,$B42)+COUNTIF('8月'!CU4:CU34,$B42)+COUNTIF('8月'!CV4:CV34,$B42)+COUNTIF('8月'!CZ4:CZ34,$B42)+COUNTIF('8月'!DA4:DA34,$B42)+COUNTIF('8月'!DE4:DE34,$B42)+COUNTIF('8月'!DF4:DF34,$B42)+COUNTIF('8月'!DJ4:DJ34,$B42)+COUNTIF('8月'!DK4:DK34,$B42)+COUNTIF('8月'!DO4:DO34,$B42)+COUNTIF('8月'!DP4:DP34,$B42)+COUNTIF('8月'!DT4:DT34,$B42)+COUNTIF('8月'!DU4:DU34,$B42)+COUNTIF('8月'!DY4:DY34,$B42)+COUNTIF('8月'!DZ4:DZ34,$B42)+COUNTIF('8月'!ED4:ED34,$B42)+COUNTIF('8月'!EE4:EE34,$B42)+COUNTIF('8月'!EI4:EI34,$B42)+COUNTIF('8月'!EJ4:EJ34,$B42)+COUNTIF('8月'!EN4:EN34,$B42)+COUNTIF('8月'!EO4:EO34,$B42)+COUNTIF('8月'!ES4:ES34,$B42)+COUNTIF('8月'!ET4:ET34,$B42)),0)</f>
        <v>0</v>
      </c>
      <c r="K42" s="76">
        <f>IFERROR(IF($B42="","",COUNTIF('9月'!D4:D34,$B42)+COUNTIF('9月'!E4:E34,$B42)+COUNTIF('9月'!I4:I34,$B42)+COUNTIF('9月'!J4:J34,$B42)+COUNTIF('9月'!N4:N34,$B42)+COUNTIF('9月'!O4:O34,$B42)+COUNTIF('9月'!S4:S34,$B42)+COUNTIF('9月'!T4:T34,$B42)+COUNTIF('9月'!X4:X34,$B42)+COUNTIF('9月'!Y4:Y34,$B42)+COUNTIF('9月'!AC4:AC34,$B42)+COUNTIF('9月'!AD4:AD34,$B42)+COUNTIF('9月'!AH4:AH34,$B42)+COUNTIF('9月'!AI4:AI34,$B42)+COUNTIF('9月'!AM4:AM34,$B42)+COUNTIF('9月'!AN4:AN34,$B42)+COUNTIF('9月'!AR4:AR34,$B42)+COUNTIF('9月'!AS4:AS34,$B42)+COUNTIF('9月'!AW4:AW34,$B42)+COUNTIF('9月'!AX4:AX34,$B42)+COUNTIF('9月'!BB4:BB34,$B42)+COUNTIF('9月'!BC4:BC34,$B42)+COUNTIF('9月'!BG4:BG34,$B42)+COUNTIF('9月'!BH4:BH34,$B42)+COUNTIF('9月'!BL4:BL34,$B42)+COUNTIF('9月'!BM4:BM34,$B42)+COUNTIF('9月'!BQ4:BQ34,$B42)+COUNTIF('9月'!BR4:BR34,$B42)+COUNTIF('9月'!BV4:BV34,$B42)+COUNTIF('9月'!BW4:BW34,$B42)+COUNTIF('9月'!CA4:CA34,$B42)+COUNTIF('9月'!CB4:CB34,$B42)+COUNTIF('9月'!CF4:CF34,$B42)+COUNTIF('9月'!CG4:CG34,$B42)+COUNTIF('9月'!CK4:CK34,$B42)+COUNTIF('9月'!CL4:CL34,$B42)+COUNTIF('9月'!CP4:CP34,$B42)+COUNTIF('9月'!CQ4:CQ34,$B42)+COUNTIF('9月'!CU4:CU34,$B42)+COUNTIF('9月'!CV4:CV34,$B42)+COUNTIF('9月'!CZ4:CZ34,$B42)+COUNTIF('9月'!DA4:DA34,$B42)+COUNTIF('9月'!DE4:DE34,$B42)+COUNTIF('9月'!DF4:DF34,$B42)+COUNTIF('9月'!DJ4:DJ34,$B42)+COUNTIF('9月'!DK4:DK34,$B42)+COUNTIF('9月'!DO4:DO34,$B42)+COUNTIF('9月'!DP4:DP34,$B42)+COUNTIF('9月'!DT4:DT34,$B42)+COUNTIF('9月'!DU4:DU34,$B42)+COUNTIF('9月'!DY4:DY34,$B42)+COUNTIF('9月'!DZ4:DZ34,$B42)+COUNTIF('9月'!ED4:ED34,$B42)+COUNTIF('9月'!EE4:EE34,$B42)+COUNTIF('9月'!EI4:EI34,$B42)+COUNTIF('9月'!EJ4:EJ34,$B42)+COUNTIF('9月'!EN4:EN34,$B42)+COUNTIF('9月'!EO4:EO34,$B42)+COUNTIF('9月'!ES4:ES34,$B42)+COUNTIF('9月'!ET4:ET34,$B42)),0)</f>
        <v>0</v>
      </c>
      <c r="L42" s="76">
        <f>IFERROR(IF($B42="","",COUNTIF('10月'!D4:D34,$B42)+COUNTIF('10月'!E4:E34,$B42)+COUNTIF('10月'!I4:I34,$B42)+COUNTIF('10月'!J4:J34,$B42)+COUNTIF('10月'!N4:N34,$B42)+COUNTIF('10月'!O4:O34,$B42)+COUNTIF('10月'!S4:S34,$B42)+COUNTIF('10月'!T4:T34,$B42)+COUNTIF('10月'!X4:X34,$B42)+COUNTIF('10月'!Y4:Y34,$B42)+COUNTIF('10月'!AC4:AC34,$B42)+COUNTIF('10月'!AD4:AD34,$B42)+COUNTIF('10月'!AH4:AH34,$B42)+COUNTIF('10月'!AI4:AI34,$B42)+COUNTIF('10月'!AM4:AM34,$B42)+COUNTIF('10月'!AN4:AN34,$B42)+COUNTIF('10月'!AR4:AR34,$B42)+COUNTIF('10月'!AS4:AS34,$B42)+COUNTIF('10月'!AW4:AW34,$B42)+COUNTIF('10月'!AX4:AX34,$B42)+COUNTIF('10月'!BB4:BB34,$B42)+COUNTIF('10月'!BC4:BC34,$B42)+COUNTIF('10月'!BG4:BG34,$B42)+COUNTIF('10月'!BH4:BH34,$B42)+COUNTIF('10月'!BL4:BL34,$B42)+COUNTIF('10月'!BM4:BM34,$B42)+COUNTIF('10月'!BQ4:BQ34,$B42)+COUNTIF('10月'!BR4:BR34,$B42)+COUNTIF('10月'!BV4:BV34,$B42)+COUNTIF('10月'!BW4:BW34,$B42)+COUNTIF('10月'!CA4:CA34,$B42)+COUNTIF('10月'!CB4:CB34,$B42)+COUNTIF('10月'!CF4:CF34,$B42)+COUNTIF('10月'!CG4:CG34,$B42)+COUNTIF('10月'!CK4:CK34,$B42)+COUNTIF('10月'!CL4:CL34,$B42)+COUNTIF('10月'!CP4:CP34,$B42)+COUNTIF('10月'!CQ4:CQ34,$B42)+COUNTIF('10月'!CU4:CU34,$B42)+COUNTIF('10月'!CV4:CV34,$B42)+COUNTIF('10月'!CZ4:CZ34,$B42)+COUNTIF('10月'!DA4:DA34,$B42)+COUNTIF('10月'!DE4:DE34,$B42)+COUNTIF('10月'!DF4:DF34,$B42)+COUNTIF('10月'!DJ4:DJ34,$B42)+COUNTIF('10月'!DK4:DK34,$B42)+COUNTIF('10月'!DO4:DO34,$B42)+COUNTIF('10月'!DP4:DP34,$B42)+COUNTIF('10月'!DT4:DT34,$B42)+COUNTIF('10月'!DU4:DU34,$B42)+COUNTIF('10月'!DY4:DY34,$B42)+COUNTIF('10月'!DZ4:DZ34,$B42)+COUNTIF('10月'!ED4:ED34,$B42)+COUNTIF('10月'!EE4:EE34,$B42)+COUNTIF('10月'!EI4:EI34,$B42)+COUNTIF('10月'!EJ4:EJ34,$B42)+COUNTIF('10月'!EN4:EN34,$B42)+COUNTIF('10月'!EO4:EO34,$B42)+COUNTIF('10月'!ES4:ES34,$B42)+COUNTIF('10月'!ET4:ET34,$B42)),0)</f>
        <v>0</v>
      </c>
      <c r="M42" s="76">
        <f>IFERROR(IF($B42="","",COUNTIF('11月'!D4:D34,$B42)+COUNTIF('11月'!E4:E34,$B42)+COUNTIF('11月'!I4:I34,$B42)+COUNTIF('11月'!J4:J34,$B42)+COUNTIF('11月'!N4:N34,$B42)+COUNTIF('11月'!O4:O34,$B42)+COUNTIF('11月'!S4:S34,$B42)+COUNTIF('11月'!T4:T34,$B42)+COUNTIF('11月'!X4:X34,$B42)+COUNTIF('11月'!Y4:Y34,$B42)+COUNTIF('11月'!AC4:AC34,$B42)+COUNTIF('11月'!AD4:AD34,$B42)+COUNTIF('11月'!AH4:AH34,$B42)+COUNTIF('11月'!AI4:AI34,$B42)+COUNTIF('11月'!AM4:AM34,$B42)+COUNTIF('11月'!AN4:AN34,$B42)+COUNTIF('11月'!AR4:AR34,$B42)+COUNTIF('11月'!AS4:AS34,$B42)+COUNTIF('11月'!AW4:AW34,$B42)+COUNTIF('11月'!AX4:AX34,$B42)+COUNTIF('11月'!BB4:BB34,$B42)+COUNTIF('11月'!BC4:BC34,$B42)+COUNTIF('11月'!BG4:BG34,$B42)+COUNTIF('11月'!BH4:BH34,$B42)+COUNTIF('11月'!BL4:BL34,$B42)+COUNTIF('11月'!BM4:BM34,$B42)+COUNTIF('11月'!BQ4:BQ34,$B42)+COUNTIF('11月'!BR4:BR34,$B42)+COUNTIF('11月'!BV4:BV34,$B42)+COUNTIF('11月'!BW4:BW34,$B42)+COUNTIF('11月'!CA4:CA34,$B42)+COUNTIF('11月'!CB4:CB34,$B42)+COUNTIF('11月'!CF4:CF34,$B42)+COUNTIF('11月'!CG4:CG34,$B42)+COUNTIF('11月'!CK4:CK34,$B42)+COUNTIF('11月'!CL4:CL34,$B42)+COUNTIF('11月'!CP4:CP34,$B42)+COUNTIF('11月'!CQ4:CQ34,$B42)+COUNTIF('11月'!CU4:CU34,$B42)+COUNTIF('11月'!CV4:CV34,$B42)+COUNTIF('11月'!CZ4:CZ34,$B42)+COUNTIF('11月'!DA4:DA34,$B42)+COUNTIF('11月'!DE4:DE34,$B42)+COUNTIF('11月'!DF4:DF34,$B42)+COUNTIF('11月'!DJ4:DJ34,$B42)+COUNTIF('11月'!DK4:DK34,$B42)+COUNTIF('11月'!DO4:DO34,$B42)+COUNTIF('11月'!DP4:DP34,$B42)+COUNTIF('11月'!DT4:DT34,$B42)+COUNTIF('11月'!DU4:DU34,$B42)+COUNTIF('11月'!DY4:DY34,$B42)+COUNTIF('11月'!DZ4:DZ34,$B42)+COUNTIF('11月'!ED4:ED34,$B42)+COUNTIF('11月'!EE4:EE34,$B42)+COUNTIF('11月'!EI4:EI34,$B42)+COUNTIF('11月'!EJ4:EJ34,$B42)+COUNTIF('11月'!EN4:EN34,$B42)+COUNTIF('11月'!EO4:EO34,$B42)+COUNTIF('11月'!ES4:ES34,$B42)+COUNTIF('11月'!ET4:ET34,$B42)),0)</f>
        <v>0</v>
      </c>
      <c r="N42" s="76">
        <f>IFERROR(IF($B42="","",COUNTIF('12月'!D4:D34,$B42)+COUNTIF('12月'!E4:E34,$B42)+COUNTIF('12月'!I4:I34,$B42)+COUNTIF('12月'!J4:J34,$B42)+COUNTIF('12月'!N4:N34,$B42)+COUNTIF('12月'!O4:O34,$B42)+COUNTIF('12月'!S4:S34,$B42)+COUNTIF('12月'!T4:T34,$B42)+COUNTIF('12月'!X4:X34,$B42)+COUNTIF('12月'!Y4:Y34,$B42)+COUNTIF('12月'!AC4:AC34,$B42)+COUNTIF('12月'!AD4:AD34,$B42)+COUNTIF('12月'!AH4:AH34,$B42)+COUNTIF('12月'!AI4:AI34,$B42)+COUNTIF('12月'!AM4:AM34,$B42)+COUNTIF('12月'!AN4:AN34,$B42)+COUNTIF('12月'!AR4:AR34,$B42)+COUNTIF('12月'!AS4:AS34,$B42)+COUNTIF('12月'!AW4:AW34,$B42)+COUNTIF('12月'!AX4:AX34,$B42)+COUNTIF('12月'!BB4:BB34,$B42)+COUNTIF('12月'!BC4:BC34,$B42)+COUNTIF('12月'!BG4:BG34,$B42)+COUNTIF('12月'!BH4:BH34,$B42)+COUNTIF('12月'!BL4:BL34,$B42)+COUNTIF('12月'!BM4:BM34,$B42)+COUNTIF('12月'!BQ4:BQ34,$B42)+COUNTIF('12月'!BR4:BR34,$B42)+COUNTIF('12月'!BV4:BV34,$B42)+COUNTIF('12月'!BW4:BW34,$B42)+COUNTIF('12月'!CA4:CA34,$B42)+COUNTIF('12月'!CB4:CB34,$B42)+COUNTIF('12月'!CF4:CF34,$B42)+COUNTIF('12月'!CG4:CG34,$B42)+COUNTIF('12月'!CK4:CK34,$B42)+COUNTIF('12月'!CL4:CL34,$B42)+COUNTIF('12月'!CP4:CP34,$B42)+COUNTIF('12月'!CQ4:CQ34,$B42)+COUNTIF('12月'!CU4:CU34,$B42)+COUNTIF('12月'!CV4:CV34,$B42)+COUNTIF('12月'!CZ4:CZ34,$B42)+COUNTIF('12月'!DA4:DA34,$B42)+COUNTIF('12月'!DE4:DE34,$B42)+COUNTIF('12月'!DF4:DF34,$B42)+COUNTIF('12月'!DJ4:DJ34,$B42)+COUNTIF('12月'!DK4:DK34,$B42)+COUNTIF('12月'!DO4:DO34,$B42)+COUNTIF('12月'!DP4:DP34,$B42)+COUNTIF('12月'!DT4:DT34,$B42)+COUNTIF('12月'!DU4:DU34,$B42)+COUNTIF('12月'!DY4:DY34,$B42)+COUNTIF('12月'!DZ4:DZ34,$B42)+COUNTIF('12月'!ED4:ED34,$B42)+COUNTIF('12月'!EE4:EE34,$B42)+COUNTIF('12月'!EI4:EI34,$B42)+COUNTIF('12月'!EJ4:EJ34,$B42)+COUNTIF('12月'!EN4:EN34,$B42)+COUNTIF('12月'!EO4:EO34,$B42)+COUNTIF('12月'!ES4:ES34,$B42)+COUNTIF('12月'!ET4:ET34,$B42)),0)</f>
        <v>0</v>
      </c>
      <c r="O42" s="78">
        <f t="shared" si="0"/>
        <v>0</v>
      </c>
    </row>
    <row r="43" spans="1:15" ht="24" customHeight="1">
      <c r="A43" s="125"/>
      <c r="B43" s="125"/>
      <c r="C43" s="82">
        <f t="shared" ref="C43:O43" si="1">SUM(C3:C42)</f>
        <v>19</v>
      </c>
      <c r="D43" s="82">
        <f t="shared" si="1"/>
        <v>51</v>
      </c>
      <c r="E43" s="82">
        <f t="shared" si="1"/>
        <v>52</v>
      </c>
      <c r="F43" s="82">
        <f t="shared" si="1"/>
        <v>42</v>
      </c>
      <c r="G43" s="82">
        <f t="shared" si="1"/>
        <v>0</v>
      </c>
      <c r="H43" s="82">
        <f t="shared" si="1"/>
        <v>0</v>
      </c>
      <c r="I43" s="82">
        <f t="shared" si="1"/>
        <v>0</v>
      </c>
      <c r="J43" s="82">
        <f t="shared" si="1"/>
        <v>0</v>
      </c>
      <c r="K43" s="82">
        <f t="shared" si="1"/>
        <v>0</v>
      </c>
      <c r="L43" s="82">
        <f t="shared" si="1"/>
        <v>0</v>
      </c>
      <c r="M43" s="82">
        <f t="shared" si="1"/>
        <v>0</v>
      </c>
      <c r="N43" s="82">
        <f t="shared" si="1"/>
        <v>0</v>
      </c>
      <c r="O43" s="82">
        <f t="shared" si="1"/>
        <v>164</v>
      </c>
    </row>
  </sheetData>
  <mergeCells count="2">
    <mergeCell ref="A1:O1"/>
    <mergeCell ref="A43:B43"/>
  </mergeCells>
  <phoneticPr fontId="51"/>
  <pageMargins left="0.51181102362204722" right="0.51181102362204722" top="0.51181102362204722" bottom="0.51181102362204722" header="0.51181102362204722" footer="0.51181102362204722"/>
  <pageSetup paperSize="9" scale="78" orientation="portrait" horizontalDpi="300" verticalDpi="300" r:id="rId1"/>
  <headerFooter>
    <oddFooter>&amp;C&amp;"ＭＳ Ｐゴシック,標準"制作：有限会社水越設備&amp;Rsp-mizukoshi.jp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E33"/>
  <sheetViews>
    <sheetView topLeftCell="A15" zoomScaleNormal="100" workbookViewId="0">
      <selection activeCell="A9" sqref="A9:H9"/>
    </sheetView>
  </sheetViews>
  <sheetFormatPr defaultColWidth="8.7109375" defaultRowHeight="15"/>
  <cols>
    <col min="1" max="1" width="2" customWidth="1"/>
    <col min="2" max="2" width="8" customWidth="1"/>
    <col min="3" max="3" width="22" customWidth="1"/>
    <col min="4" max="4" width="18" customWidth="1"/>
    <col min="5" max="5" width="30" customWidth="1"/>
  </cols>
  <sheetData>
    <row r="2" spans="2:5" ht="21" customHeight="1">
      <c r="B2" s="90" t="s">
        <v>71</v>
      </c>
      <c r="C2" s="90"/>
      <c r="D2" s="90"/>
      <c r="E2" s="90"/>
    </row>
    <row r="3" spans="2:5" ht="16.5" customHeight="1">
      <c r="B3" s="13" t="s">
        <v>72</v>
      </c>
      <c r="C3" s="14" t="s">
        <v>73</v>
      </c>
      <c r="D3" s="14" t="s">
        <v>74</v>
      </c>
      <c r="E3" s="14" t="s">
        <v>75</v>
      </c>
    </row>
    <row r="4" spans="2:5" ht="15" customHeight="1">
      <c r="B4" s="15">
        <v>1</v>
      </c>
      <c r="C4" s="16" t="s">
        <v>76</v>
      </c>
      <c r="D4" s="16" t="s">
        <v>77</v>
      </c>
      <c r="E4" s="17"/>
    </row>
    <row r="5" spans="2:5" ht="15" customHeight="1">
      <c r="B5" s="18">
        <v>2</v>
      </c>
      <c r="C5" s="19" t="s">
        <v>78</v>
      </c>
      <c r="D5" s="19" t="s">
        <v>79</v>
      </c>
      <c r="E5" s="20"/>
    </row>
    <row r="6" spans="2:5" ht="15" customHeight="1">
      <c r="B6" s="15">
        <v>3</v>
      </c>
      <c r="C6" s="16" t="s">
        <v>80</v>
      </c>
      <c r="D6" s="16" t="s">
        <v>81</v>
      </c>
      <c r="E6" s="17"/>
    </row>
    <row r="7" spans="2:5" ht="15" customHeight="1">
      <c r="B7" s="18">
        <v>4</v>
      </c>
      <c r="C7" s="19" t="s">
        <v>82</v>
      </c>
      <c r="D7" s="19" t="s">
        <v>83</v>
      </c>
      <c r="E7" s="20"/>
    </row>
    <row r="8" spans="2:5" ht="15" customHeight="1">
      <c r="B8" s="15">
        <v>5</v>
      </c>
      <c r="C8" s="16" t="s">
        <v>84</v>
      </c>
      <c r="D8" s="16" t="s">
        <v>85</v>
      </c>
      <c r="E8" s="17"/>
    </row>
    <row r="9" spans="2:5" ht="15" customHeight="1">
      <c r="B9" s="18">
        <v>6</v>
      </c>
      <c r="C9" s="19" t="s">
        <v>86</v>
      </c>
      <c r="D9" s="19" t="s">
        <v>87</v>
      </c>
      <c r="E9" s="20"/>
    </row>
    <row r="10" spans="2:5" ht="15" customHeight="1">
      <c r="B10" s="15">
        <v>7</v>
      </c>
      <c r="C10" s="16" t="s">
        <v>88</v>
      </c>
      <c r="D10" s="16" t="s">
        <v>87</v>
      </c>
      <c r="E10" s="17"/>
    </row>
    <row r="11" spans="2:5" ht="15" customHeight="1">
      <c r="B11" s="18">
        <v>8</v>
      </c>
      <c r="C11" s="19" t="s">
        <v>89</v>
      </c>
      <c r="D11" s="19" t="s">
        <v>87</v>
      </c>
      <c r="E11" s="20"/>
    </row>
    <row r="12" spans="2:5" ht="15" customHeight="1">
      <c r="B12" s="15">
        <v>9</v>
      </c>
      <c r="C12" s="16" t="s">
        <v>90</v>
      </c>
      <c r="D12" s="16" t="s">
        <v>87</v>
      </c>
      <c r="E12" s="17"/>
    </row>
    <row r="13" spans="2:5" ht="15" customHeight="1">
      <c r="B13" s="18">
        <v>10</v>
      </c>
      <c r="C13" s="19" t="s">
        <v>91</v>
      </c>
      <c r="D13" s="19" t="s">
        <v>87</v>
      </c>
      <c r="E13" s="20"/>
    </row>
    <row r="14" spans="2:5" ht="15" customHeight="1">
      <c r="B14" s="15">
        <v>11</v>
      </c>
      <c r="C14" s="16" t="s">
        <v>92</v>
      </c>
      <c r="D14" s="16" t="s">
        <v>87</v>
      </c>
      <c r="E14" s="17"/>
    </row>
    <row r="15" spans="2:5" ht="15" customHeight="1">
      <c r="B15" s="18">
        <v>12</v>
      </c>
      <c r="C15" s="19" t="s">
        <v>93</v>
      </c>
      <c r="D15" s="19" t="s">
        <v>94</v>
      </c>
      <c r="E15" s="20"/>
    </row>
    <row r="16" spans="2:5" ht="15" customHeight="1">
      <c r="B16" s="15">
        <v>13</v>
      </c>
      <c r="C16" s="17"/>
      <c r="D16" s="17"/>
      <c r="E16" s="17"/>
    </row>
    <row r="17" spans="2:5" ht="15" customHeight="1">
      <c r="B17" s="18">
        <v>14</v>
      </c>
      <c r="C17" s="20"/>
      <c r="D17" s="20"/>
      <c r="E17" s="20"/>
    </row>
    <row r="18" spans="2:5" ht="15" customHeight="1">
      <c r="B18" s="15">
        <v>15</v>
      </c>
      <c r="C18" s="17"/>
      <c r="D18" s="17"/>
      <c r="E18" s="17"/>
    </row>
    <row r="19" spans="2:5" ht="15" customHeight="1">
      <c r="B19" s="18">
        <v>16</v>
      </c>
      <c r="C19" s="20"/>
      <c r="D19" s="20"/>
      <c r="E19" s="20"/>
    </row>
    <row r="20" spans="2:5" ht="15" customHeight="1">
      <c r="B20" s="15">
        <v>17</v>
      </c>
      <c r="C20" s="17"/>
      <c r="D20" s="17"/>
      <c r="E20" s="17"/>
    </row>
    <row r="21" spans="2:5" ht="15" customHeight="1">
      <c r="B21" s="18">
        <v>18</v>
      </c>
      <c r="C21" s="20"/>
      <c r="D21" s="20"/>
      <c r="E21" s="20"/>
    </row>
    <row r="22" spans="2:5" ht="15" customHeight="1">
      <c r="B22" s="15">
        <v>19</v>
      </c>
      <c r="C22" s="17"/>
      <c r="D22" s="17"/>
      <c r="E22" s="17"/>
    </row>
    <row r="23" spans="2:5" ht="15" customHeight="1">
      <c r="B23" s="18">
        <v>20</v>
      </c>
      <c r="C23" s="20"/>
      <c r="D23" s="20"/>
      <c r="E23" s="20"/>
    </row>
    <row r="24" spans="2:5" ht="15" customHeight="1">
      <c r="B24" s="15">
        <v>21</v>
      </c>
      <c r="C24" s="17"/>
      <c r="D24" s="17"/>
      <c r="E24" s="17"/>
    </row>
    <row r="25" spans="2:5" ht="15" customHeight="1">
      <c r="B25" s="18">
        <v>22</v>
      </c>
      <c r="C25" s="20"/>
      <c r="D25" s="20"/>
      <c r="E25" s="20"/>
    </row>
    <row r="26" spans="2:5" ht="15" customHeight="1">
      <c r="B26" s="15">
        <v>23</v>
      </c>
      <c r="C26" s="17"/>
      <c r="D26" s="17"/>
      <c r="E26" s="17"/>
    </row>
    <row r="27" spans="2:5" ht="15" customHeight="1">
      <c r="B27" s="18">
        <v>24</v>
      </c>
      <c r="C27" s="20"/>
      <c r="D27" s="20"/>
      <c r="E27" s="20"/>
    </row>
    <row r="28" spans="2:5" ht="15" customHeight="1">
      <c r="B28" s="15">
        <v>25</v>
      </c>
      <c r="C28" s="17"/>
      <c r="D28" s="17"/>
      <c r="E28" s="17"/>
    </row>
    <row r="29" spans="2:5" ht="15" customHeight="1">
      <c r="B29" s="18">
        <v>26</v>
      </c>
      <c r="C29" s="20"/>
      <c r="D29" s="20"/>
      <c r="E29" s="20"/>
    </row>
    <row r="30" spans="2:5" ht="15" customHeight="1">
      <c r="B30" s="15">
        <v>27</v>
      </c>
      <c r="C30" s="17"/>
      <c r="D30" s="17"/>
      <c r="E30" s="17"/>
    </row>
    <row r="31" spans="2:5" ht="15" customHeight="1">
      <c r="B31" s="18">
        <v>28</v>
      </c>
      <c r="C31" s="20"/>
      <c r="D31" s="20"/>
      <c r="E31" s="20"/>
    </row>
    <row r="32" spans="2:5" ht="15" customHeight="1">
      <c r="B32" s="15">
        <v>29</v>
      </c>
      <c r="C32" s="17"/>
      <c r="D32" s="17"/>
      <c r="E32" s="17"/>
    </row>
    <row r="33" spans="2:5" ht="15" customHeight="1">
      <c r="B33" s="18">
        <v>30</v>
      </c>
      <c r="C33" s="20"/>
      <c r="D33" s="20"/>
      <c r="E33" s="20"/>
    </row>
  </sheetData>
  <mergeCells count="1">
    <mergeCell ref="B2:E2"/>
  </mergeCells>
  <phoneticPr fontId="51"/>
  <pageMargins left="0.74803149606299213" right="0.74803149606299213" top="0.98425196850393704" bottom="0.98425196850393704" header="0.51181102362204722" footer="0.51181102362204722"/>
  <pageSetup paperSize="9" orientation="portrait" horizontalDpi="300" verticalDpi="300" r:id="rId1"/>
  <headerFooter>
    <oddFooter>&amp;C&amp;"ＭＳ Ｐゴシック,標準"制作：有限会社水越設備&amp;Rsp-mizukoshi.jp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D43"/>
  <sheetViews>
    <sheetView topLeftCell="A6" zoomScaleNormal="100" workbookViewId="0">
      <selection activeCell="A9" sqref="A9:H9"/>
    </sheetView>
  </sheetViews>
  <sheetFormatPr defaultColWidth="8.7109375" defaultRowHeight="15"/>
  <cols>
    <col min="1" max="1" width="2" customWidth="1"/>
    <col min="2" max="2" width="8" customWidth="1"/>
    <col min="3" max="3" width="25" customWidth="1"/>
    <col min="4" max="4" width="30" customWidth="1"/>
  </cols>
  <sheetData>
    <row r="2" spans="2:4" ht="21" customHeight="1">
      <c r="B2" s="90" t="s">
        <v>95</v>
      </c>
      <c r="C2" s="90"/>
      <c r="D2" s="90"/>
    </row>
    <row r="3" spans="2:4" ht="16.5" customHeight="1">
      <c r="B3" s="13" t="s">
        <v>72</v>
      </c>
      <c r="C3" s="14" t="s">
        <v>96</v>
      </c>
      <c r="D3" s="14" t="s">
        <v>75</v>
      </c>
    </row>
    <row r="4" spans="2:4" ht="15" customHeight="1">
      <c r="B4" s="15">
        <v>1</v>
      </c>
      <c r="C4" s="16" t="s">
        <v>97</v>
      </c>
      <c r="D4" s="17"/>
    </row>
    <row r="5" spans="2:4" ht="15" customHeight="1">
      <c r="B5" s="18">
        <v>2</v>
      </c>
      <c r="C5" s="19" t="s">
        <v>98</v>
      </c>
      <c r="D5" s="20"/>
    </row>
    <row r="6" spans="2:4" ht="15" customHeight="1">
      <c r="B6" s="15">
        <v>3</v>
      </c>
      <c r="C6" s="16" t="s">
        <v>99</v>
      </c>
      <c r="D6" s="17"/>
    </row>
    <row r="7" spans="2:4" ht="15" customHeight="1">
      <c r="B7" s="18">
        <v>4</v>
      </c>
      <c r="C7" s="19" t="s">
        <v>100</v>
      </c>
      <c r="D7" s="20"/>
    </row>
    <row r="8" spans="2:4" ht="15" customHeight="1">
      <c r="B8" s="15">
        <v>5</v>
      </c>
      <c r="C8" s="16" t="s">
        <v>101</v>
      </c>
      <c r="D8" s="17"/>
    </row>
    <row r="9" spans="2:4" ht="15" customHeight="1">
      <c r="B9" s="18">
        <v>6</v>
      </c>
      <c r="C9" s="19" t="s">
        <v>102</v>
      </c>
      <c r="D9" s="20"/>
    </row>
    <row r="10" spans="2:4" ht="15" customHeight="1">
      <c r="B10" s="15">
        <v>7</v>
      </c>
      <c r="C10" s="16" t="s">
        <v>103</v>
      </c>
      <c r="D10" s="17"/>
    </row>
    <row r="11" spans="2:4" ht="15" customHeight="1">
      <c r="B11" s="18">
        <v>8</v>
      </c>
      <c r="C11" s="19" t="s">
        <v>104</v>
      </c>
      <c r="D11" s="20"/>
    </row>
    <row r="12" spans="2:4" ht="15" customHeight="1">
      <c r="B12" s="15">
        <v>9</v>
      </c>
      <c r="C12" s="16" t="s">
        <v>105</v>
      </c>
      <c r="D12" s="17"/>
    </row>
    <row r="13" spans="2:4" ht="15" customHeight="1">
      <c r="B13" s="18">
        <v>10</v>
      </c>
      <c r="C13" s="19" t="s">
        <v>106</v>
      </c>
      <c r="D13" s="20"/>
    </row>
    <row r="14" spans="2:4" ht="15" customHeight="1">
      <c r="B14" s="15">
        <v>11</v>
      </c>
      <c r="C14" s="16" t="s">
        <v>49</v>
      </c>
      <c r="D14" s="17"/>
    </row>
    <row r="15" spans="2:4" ht="15" customHeight="1">
      <c r="B15" s="18">
        <v>12</v>
      </c>
      <c r="C15" s="19" t="s">
        <v>107</v>
      </c>
      <c r="D15" s="20"/>
    </row>
    <row r="16" spans="2:4" ht="15" customHeight="1">
      <c r="B16" s="15">
        <v>13</v>
      </c>
      <c r="C16" s="16"/>
      <c r="D16" s="17"/>
    </row>
    <row r="17" spans="2:4" ht="15" customHeight="1">
      <c r="B17" s="18">
        <v>14</v>
      </c>
      <c r="C17" s="19"/>
      <c r="D17" s="20"/>
    </row>
    <row r="18" spans="2:4" ht="15" customHeight="1">
      <c r="B18" s="15">
        <v>15</v>
      </c>
      <c r="C18" s="16"/>
      <c r="D18" s="17"/>
    </row>
    <row r="19" spans="2:4" ht="15" customHeight="1">
      <c r="B19" s="18">
        <v>16</v>
      </c>
      <c r="C19" s="19"/>
      <c r="D19" s="20"/>
    </row>
    <row r="20" spans="2:4" ht="15" customHeight="1">
      <c r="B20" s="15">
        <v>17</v>
      </c>
      <c r="C20" s="17"/>
      <c r="D20" s="17"/>
    </row>
    <row r="21" spans="2:4" ht="15" customHeight="1">
      <c r="B21" s="18">
        <v>18</v>
      </c>
      <c r="C21" s="20"/>
      <c r="D21" s="20"/>
    </row>
    <row r="22" spans="2:4" ht="15" customHeight="1">
      <c r="B22" s="15">
        <v>19</v>
      </c>
      <c r="C22" s="17"/>
      <c r="D22" s="17"/>
    </row>
    <row r="23" spans="2:4" ht="15" customHeight="1">
      <c r="B23" s="18">
        <v>20</v>
      </c>
      <c r="C23" s="20"/>
      <c r="D23" s="20"/>
    </row>
    <row r="24" spans="2:4" ht="15" customHeight="1">
      <c r="B24" s="15">
        <v>21</v>
      </c>
      <c r="C24" s="17"/>
      <c r="D24" s="17"/>
    </row>
    <row r="25" spans="2:4" ht="15" customHeight="1">
      <c r="B25" s="18">
        <v>22</v>
      </c>
      <c r="C25" s="20"/>
      <c r="D25" s="20"/>
    </row>
    <row r="26" spans="2:4" ht="15" customHeight="1">
      <c r="B26" s="15">
        <v>23</v>
      </c>
      <c r="C26" s="17"/>
      <c r="D26" s="17"/>
    </row>
    <row r="27" spans="2:4" ht="15" customHeight="1">
      <c r="B27" s="18">
        <v>24</v>
      </c>
      <c r="C27" s="20"/>
      <c r="D27" s="20"/>
    </row>
    <row r="28" spans="2:4" ht="15" customHeight="1">
      <c r="B28" s="15">
        <v>25</v>
      </c>
      <c r="C28" s="17"/>
      <c r="D28" s="17"/>
    </row>
    <row r="29" spans="2:4" ht="15" customHeight="1">
      <c r="B29" s="18">
        <v>26</v>
      </c>
      <c r="C29" s="20"/>
      <c r="D29" s="20"/>
    </row>
    <row r="30" spans="2:4" ht="15" customHeight="1">
      <c r="B30" s="15">
        <v>27</v>
      </c>
      <c r="C30" s="17"/>
      <c r="D30" s="17"/>
    </row>
    <row r="31" spans="2:4" ht="15" customHeight="1">
      <c r="B31" s="18">
        <v>28</v>
      </c>
      <c r="C31" s="20"/>
      <c r="D31" s="20"/>
    </row>
    <row r="32" spans="2:4" ht="15" customHeight="1">
      <c r="B32" s="15">
        <v>29</v>
      </c>
      <c r="C32" s="17"/>
      <c r="D32" s="17"/>
    </row>
    <row r="33" spans="2:4" ht="15" customHeight="1">
      <c r="B33" s="18">
        <v>30</v>
      </c>
      <c r="C33" s="20"/>
      <c r="D33" s="20"/>
    </row>
    <row r="34" spans="2:4" ht="15" customHeight="1">
      <c r="B34" s="15">
        <v>31</v>
      </c>
      <c r="C34" s="17"/>
      <c r="D34" s="17"/>
    </row>
    <row r="35" spans="2:4" ht="15" customHeight="1">
      <c r="B35" s="18">
        <v>32</v>
      </c>
      <c r="C35" s="20"/>
      <c r="D35" s="20"/>
    </row>
    <row r="36" spans="2:4" ht="15" customHeight="1">
      <c r="B36" s="15">
        <v>33</v>
      </c>
      <c r="C36" s="17"/>
      <c r="D36" s="17"/>
    </row>
    <row r="37" spans="2:4" ht="15" customHeight="1">
      <c r="B37" s="18">
        <v>34</v>
      </c>
      <c r="C37" s="20"/>
      <c r="D37" s="20"/>
    </row>
    <row r="38" spans="2:4" ht="15" customHeight="1">
      <c r="B38" s="15">
        <v>35</v>
      </c>
      <c r="C38" s="17"/>
      <c r="D38" s="17"/>
    </row>
    <row r="39" spans="2:4" ht="15" customHeight="1">
      <c r="B39" s="18">
        <v>36</v>
      </c>
      <c r="C39" s="20"/>
      <c r="D39" s="20"/>
    </row>
    <row r="40" spans="2:4" ht="15" customHeight="1">
      <c r="B40" s="15">
        <v>37</v>
      </c>
      <c r="C40" s="17"/>
      <c r="D40" s="17"/>
    </row>
    <row r="41" spans="2:4" ht="15" customHeight="1">
      <c r="B41" s="18">
        <v>38</v>
      </c>
      <c r="C41" s="20"/>
      <c r="D41" s="20"/>
    </row>
    <row r="42" spans="2:4" ht="15" customHeight="1">
      <c r="B42" s="15">
        <v>39</v>
      </c>
      <c r="C42" s="17"/>
      <c r="D42" s="17"/>
    </row>
    <row r="43" spans="2:4" ht="15" customHeight="1">
      <c r="B43" s="18">
        <v>40</v>
      </c>
      <c r="C43" s="20"/>
      <c r="D43" s="20"/>
    </row>
  </sheetData>
  <mergeCells count="1">
    <mergeCell ref="B2:D2"/>
  </mergeCells>
  <phoneticPr fontId="51"/>
  <pageMargins left="0.74803149606299213" right="0.74803149606299213" top="0.98425196850393704" bottom="0.98425196850393704" header="0.51181102362204722" footer="0.51181102362204722"/>
  <pageSetup paperSize="9" orientation="portrait" horizontalDpi="300" verticalDpi="300" r:id="rId1"/>
  <headerFooter>
    <oddFooter>&amp;C&amp;"ＭＳ Ｐゴシック,標準"制作：有限会社水越設備&amp;Rsp-mizukoshi.jp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EW40"/>
  <sheetViews>
    <sheetView zoomScaleNormal="100" workbookViewId="0">
      <pane xSplit="3" ySplit="3" topLeftCell="D4" activePane="bottomRight" state="frozen"/>
      <selection pane="topRight" activeCell="D1" sqref="D1"/>
      <selection pane="bottomLeft" activeCell="A4" sqref="A4"/>
      <selection pane="bottomRight" sqref="A1:EW1"/>
    </sheetView>
  </sheetViews>
  <sheetFormatPr defaultColWidth="8.7109375" defaultRowHeight="15"/>
  <cols>
    <col min="1" max="1" width="5" customWidth="1"/>
    <col min="2" max="3" width="4" customWidth="1"/>
    <col min="4" max="5" width="13" customWidth="1"/>
    <col min="6" max="7" width="6" customWidth="1"/>
    <col min="8" max="8" width="7" customWidth="1"/>
    <col min="9" max="10" width="13" customWidth="1"/>
    <col min="11" max="12" width="6" customWidth="1"/>
    <col min="13" max="13" width="7" customWidth="1"/>
    <col min="14" max="15" width="13" customWidth="1"/>
    <col min="16" max="17" width="6" customWidth="1"/>
    <col min="18" max="18" width="7" customWidth="1"/>
    <col min="19" max="20" width="13" customWidth="1"/>
    <col min="21" max="22" width="6" customWidth="1"/>
    <col min="23" max="23" width="7" customWidth="1"/>
    <col min="24" max="25" width="13" customWidth="1"/>
    <col min="26" max="27" width="6" customWidth="1"/>
    <col min="28" max="28" width="7" customWidth="1"/>
    <col min="29" max="30" width="13" customWidth="1"/>
    <col min="31" max="32" width="6" customWidth="1"/>
    <col min="33" max="33" width="7" customWidth="1"/>
    <col min="34" max="35" width="13" customWidth="1"/>
    <col min="36" max="37" width="6" customWidth="1"/>
    <col min="38" max="38" width="7" customWidth="1"/>
    <col min="39" max="40" width="13" customWidth="1"/>
    <col min="41" max="42" width="6" customWidth="1"/>
    <col min="43" max="43" width="7" customWidth="1"/>
    <col min="44" max="45" width="13" customWidth="1"/>
    <col min="46" max="47" width="6" customWidth="1"/>
    <col min="48" max="48" width="7" customWidth="1"/>
    <col min="49" max="50" width="13" customWidth="1"/>
    <col min="51" max="52" width="6" customWidth="1"/>
    <col min="53" max="53" width="7" customWidth="1"/>
    <col min="54" max="55" width="13" customWidth="1"/>
    <col min="56" max="57" width="6" customWidth="1"/>
    <col min="58" max="58" width="7" customWidth="1"/>
    <col min="59" max="60" width="13" customWidth="1"/>
    <col min="61" max="62" width="6" customWidth="1"/>
    <col min="63" max="63" width="7" customWidth="1"/>
    <col min="64" max="65" width="13" customWidth="1"/>
    <col min="66" max="67" width="6" customWidth="1"/>
    <col min="68" max="68" width="7" customWidth="1"/>
    <col min="69" max="70" width="13" customWidth="1"/>
    <col min="71" max="72" width="6" customWidth="1"/>
    <col min="73" max="73" width="7" customWidth="1"/>
    <col min="74" max="75" width="13" customWidth="1"/>
    <col min="76" max="77" width="6" customWidth="1"/>
    <col min="78" max="78" width="7" customWidth="1"/>
    <col min="79" max="80" width="13" customWidth="1"/>
    <col min="81" max="82" width="6" customWidth="1"/>
    <col min="83" max="83" width="7" customWidth="1"/>
    <col min="84" max="85" width="13" customWidth="1"/>
    <col min="86" max="87" width="6" customWidth="1"/>
    <col min="88" max="88" width="7" customWidth="1"/>
    <col min="89" max="90" width="13" customWidth="1"/>
    <col min="91" max="92" width="6" customWidth="1"/>
    <col min="93" max="93" width="7" customWidth="1"/>
    <col min="94" max="95" width="13" customWidth="1"/>
    <col min="96" max="97" width="6" customWidth="1"/>
    <col min="98" max="98" width="7" customWidth="1"/>
    <col min="99" max="100" width="13" customWidth="1"/>
    <col min="101" max="102" width="6" customWidth="1"/>
    <col min="103" max="103" width="7" customWidth="1"/>
    <col min="104" max="105" width="13" customWidth="1"/>
    <col min="106" max="107" width="6" customWidth="1"/>
    <col min="108" max="108" width="7" customWidth="1"/>
    <col min="109" max="110" width="13" customWidth="1"/>
    <col min="111" max="112" width="6" customWidth="1"/>
    <col min="113" max="113" width="7" customWidth="1"/>
    <col min="114" max="115" width="13" customWidth="1"/>
    <col min="116" max="117" width="6" customWidth="1"/>
    <col min="118" max="118" width="7" customWidth="1"/>
    <col min="119" max="120" width="13" customWidth="1"/>
    <col min="121" max="122" width="6" customWidth="1"/>
    <col min="123" max="123" width="7" customWidth="1"/>
    <col min="124" max="125" width="13" customWidth="1"/>
    <col min="126" max="127" width="6" customWidth="1"/>
    <col min="128" max="128" width="7" customWidth="1"/>
    <col min="129" max="130" width="13" customWidth="1"/>
    <col min="131" max="132" width="6" customWidth="1"/>
    <col min="133" max="133" width="7" customWidth="1"/>
    <col min="134" max="135" width="13" customWidth="1"/>
    <col min="136" max="137" width="6" customWidth="1"/>
    <col min="138" max="138" width="7" customWidth="1"/>
    <col min="139" max="140" width="13" customWidth="1"/>
    <col min="141" max="142" width="6" customWidth="1"/>
    <col min="143" max="143" width="7" customWidth="1"/>
    <col min="144" max="145" width="13" customWidth="1"/>
    <col min="146" max="147" width="6" customWidth="1"/>
    <col min="148" max="148" width="7" customWidth="1"/>
    <col min="149" max="150" width="13" customWidth="1"/>
    <col min="151" max="152" width="6" customWidth="1"/>
    <col min="153" max="153" width="7" customWidth="1"/>
  </cols>
  <sheetData>
    <row r="1" spans="1:153" ht="36" customHeight="1">
      <c r="A1" s="96" t="str">
        <f>" "&amp;対象年度&amp;"年 1月分　出面表　"</f>
        <v xml:space="preserve"> 2026年 1月分　出面表　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Y1" s="96"/>
      <c r="BZ1" s="96"/>
      <c r="CA1" s="96"/>
      <c r="CB1" s="96"/>
      <c r="CC1" s="96"/>
      <c r="CD1" s="96"/>
      <c r="CE1" s="96"/>
      <c r="CF1" s="96"/>
      <c r="CG1" s="96"/>
      <c r="CH1" s="96"/>
      <c r="CI1" s="96"/>
      <c r="CJ1" s="96"/>
      <c r="CK1" s="96"/>
      <c r="CL1" s="96"/>
      <c r="CM1" s="96"/>
      <c r="CN1" s="96"/>
      <c r="CO1" s="96"/>
      <c r="CP1" s="96"/>
      <c r="CQ1" s="96"/>
      <c r="CR1" s="96"/>
      <c r="CS1" s="96"/>
      <c r="CT1" s="96"/>
      <c r="CU1" s="96"/>
      <c r="CV1" s="96"/>
      <c r="CW1" s="96"/>
      <c r="CX1" s="96"/>
      <c r="CY1" s="96"/>
      <c r="CZ1" s="96"/>
      <c r="DA1" s="96"/>
      <c r="DB1" s="96"/>
      <c r="DC1" s="96"/>
      <c r="DD1" s="96"/>
      <c r="DE1" s="96"/>
      <c r="DF1" s="96"/>
      <c r="DG1" s="96"/>
      <c r="DH1" s="96"/>
      <c r="DI1" s="96"/>
      <c r="DJ1" s="96"/>
      <c r="DK1" s="96"/>
      <c r="DL1" s="96"/>
      <c r="DM1" s="96"/>
      <c r="DN1" s="96"/>
      <c r="DO1" s="96"/>
      <c r="DP1" s="96"/>
      <c r="DQ1" s="96"/>
      <c r="DR1" s="96"/>
      <c r="DS1" s="96"/>
      <c r="DT1" s="96"/>
      <c r="DU1" s="96"/>
      <c r="DV1" s="96"/>
      <c r="DW1" s="96"/>
      <c r="DX1" s="96"/>
      <c r="DY1" s="96"/>
      <c r="DZ1" s="96"/>
      <c r="EA1" s="96"/>
      <c r="EB1" s="96"/>
      <c r="EC1" s="96"/>
      <c r="ED1" s="96"/>
      <c r="EE1" s="96"/>
      <c r="EF1" s="96"/>
      <c r="EG1" s="96"/>
      <c r="EH1" s="96"/>
      <c r="EI1" s="96"/>
      <c r="EJ1" s="96"/>
      <c r="EK1" s="96"/>
      <c r="EL1" s="96"/>
      <c r="EM1" s="96"/>
      <c r="EN1" s="96"/>
      <c r="EO1" s="96"/>
      <c r="EP1" s="96"/>
      <c r="EQ1" s="96"/>
      <c r="ER1" s="96"/>
      <c r="ES1" s="96"/>
      <c r="ET1" s="96"/>
      <c r="EU1" s="96"/>
      <c r="EV1" s="96"/>
      <c r="EW1" s="96"/>
    </row>
    <row r="2" spans="1:153" ht="25.5" customHeight="1">
      <c r="A2" s="21"/>
      <c r="B2" s="21"/>
      <c r="C2" s="21"/>
      <c r="D2" s="97" t="str">
        <f>IFERROR(IF(従業員マスタ!$C$4="","",対象年度&amp;"年1月　"&amp;従業員マスタ!$C$4),"")</f>
        <v>2026年1月　代表 太郎</v>
      </c>
      <c r="E2" s="97"/>
      <c r="F2" s="97"/>
      <c r="G2" s="97"/>
      <c r="H2" s="97"/>
      <c r="I2" s="97" t="str">
        <f>IFERROR(IF(従業員マスタ!$C$5="","",対象年度&amp;"年1月　"&amp;従業員マスタ!$C$5),"")</f>
        <v>2026年1月　専務 次郎</v>
      </c>
      <c r="J2" s="97"/>
      <c r="K2" s="97"/>
      <c r="L2" s="97"/>
      <c r="M2" s="97"/>
      <c r="N2" s="97" t="str">
        <f>IFERROR(IF(従業員マスタ!$C$6="","",対象年度&amp;"年1月　"&amp;従業員マスタ!$C$6),"")</f>
        <v>2026年1月　山田 一郎</v>
      </c>
      <c r="O2" s="97"/>
      <c r="P2" s="97"/>
      <c r="Q2" s="97"/>
      <c r="R2" s="97"/>
      <c r="S2" s="97" t="str">
        <f>IFERROR(IF(従業員マスタ!$C$7="","",対象年度&amp;"年1月　"&amp;従業員マスタ!$C$7),"")</f>
        <v>2026年1月　鈴木 二郎</v>
      </c>
      <c r="T2" s="97"/>
      <c r="U2" s="97"/>
      <c r="V2" s="97"/>
      <c r="W2" s="97"/>
      <c r="X2" s="97" t="str">
        <f>IFERROR(IF(従業員マスタ!$C$8="","",対象年度&amp;"年1月　"&amp;従業員マスタ!$C$8),"")</f>
        <v>2026年1月　佐藤 三郎</v>
      </c>
      <c r="Y2" s="97"/>
      <c r="Z2" s="97"/>
      <c r="AA2" s="97"/>
      <c r="AB2" s="97"/>
      <c r="AC2" s="97" t="str">
        <f>IFERROR(IF(従業員マスタ!$C$9="","",対象年度&amp;"年1月　"&amp;従業員マスタ!$C$9),"")</f>
        <v>2026年1月　高橋 四郎</v>
      </c>
      <c r="AD2" s="97"/>
      <c r="AE2" s="97"/>
      <c r="AF2" s="97"/>
      <c r="AG2" s="97"/>
      <c r="AH2" s="97" t="str">
        <f>IFERROR(IF(従業員マスタ!$C$10="","",対象年度&amp;"年1月　"&amp;従業員マスタ!$C$10),"")</f>
        <v>2026年1月　田中 五郎</v>
      </c>
      <c r="AI2" s="97"/>
      <c r="AJ2" s="97"/>
      <c r="AK2" s="97"/>
      <c r="AL2" s="97"/>
      <c r="AM2" s="97" t="str">
        <f>IFERROR(IF(従業員マスタ!$C$11="","",対象年度&amp;"年1月　"&amp;従業員マスタ!$C$11),"")</f>
        <v>2026年1月　伊藤 六郎</v>
      </c>
      <c r="AN2" s="97"/>
      <c r="AO2" s="97"/>
      <c r="AP2" s="97"/>
      <c r="AQ2" s="97"/>
      <c r="AR2" s="97" t="str">
        <f>IFERROR(IF(従業員マスタ!$C$12="","",対象年度&amp;"年1月　"&amp;従業員マスタ!$C$12),"")</f>
        <v>2026年1月　渡辺 七郎</v>
      </c>
      <c r="AS2" s="97"/>
      <c r="AT2" s="97"/>
      <c r="AU2" s="97"/>
      <c r="AV2" s="97"/>
      <c r="AW2" s="97" t="str">
        <f>IFERROR(IF(従業員マスタ!$C$13="","",対象年度&amp;"年1月　"&amp;従業員マスタ!$C$13),"")</f>
        <v>2026年1月　中村 八郎</v>
      </c>
      <c r="AX2" s="97"/>
      <c r="AY2" s="97"/>
      <c r="AZ2" s="97"/>
      <c r="BA2" s="97"/>
      <c r="BB2" s="97" t="str">
        <f>IFERROR(IF(従業員マスタ!$C$14="","",対象年度&amp;"年1月　"&amp;従業員マスタ!$C$14),"")</f>
        <v>2026年1月　小林 九郎</v>
      </c>
      <c r="BC2" s="97"/>
      <c r="BD2" s="97"/>
      <c r="BE2" s="97"/>
      <c r="BF2" s="97"/>
      <c r="BG2" s="97" t="str">
        <f>IFERROR(IF(従業員マスタ!$C$15="","",対象年度&amp;"年1月　"&amp;従業員マスタ!$C$15),"")</f>
        <v>2026年1月　加藤 十郎</v>
      </c>
      <c r="BH2" s="97"/>
      <c r="BI2" s="97"/>
      <c r="BJ2" s="97"/>
      <c r="BK2" s="97"/>
      <c r="BL2" s="97" t="str">
        <f>IFERROR(IF(従業員マスタ!$C$16="","",対象年度&amp;"年1月　"&amp;従業員マスタ!$C$16),"")</f>
        <v/>
      </c>
      <c r="BM2" s="97"/>
      <c r="BN2" s="97"/>
      <c r="BO2" s="97"/>
      <c r="BP2" s="97"/>
      <c r="BQ2" s="97" t="str">
        <f>IFERROR(IF(従業員マスタ!$C$17="","",対象年度&amp;"年1月　"&amp;従業員マスタ!$C$17),"")</f>
        <v/>
      </c>
      <c r="BR2" s="97"/>
      <c r="BS2" s="97"/>
      <c r="BT2" s="97"/>
      <c r="BU2" s="97"/>
      <c r="BV2" s="97" t="str">
        <f>IFERROR(IF(従業員マスタ!$C$18="","",対象年度&amp;"年1月　"&amp;従業員マスタ!$C$18),"")</f>
        <v/>
      </c>
      <c r="BW2" s="97"/>
      <c r="BX2" s="97"/>
      <c r="BY2" s="97"/>
      <c r="BZ2" s="97"/>
      <c r="CA2" s="97" t="str">
        <f>IFERROR(IF(従業員マスタ!$C$19="","",対象年度&amp;"年1月　"&amp;従業員マスタ!$C$19),"")</f>
        <v/>
      </c>
      <c r="CB2" s="97"/>
      <c r="CC2" s="97"/>
      <c r="CD2" s="97"/>
      <c r="CE2" s="97"/>
      <c r="CF2" s="97" t="str">
        <f>IFERROR(IF(従業員マスタ!$C$20="","",対象年度&amp;"年1月　"&amp;従業員マスタ!$C$20),"")</f>
        <v/>
      </c>
      <c r="CG2" s="97"/>
      <c r="CH2" s="97"/>
      <c r="CI2" s="97"/>
      <c r="CJ2" s="97"/>
      <c r="CK2" s="97" t="str">
        <f>IFERROR(IF(従業員マスタ!$C$21="","",対象年度&amp;"年1月　"&amp;従業員マスタ!$C$21),"")</f>
        <v/>
      </c>
      <c r="CL2" s="97"/>
      <c r="CM2" s="97"/>
      <c r="CN2" s="97"/>
      <c r="CO2" s="97"/>
      <c r="CP2" s="97" t="str">
        <f>IFERROR(IF(従業員マスタ!$C$22="","",対象年度&amp;"年1月　"&amp;従業員マスタ!$C$22),"")</f>
        <v/>
      </c>
      <c r="CQ2" s="97"/>
      <c r="CR2" s="97"/>
      <c r="CS2" s="97"/>
      <c r="CT2" s="97"/>
      <c r="CU2" s="97" t="str">
        <f>IFERROR(IF(従業員マスタ!$C$23="","",対象年度&amp;"年1月　"&amp;従業員マスタ!$C$23),"")</f>
        <v/>
      </c>
      <c r="CV2" s="97"/>
      <c r="CW2" s="97"/>
      <c r="CX2" s="97"/>
      <c r="CY2" s="97"/>
      <c r="CZ2" s="97" t="str">
        <f>IFERROR(IF(従業員マスタ!$C$24="","",対象年度&amp;"年1月　"&amp;従業員マスタ!$C$24),"")</f>
        <v/>
      </c>
      <c r="DA2" s="97"/>
      <c r="DB2" s="97"/>
      <c r="DC2" s="97"/>
      <c r="DD2" s="97"/>
      <c r="DE2" s="97" t="str">
        <f>IFERROR(IF(従業員マスタ!$C$25="","",対象年度&amp;"年1月　"&amp;従業員マスタ!$C$25),"")</f>
        <v/>
      </c>
      <c r="DF2" s="97"/>
      <c r="DG2" s="97"/>
      <c r="DH2" s="97"/>
      <c r="DI2" s="97"/>
      <c r="DJ2" s="97" t="str">
        <f>IFERROR(IF(従業員マスタ!$C$26="","",対象年度&amp;"年1月　"&amp;従業員マスタ!$C$26),"")</f>
        <v/>
      </c>
      <c r="DK2" s="97"/>
      <c r="DL2" s="97"/>
      <c r="DM2" s="97"/>
      <c r="DN2" s="97"/>
      <c r="DO2" s="97" t="str">
        <f>IFERROR(IF(従業員マスタ!$C$27="","",対象年度&amp;"年1月　"&amp;従業員マスタ!$C$27),"")</f>
        <v/>
      </c>
      <c r="DP2" s="97"/>
      <c r="DQ2" s="97"/>
      <c r="DR2" s="97"/>
      <c r="DS2" s="97"/>
      <c r="DT2" s="97" t="str">
        <f>IFERROR(IF(従業員マスタ!$C$28="","",対象年度&amp;"年1月　"&amp;従業員マスタ!$C$28),"")</f>
        <v/>
      </c>
      <c r="DU2" s="97"/>
      <c r="DV2" s="97"/>
      <c r="DW2" s="97"/>
      <c r="DX2" s="97"/>
      <c r="DY2" s="97" t="str">
        <f>IFERROR(IF(従業員マスタ!$C$29="","",対象年度&amp;"年1月　"&amp;従業員マスタ!$C$29),"")</f>
        <v/>
      </c>
      <c r="DZ2" s="97"/>
      <c r="EA2" s="97"/>
      <c r="EB2" s="97"/>
      <c r="EC2" s="97"/>
      <c r="ED2" s="97" t="str">
        <f>IFERROR(IF(従業員マスタ!$C$30="","",対象年度&amp;"年1月　"&amp;従業員マスタ!$C$30),"")</f>
        <v/>
      </c>
      <c r="EE2" s="97"/>
      <c r="EF2" s="97"/>
      <c r="EG2" s="97"/>
      <c r="EH2" s="97"/>
      <c r="EI2" s="97" t="str">
        <f>IFERROR(IF(従業員マスタ!$C$31="","",対象年度&amp;"年1月　"&amp;従業員マスタ!$C$31),"")</f>
        <v/>
      </c>
      <c r="EJ2" s="97"/>
      <c r="EK2" s="97"/>
      <c r="EL2" s="97"/>
      <c r="EM2" s="97"/>
      <c r="EN2" s="97" t="str">
        <f>IFERROR(IF(従業員マスタ!$C$32="","",対象年度&amp;"年1月　"&amp;従業員マスタ!$C$32),"")</f>
        <v/>
      </c>
      <c r="EO2" s="97"/>
      <c r="EP2" s="97"/>
      <c r="EQ2" s="97"/>
      <c r="ER2" s="97"/>
      <c r="ES2" s="97" t="str">
        <f>IFERROR(IF(従業員マスタ!$C$33="","",対象年度&amp;"年1月　"&amp;従業員マスタ!$C$33),"")</f>
        <v/>
      </c>
      <c r="ET2" s="97"/>
      <c r="EU2" s="97"/>
      <c r="EV2" s="97"/>
      <c r="EW2" s="97"/>
    </row>
    <row r="3" spans="1:153" ht="24" customHeight="1">
      <c r="A3" s="22" t="s">
        <v>108</v>
      </c>
      <c r="B3" s="22" t="s">
        <v>109</v>
      </c>
      <c r="C3" s="22" t="s">
        <v>110</v>
      </c>
      <c r="D3" s="23" t="s">
        <v>111</v>
      </c>
      <c r="E3" s="24" t="s">
        <v>112</v>
      </c>
      <c r="F3" s="22" t="s">
        <v>113</v>
      </c>
      <c r="G3" s="22" t="s">
        <v>114</v>
      </c>
      <c r="H3" s="25" t="s">
        <v>115</v>
      </c>
      <c r="I3" s="23" t="s">
        <v>111</v>
      </c>
      <c r="J3" s="24" t="s">
        <v>112</v>
      </c>
      <c r="K3" s="22" t="s">
        <v>113</v>
      </c>
      <c r="L3" s="22" t="s">
        <v>114</v>
      </c>
      <c r="M3" s="25" t="s">
        <v>115</v>
      </c>
      <c r="N3" s="23" t="s">
        <v>111</v>
      </c>
      <c r="O3" s="24" t="s">
        <v>112</v>
      </c>
      <c r="P3" s="22" t="s">
        <v>113</v>
      </c>
      <c r="Q3" s="22" t="s">
        <v>114</v>
      </c>
      <c r="R3" s="25" t="s">
        <v>115</v>
      </c>
      <c r="S3" s="23" t="s">
        <v>111</v>
      </c>
      <c r="T3" s="24" t="s">
        <v>112</v>
      </c>
      <c r="U3" s="22" t="s">
        <v>113</v>
      </c>
      <c r="V3" s="22" t="s">
        <v>114</v>
      </c>
      <c r="W3" s="25" t="s">
        <v>115</v>
      </c>
      <c r="X3" s="23" t="s">
        <v>111</v>
      </c>
      <c r="Y3" s="24" t="s">
        <v>112</v>
      </c>
      <c r="Z3" s="22" t="s">
        <v>113</v>
      </c>
      <c r="AA3" s="22" t="s">
        <v>114</v>
      </c>
      <c r="AB3" s="25" t="s">
        <v>115</v>
      </c>
      <c r="AC3" s="23" t="s">
        <v>111</v>
      </c>
      <c r="AD3" s="24" t="s">
        <v>112</v>
      </c>
      <c r="AE3" s="22" t="s">
        <v>113</v>
      </c>
      <c r="AF3" s="22" t="s">
        <v>114</v>
      </c>
      <c r="AG3" s="25" t="s">
        <v>115</v>
      </c>
      <c r="AH3" s="23" t="s">
        <v>111</v>
      </c>
      <c r="AI3" s="24" t="s">
        <v>112</v>
      </c>
      <c r="AJ3" s="22" t="s">
        <v>113</v>
      </c>
      <c r="AK3" s="22" t="s">
        <v>114</v>
      </c>
      <c r="AL3" s="25" t="s">
        <v>115</v>
      </c>
      <c r="AM3" s="23" t="s">
        <v>111</v>
      </c>
      <c r="AN3" s="24" t="s">
        <v>112</v>
      </c>
      <c r="AO3" s="22" t="s">
        <v>113</v>
      </c>
      <c r="AP3" s="22" t="s">
        <v>114</v>
      </c>
      <c r="AQ3" s="25" t="s">
        <v>115</v>
      </c>
      <c r="AR3" s="23" t="s">
        <v>111</v>
      </c>
      <c r="AS3" s="24" t="s">
        <v>112</v>
      </c>
      <c r="AT3" s="22" t="s">
        <v>113</v>
      </c>
      <c r="AU3" s="22" t="s">
        <v>114</v>
      </c>
      <c r="AV3" s="25" t="s">
        <v>115</v>
      </c>
      <c r="AW3" s="23" t="s">
        <v>111</v>
      </c>
      <c r="AX3" s="24" t="s">
        <v>112</v>
      </c>
      <c r="AY3" s="22" t="s">
        <v>113</v>
      </c>
      <c r="AZ3" s="22" t="s">
        <v>114</v>
      </c>
      <c r="BA3" s="25" t="s">
        <v>115</v>
      </c>
      <c r="BB3" s="23" t="s">
        <v>111</v>
      </c>
      <c r="BC3" s="24" t="s">
        <v>112</v>
      </c>
      <c r="BD3" s="22" t="s">
        <v>113</v>
      </c>
      <c r="BE3" s="22" t="s">
        <v>114</v>
      </c>
      <c r="BF3" s="25" t="s">
        <v>115</v>
      </c>
      <c r="BG3" s="23" t="s">
        <v>111</v>
      </c>
      <c r="BH3" s="24" t="s">
        <v>112</v>
      </c>
      <c r="BI3" s="22" t="s">
        <v>113</v>
      </c>
      <c r="BJ3" s="22" t="s">
        <v>114</v>
      </c>
      <c r="BK3" s="25" t="s">
        <v>115</v>
      </c>
      <c r="BL3" s="23" t="s">
        <v>111</v>
      </c>
      <c r="BM3" s="24" t="s">
        <v>112</v>
      </c>
      <c r="BN3" s="22" t="s">
        <v>113</v>
      </c>
      <c r="BO3" s="22" t="s">
        <v>114</v>
      </c>
      <c r="BP3" s="25" t="s">
        <v>115</v>
      </c>
      <c r="BQ3" s="23" t="s">
        <v>111</v>
      </c>
      <c r="BR3" s="24" t="s">
        <v>112</v>
      </c>
      <c r="BS3" s="22" t="s">
        <v>113</v>
      </c>
      <c r="BT3" s="22" t="s">
        <v>114</v>
      </c>
      <c r="BU3" s="25" t="s">
        <v>115</v>
      </c>
      <c r="BV3" s="23" t="s">
        <v>111</v>
      </c>
      <c r="BW3" s="24" t="s">
        <v>112</v>
      </c>
      <c r="BX3" s="22" t="s">
        <v>113</v>
      </c>
      <c r="BY3" s="22" t="s">
        <v>114</v>
      </c>
      <c r="BZ3" s="25" t="s">
        <v>115</v>
      </c>
      <c r="CA3" s="23" t="s">
        <v>111</v>
      </c>
      <c r="CB3" s="24" t="s">
        <v>112</v>
      </c>
      <c r="CC3" s="22" t="s">
        <v>113</v>
      </c>
      <c r="CD3" s="22" t="s">
        <v>114</v>
      </c>
      <c r="CE3" s="25" t="s">
        <v>115</v>
      </c>
      <c r="CF3" s="23" t="s">
        <v>111</v>
      </c>
      <c r="CG3" s="24" t="s">
        <v>112</v>
      </c>
      <c r="CH3" s="22" t="s">
        <v>113</v>
      </c>
      <c r="CI3" s="22" t="s">
        <v>114</v>
      </c>
      <c r="CJ3" s="25" t="s">
        <v>115</v>
      </c>
      <c r="CK3" s="23" t="s">
        <v>111</v>
      </c>
      <c r="CL3" s="24" t="s">
        <v>112</v>
      </c>
      <c r="CM3" s="22" t="s">
        <v>113</v>
      </c>
      <c r="CN3" s="22" t="s">
        <v>114</v>
      </c>
      <c r="CO3" s="25" t="s">
        <v>115</v>
      </c>
      <c r="CP3" s="23" t="s">
        <v>111</v>
      </c>
      <c r="CQ3" s="24" t="s">
        <v>112</v>
      </c>
      <c r="CR3" s="22" t="s">
        <v>113</v>
      </c>
      <c r="CS3" s="22" t="s">
        <v>114</v>
      </c>
      <c r="CT3" s="25" t="s">
        <v>115</v>
      </c>
      <c r="CU3" s="23" t="s">
        <v>111</v>
      </c>
      <c r="CV3" s="24" t="s">
        <v>112</v>
      </c>
      <c r="CW3" s="22" t="s">
        <v>113</v>
      </c>
      <c r="CX3" s="22" t="s">
        <v>114</v>
      </c>
      <c r="CY3" s="25" t="s">
        <v>115</v>
      </c>
      <c r="CZ3" s="23" t="s">
        <v>111</v>
      </c>
      <c r="DA3" s="24" t="s">
        <v>112</v>
      </c>
      <c r="DB3" s="22" t="s">
        <v>113</v>
      </c>
      <c r="DC3" s="22" t="s">
        <v>114</v>
      </c>
      <c r="DD3" s="25" t="s">
        <v>115</v>
      </c>
      <c r="DE3" s="23" t="s">
        <v>111</v>
      </c>
      <c r="DF3" s="24" t="s">
        <v>112</v>
      </c>
      <c r="DG3" s="22" t="s">
        <v>113</v>
      </c>
      <c r="DH3" s="22" t="s">
        <v>114</v>
      </c>
      <c r="DI3" s="25" t="s">
        <v>115</v>
      </c>
      <c r="DJ3" s="23" t="s">
        <v>111</v>
      </c>
      <c r="DK3" s="24" t="s">
        <v>112</v>
      </c>
      <c r="DL3" s="22" t="s">
        <v>113</v>
      </c>
      <c r="DM3" s="22" t="s">
        <v>114</v>
      </c>
      <c r="DN3" s="25" t="s">
        <v>115</v>
      </c>
      <c r="DO3" s="23" t="s">
        <v>111</v>
      </c>
      <c r="DP3" s="24" t="s">
        <v>112</v>
      </c>
      <c r="DQ3" s="22" t="s">
        <v>113</v>
      </c>
      <c r="DR3" s="22" t="s">
        <v>114</v>
      </c>
      <c r="DS3" s="25" t="s">
        <v>115</v>
      </c>
      <c r="DT3" s="23" t="s">
        <v>111</v>
      </c>
      <c r="DU3" s="24" t="s">
        <v>112</v>
      </c>
      <c r="DV3" s="22" t="s">
        <v>113</v>
      </c>
      <c r="DW3" s="22" t="s">
        <v>114</v>
      </c>
      <c r="DX3" s="25" t="s">
        <v>115</v>
      </c>
      <c r="DY3" s="23" t="s">
        <v>111</v>
      </c>
      <c r="DZ3" s="24" t="s">
        <v>112</v>
      </c>
      <c r="EA3" s="22" t="s">
        <v>113</v>
      </c>
      <c r="EB3" s="22" t="s">
        <v>114</v>
      </c>
      <c r="EC3" s="25" t="s">
        <v>115</v>
      </c>
      <c r="ED3" s="23" t="s">
        <v>111</v>
      </c>
      <c r="EE3" s="24" t="s">
        <v>112</v>
      </c>
      <c r="EF3" s="22" t="s">
        <v>113</v>
      </c>
      <c r="EG3" s="22" t="s">
        <v>114</v>
      </c>
      <c r="EH3" s="25" t="s">
        <v>115</v>
      </c>
      <c r="EI3" s="23" t="s">
        <v>111</v>
      </c>
      <c r="EJ3" s="24" t="s">
        <v>112</v>
      </c>
      <c r="EK3" s="22" t="s">
        <v>113</v>
      </c>
      <c r="EL3" s="22" t="s">
        <v>114</v>
      </c>
      <c r="EM3" s="25" t="s">
        <v>115</v>
      </c>
      <c r="EN3" s="23" t="s">
        <v>111</v>
      </c>
      <c r="EO3" s="24" t="s">
        <v>112</v>
      </c>
      <c r="EP3" s="22" t="s">
        <v>113</v>
      </c>
      <c r="EQ3" s="22" t="s">
        <v>114</v>
      </c>
      <c r="ER3" s="25" t="s">
        <v>115</v>
      </c>
      <c r="ES3" s="23" t="s">
        <v>111</v>
      </c>
      <c r="ET3" s="24" t="s">
        <v>112</v>
      </c>
      <c r="EU3" s="22" t="s">
        <v>113</v>
      </c>
      <c r="EV3" s="22" t="s">
        <v>114</v>
      </c>
      <c r="EW3" s="25" t="s">
        <v>115</v>
      </c>
    </row>
    <row r="4" spans="1:153" ht="19.5" customHeight="1">
      <c r="A4" s="26">
        <f>IF(DAY(DATE(対象年度,1,1))&lt;&gt;1,"",1)</f>
        <v>1</v>
      </c>
      <c r="B4" s="26" t="str">
        <f>IF(DAY(DATE(対象年度,1,1))&lt;&gt;1,"",CHOOSE(WEEKDAY(DATE(対象年度,1,1),2),"月","火","水","木","金","土","日"))</f>
        <v>木</v>
      </c>
      <c r="C4" s="26" t="str">
        <f>IF(DAY(DATE(対象年度,1,1))&lt;&gt;1,"",IF(ISNUMBER(MATCH(DATE(対象年度,1,1),祝日リスト,0)),"祝",""))</f>
        <v>祝</v>
      </c>
      <c r="D4" s="27"/>
      <c r="E4" s="28"/>
      <c r="F4" s="29" t="str">
        <f t="shared" ref="F4:F34" si="0">IF(D4="","",IF(ISNUMBER(SEARCH("夜勤",D4)),"",IF(A4="","","○")))</f>
        <v/>
      </c>
      <c r="G4" s="30" t="str">
        <f t="shared" ref="G4:G34" si="1">IF(A4="","",IF(OR(AND(E4&lt;&gt;"",NOT(OR(E4="有給",E4="休業"))),ISNUMBER(SEARCH("夜勤",D4))),"○",""))</f>
        <v/>
      </c>
      <c r="H4" s="31"/>
      <c r="I4" s="27"/>
      <c r="J4" s="28"/>
      <c r="K4" s="29" t="str">
        <f t="shared" ref="K4:K34" si="2">IF(I4="","",IF(ISNUMBER(SEARCH("夜勤",I4)),"",IF(A4="","","○")))</f>
        <v/>
      </c>
      <c r="L4" s="30" t="str">
        <f t="shared" ref="L4:L34" si="3">IF(A4="","",IF(OR(AND(J4&lt;&gt;"",NOT(OR(J4="有給",J4="休業"))),ISNUMBER(SEARCH("夜勤",I4))),"○",""))</f>
        <v/>
      </c>
      <c r="M4" s="31"/>
      <c r="N4" s="27"/>
      <c r="O4" s="28"/>
      <c r="P4" s="29" t="str">
        <f t="shared" ref="P4:P34" si="4">IF(N4="","",IF(ISNUMBER(SEARCH("夜勤",N4)),"",IF(A4="","","○")))</f>
        <v/>
      </c>
      <c r="Q4" s="30" t="str">
        <f t="shared" ref="Q4:Q34" si="5">IF(A4="","",IF(OR(AND(O4&lt;&gt;"",NOT(OR(O4="有給",O4="休業"))),ISNUMBER(SEARCH("夜勤",N4))),"○",""))</f>
        <v/>
      </c>
      <c r="R4" s="31"/>
      <c r="S4" s="27"/>
      <c r="T4" s="28"/>
      <c r="U4" s="29" t="str">
        <f t="shared" ref="U4:U34" si="6">IF(S4="","",IF(ISNUMBER(SEARCH("夜勤",S4)),"",IF(A4="","","○")))</f>
        <v/>
      </c>
      <c r="V4" s="30" t="str">
        <f t="shared" ref="V4:V34" si="7">IF(A4="","",IF(OR(AND(T4&lt;&gt;"",NOT(OR(T4="有給",T4="休業"))),ISNUMBER(SEARCH("夜勤",S4))),"○",""))</f>
        <v/>
      </c>
      <c r="W4" s="31"/>
      <c r="X4" s="27"/>
      <c r="Y4" s="28"/>
      <c r="Z4" s="29" t="str">
        <f t="shared" ref="Z4:Z34" si="8">IF(X4="","",IF(ISNUMBER(SEARCH("夜勤",X4)),"",IF(A4="","","○")))</f>
        <v/>
      </c>
      <c r="AA4" s="30" t="str">
        <f t="shared" ref="AA4:AA34" si="9">IF(A4="","",IF(OR(AND(Y4&lt;&gt;"",NOT(OR(Y4="有給",Y4="休業"))),ISNUMBER(SEARCH("夜勤",X4))),"○",""))</f>
        <v/>
      </c>
      <c r="AB4" s="31"/>
      <c r="AC4" s="27"/>
      <c r="AD4" s="28"/>
      <c r="AE4" s="29" t="str">
        <f t="shared" ref="AE4:AE34" si="10">IF(AC4="","",IF(ISNUMBER(SEARCH("夜勤",AC4)),"",IF(A4="","","○")))</f>
        <v/>
      </c>
      <c r="AF4" s="30" t="str">
        <f t="shared" ref="AF4:AF34" si="11">IF(A4="","",IF(OR(AND(AD4&lt;&gt;"",NOT(OR(AD4="有給",AD4="休業"))),ISNUMBER(SEARCH("夜勤",AC4))),"○",""))</f>
        <v/>
      </c>
      <c r="AG4" s="31"/>
      <c r="AH4" s="27"/>
      <c r="AI4" s="28"/>
      <c r="AJ4" s="29" t="str">
        <f t="shared" ref="AJ4:AJ34" si="12">IF(AH4="","",IF(ISNUMBER(SEARCH("夜勤",AH4)),"",IF(A4="","","○")))</f>
        <v/>
      </c>
      <c r="AK4" s="30" t="str">
        <f t="shared" ref="AK4:AK34" si="13">IF(A4="","",IF(OR(AND(AI4&lt;&gt;"",NOT(OR(AI4="有給",AI4="休業"))),ISNUMBER(SEARCH("夜勤",AH4))),"○",""))</f>
        <v/>
      </c>
      <c r="AL4" s="31"/>
      <c r="AM4" s="27"/>
      <c r="AN4" s="28"/>
      <c r="AO4" s="29" t="str">
        <f t="shared" ref="AO4:AO34" si="14">IF(AM4="","",IF(ISNUMBER(SEARCH("夜勤",AM4)),"",IF(A4="","","○")))</f>
        <v/>
      </c>
      <c r="AP4" s="30" t="str">
        <f t="shared" ref="AP4:AP34" si="15">IF(A4="","",IF(OR(AND(AN4&lt;&gt;"",NOT(OR(AN4="有給",AN4="休業"))),ISNUMBER(SEARCH("夜勤",AM4))),"○",""))</f>
        <v/>
      </c>
      <c r="AQ4" s="31"/>
      <c r="AR4" s="27"/>
      <c r="AS4" s="28"/>
      <c r="AT4" s="29" t="str">
        <f t="shared" ref="AT4:AT34" si="16">IF(AR4="","",IF(ISNUMBER(SEARCH("夜勤",AR4)),"",IF(A4="","","○")))</f>
        <v/>
      </c>
      <c r="AU4" s="30" t="str">
        <f t="shared" ref="AU4:AU34" si="17">IF(A4="","",IF(OR(AND(AS4&lt;&gt;"",NOT(OR(AS4="有給",AS4="休業"))),ISNUMBER(SEARCH("夜勤",AR4))),"○",""))</f>
        <v/>
      </c>
      <c r="AV4" s="31"/>
      <c r="AW4" s="27"/>
      <c r="AX4" s="28"/>
      <c r="AY4" s="29" t="str">
        <f t="shared" ref="AY4:AY34" si="18">IF(AW4="","",IF(ISNUMBER(SEARCH("夜勤",AW4)),"",IF(A4="","","○")))</f>
        <v/>
      </c>
      <c r="AZ4" s="30" t="str">
        <f t="shared" ref="AZ4:AZ34" si="19">IF(A4="","",IF(OR(AND(AX4&lt;&gt;"",NOT(OR(AX4="有給",AX4="休業"))),ISNUMBER(SEARCH("夜勤",AW4))),"○",""))</f>
        <v/>
      </c>
      <c r="BA4" s="31"/>
      <c r="BB4" s="27"/>
      <c r="BC4" s="28"/>
      <c r="BD4" s="29" t="str">
        <f t="shared" ref="BD4:BD34" si="20">IF(BB4="","",IF(ISNUMBER(SEARCH("夜勤",BB4)),"",IF(A4="","","○")))</f>
        <v/>
      </c>
      <c r="BE4" s="30" t="str">
        <f t="shared" ref="BE4:BE34" si="21">IF(A4="","",IF(OR(AND(BC4&lt;&gt;"",NOT(OR(BC4="有給",BC4="休業"))),ISNUMBER(SEARCH("夜勤",BB4))),"○",""))</f>
        <v/>
      </c>
      <c r="BF4" s="31"/>
      <c r="BG4" s="27"/>
      <c r="BH4" s="28"/>
      <c r="BI4" s="29" t="str">
        <f t="shared" ref="BI4:BI34" si="22">IF(BG4="","",IF(ISNUMBER(SEARCH("夜勤",BG4)),"",IF(A4="","","○")))</f>
        <v/>
      </c>
      <c r="BJ4" s="30" t="str">
        <f t="shared" ref="BJ4:BJ34" si="23">IF(A4="","",IF(OR(AND(BH4&lt;&gt;"",NOT(OR(BH4="有給",BH4="休業"))),ISNUMBER(SEARCH("夜勤",BG4))),"○",""))</f>
        <v/>
      </c>
      <c r="BK4" s="31"/>
      <c r="BL4" s="27"/>
      <c r="BM4" s="28"/>
      <c r="BN4" s="29" t="str">
        <f t="shared" ref="BN4:BN34" si="24">IF(BL4="","",IF(ISNUMBER(SEARCH("夜勤",BL4)),"",IF(A4="","","○")))</f>
        <v/>
      </c>
      <c r="BO4" s="30" t="str">
        <f t="shared" ref="BO4:BO34" si="25">IF(A4="","",IF(OR(AND(BM4&lt;&gt;"",NOT(OR(BM4="有給",BM4="休業"))),ISNUMBER(SEARCH("夜勤",BL4))),"○",""))</f>
        <v/>
      </c>
      <c r="BP4" s="31"/>
      <c r="BQ4" s="27"/>
      <c r="BR4" s="28"/>
      <c r="BS4" s="29" t="str">
        <f t="shared" ref="BS4:BS34" si="26">IF(BQ4="","",IF(ISNUMBER(SEARCH("夜勤",BQ4)),"",IF(A4="","","○")))</f>
        <v/>
      </c>
      <c r="BT4" s="30" t="str">
        <f t="shared" ref="BT4:BT34" si="27">IF(A4="","",IF(OR(AND(BR4&lt;&gt;"",NOT(OR(BR4="有給",BR4="休業"))),ISNUMBER(SEARCH("夜勤",BQ4))),"○",""))</f>
        <v/>
      </c>
      <c r="BU4" s="31"/>
      <c r="BV4" s="27"/>
      <c r="BW4" s="28"/>
      <c r="BX4" s="29" t="str">
        <f t="shared" ref="BX4:BX34" si="28">IF(BV4="","",IF(ISNUMBER(SEARCH("夜勤",BV4)),"",IF(A4="","","○")))</f>
        <v/>
      </c>
      <c r="BY4" s="30" t="str">
        <f t="shared" ref="BY4:BY34" si="29">IF(A4="","",IF(OR(AND(BW4&lt;&gt;"",NOT(OR(BW4="有給",BW4="休業"))),ISNUMBER(SEARCH("夜勤",BV4))),"○",""))</f>
        <v/>
      </c>
      <c r="BZ4" s="31"/>
      <c r="CA4" s="27"/>
      <c r="CB4" s="28"/>
      <c r="CC4" s="29" t="str">
        <f t="shared" ref="CC4:CC34" si="30">IF(CA4="","",IF(ISNUMBER(SEARCH("夜勤",CA4)),"",IF(A4="","","○")))</f>
        <v/>
      </c>
      <c r="CD4" s="30" t="str">
        <f t="shared" ref="CD4:CD34" si="31">IF(A4="","",IF(OR(AND(CB4&lt;&gt;"",NOT(OR(CB4="有給",CB4="休業"))),ISNUMBER(SEARCH("夜勤",CA4))),"○",""))</f>
        <v/>
      </c>
      <c r="CE4" s="31"/>
      <c r="CF4" s="27"/>
      <c r="CG4" s="28"/>
      <c r="CH4" s="29" t="str">
        <f t="shared" ref="CH4:CH34" si="32">IF(CF4="","",IF(ISNUMBER(SEARCH("夜勤",CF4)),"",IF(A4="","","○")))</f>
        <v/>
      </c>
      <c r="CI4" s="30" t="str">
        <f t="shared" ref="CI4:CI34" si="33">IF(A4="","",IF(OR(AND(CG4&lt;&gt;"",NOT(OR(CG4="有給",CG4="休業"))),ISNUMBER(SEARCH("夜勤",CF4))),"○",""))</f>
        <v/>
      </c>
      <c r="CJ4" s="31"/>
      <c r="CK4" s="27"/>
      <c r="CL4" s="28"/>
      <c r="CM4" s="29" t="str">
        <f t="shared" ref="CM4:CM34" si="34">IF(CK4="","",IF(ISNUMBER(SEARCH("夜勤",CK4)),"",IF(A4="","","○")))</f>
        <v/>
      </c>
      <c r="CN4" s="30" t="str">
        <f t="shared" ref="CN4:CN34" si="35">IF(A4="","",IF(OR(AND(CL4&lt;&gt;"",NOT(OR(CL4="有給",CL4="休業"))),ISNUMBER(SEARCH("夜勤",CK4))),"○",""))</f>
        <v/>
      </c>
      <c r="CO4" s="31"/>
      <c r="CP4" s="27"/>
      <c r="CQ4" s="28"/>
      <c r="CR4" s="29" t="str">
        <f t="shared" ref="CR4:CR34" si="36">IF(CP4="","",IF(ISNUMBER(SEARCH("夜勤",CP4)),"",IF(A4="","","○")))</f>
        <v/>
      </c>
      <c r="CS4" s="30" t="str">
        <f t="shared" ref="CS4:CS34" si="37">IF(A4="","",IF(OR(AND(CQ4&lt;&gt;"",NOT(OR(CQ4="有給",CQ4="休業"))),ISNUMBER(SEARCH("夜勤",CP4))),"○",""))</f>
        <v/>
      </c>
      <c r="CT4" s="31"/>
      <c r="CU4" s="27"/>
      <c r="CV4" s="28"/>
      <c r="CW4" s="29" t="str">
        <f t="shared" ref="CW4:CW34" si="38">IF(CU4="","",IF(ISNUMBER(SEARCH("夜勤",CU4)),"",IF(A4="","","○")))</f>
        <v/>
      </c>
      <c r="CX4" s="30" t="str">
        <f t="shared" ref="CX4:CX34" si="39">IF(A4="","",IF(OR(AND(CV4&lt;&gt;"",NOT(OR(CV4="有給",CV4="休業"))),ISNUMBER(SEARCH("夜勤",CU4))),"○",""))</f>
        <v/>
      </c>
      <c r="CY4" s="31"/>
      <c r="CZ4" s="27"/>
      <c r="DA4" s="28"/>
      <c r="DB4" s="29" t="str">
        <f t="shared" ref="DB4:DB34" si="40">IF(CZ4="","",IF(ISNUMBER(SEARCH("夜勤",CZ4)),"",IF(A4="","","○")))</f>
        <v/>
      </c>
      <c r="DC4" s="30" t="str">
        <f t="shared" ref="DC4:DC34" si="41">IF(A4="","",IF(OR(AND(DA4&lt;&gt;"",NOT(OR(DA4="有給",DA4="休業"))),ISNUMBER(SEARCH("夜勤",CZ4))),"○",""))</f>
        <v/>
      </c>
      <c r="DD4" s="31"/>
      <c r="DE4" s="27"/>
      <c r="DF4" s="28"/>
      <c r="DG4" s="29" t="str">
        <f t="shared" ref="DG4:DG34" si="42">IF(DE4="","",IF(ISNUMBER(SEARCH("夜勤",DE4)),"",IF(A4="","","○")))</f>
        <v/>
      </c>
      <c r="DH4" s="30" t="str">
        <f t="shared" ref="DH4:DH34" si="43">IF(A4="","",IF(OR(AND(DF4&lt;&gt;"",NOT(OR(DF4="有給",DF4="休業"))),ISNUMBER(SEARCH("夜勤",DE4))),"○",""))</f>
        <v/>
      </c>
      <c r="DI4" s="31"/>
      <c r="DJ4" s="27"/>
      <c r="DK4" s="28"/>
      <c r="DL4" s="29" t="str">
        <f t="shared" ref="DL4:DL34" si="44">IF(DJ4="","",IF(ISNUMBER(SEARCH("夜勤",DJ4)),"",IF(A4="","","○")))</f>
        <v/>
      </c>
      <c r="DM4" s="30" t="str">
        <f t="shared" ref="DM4:DM34" si="45">IF(A4="","",IF(OR(AND(DK4&lt;&gt;"",NOT(OR(DK4="有給",DK4="休業"))),ISNUMBER(SEARCH("夜勤",DJ4))),"○",""))</f>
        <v/>
      </c>
      <c r="DN4" s="31"/>
      <c r="DO4" s="27"/>
      <c r="DP4" s="28"/>
      <c r="DQ4" s="29" t="str">
        <f t="shared" ref="DQ4:DQ34" si="46">IF(DO4="","",IF(ISNUMBER(SEARCH("夜勤",DO4)),"",IF(A4="","","○")))</f>
        <v/>
      </c>
      <c r="DR4" s="30" t="str">
        <f t="shared" ref="DR4:DR34" si="47">IF(A4="","",IF(OR(AND(DP4&lt;&gt;"",NOT(OR(DP4="有給",DP4="休業"))),ISNUMBER(SEARCH("夜勤",DO4))),"○",""))</f>
        <v/>
      </c>
      <c r="DS4" s="31"/>
      <c r="DT4" s="27"/>
      <c r="DU4" s="28"/>
      <c r="DV4" s="29" t="str">
        <f t="shared" ref="DV4:DV34" si="48">IF(DT4="","",IF(ISNUMBER(SEARCH("夜勤",DT4)),"",IF(A4="","","○")))</f>
        <v/>
      </c>
      <c r="DW4" s="30" t="str">
        <f t="shared" ref="DW4:DW34" si="49">IF(A4="","",IF(OR(AND(DU4&lt;&gt;"",NOT(OR(DU4="有給",DU4="休業"))),ISNUMBER(SEARCH("夜勤",DT4))),"○",""))</f>
        <v/>
      </c>
      <c r="DX4" s="31"/>
      <c r="DY4" s="27"/>
      <c r="DZ4" s="28"/>
      <c r="EA4" s="29" t="str">
        <f t="shared" ref="EA4:EA34" si="50">IF(DY4="","",IF(ISNUMBER(SEARCH("夜勤",DY4)),"",IF(A4="","","○")))</f>
        <v/>
      </c>
      <c r="EB4" s="30" t="str">
        <f t="shared" ref="EB4:EB34" si="51">IF(A4="","",IF(OR(AND(DZ4&lt;&gt;"",NOT(OR(DZ4="有給",DZ4="休業"))),ISNUMBER(SEARCH("夜勤",DY4))),"○",""))</f>
        <v/>
      </c>
      <c r="EC4" s="31"/>
      <c r="ED4" s="27"/>
      <c r="EE4" s="28"/>
      <c r="EF4" s="29" t="str">
        <f t="shared" ref="EF4:EF34" si="52">IF(ED4="","",IF(ISNUMBER(SEARCH("夜勤",ED4)),"",IF(A4="","","○")))</f>
        <v/>
      </c>
      <c r="EG4" s="30" t="str">
        <f t="shared" ref="EG4:EG34" si="53">IF(A4="","",IF(OR(AND(EE4&lt;&gt;"",NOT(OR(EE4="有給",EE4="休業"))),ISNUMBER(SEARCH("夜勤",ED4))),"○",""))</f>
        <v/>
      </c>
      <c r="EH4" s="31"/>
      <c r="EI4" s="27"/>
      <c r="EJ4" s="28"/>
      <c r="EK4" s="29" t="str">
        <f t="shared" ref="EK4:EK34" si="54">IF(EI4="","",IF(ISNUMBER(SEARCH("夜勤",EI4)),"",IF(A4="","","○")))</f>
        <v/>
      </c>
      <c r="EL4" s="30" t="str">
        <f t="shared" ref="EL4:EL34" si="55">IF(A4="","",IF(OR(AND(EJ4&lt;&gt;"",NOT(OR(EJ4="有給",EJ4="休業"))),ISNUMBER(SEARCH("夜勤",EI4))),"○",""))</f>
        <v/>
      </c>
      <c r="EM4" s="31"/>
      <c r="EN4" s="27"/>
      <c r="EO4" s="28"/>
      <c r="EP4" s="29" t="str">
        <f t="shared" ref="EP4:EP34" si="56">IF(EN4="","",IF(ISNUMBER(SEARCH("夜勤",EN4)),"",IF(A4="","","○")))</f>
        <v/>
      </c>
      <c r="EQ4" s="30" t="str">
        <f t="shared" ref="EQ4:EQ34" si="57">IF(A4="","",IF(OR(AND(EO4&lt;&gt;"",NOT(OR(EO4="有給",EO4="休業"))),ISNUMBER(SEARCH("夜勤",EN4))),"○",""))</f>
        <v/>
      </c>
      <c r="ER4" s="31"/>
      <c r="ES4" s="27"/>
      <c r="ET4" s="28"/>
      <c r="EU4" s="29" t="str">
        <f t="shared" ref="EU4:EU34" si="58">IF(ES4="","",IF(ISNUMBER(SEARCH("夜勤",ES4)),"",IF(A4="","","○")))</f>
        <v/>
      </c>
      <c r="EV4" s="30" t="str">
        <f t="shared" ref="EV4:EV34" si="59">IF(A4="","",IF(OR(AND(ET4&lt;&gt;"",NOT(OR(ET4="有給",ET4="休業"))),ISNUMBER(SEARCH("夜勤",ES4))),"○",""))</f>
        <v/>
      </c>
      <c r="EW4" s="31"/>
    </row>
    <row r="5" spans="1:153" ht="19.5" customHeight="1">
      <c r="A5" s="32">
        <f>IF(DAY(DATE(対象年度,1,2))&lt;&gt;2,"",2)</f>
        <v>2</v>
      </c>
      <c r="B5" s="32" t="str">
        <f>IF(DAY(DATE(対象年度,1,2))&lt;&gt;2,"",CHOOSE(WEEKDAY(DATE(対象年度,1,2),2),"月","火","水","木","金","土","日"))</f>
        <v>金</v>
      </c>
      <c r="C5" s="32" t="str">
        <f>IF(DAY(DATE(対象年度,1,2))&lt;&gt;2,"",IF(ISNUMBER(MATCH(DATE(対象年度,1,2),祝日リスト,0)),"祝",""))</f>
        <v/>
      </c>
      <c r="D5" s="33"/>
      <c r="E5" s="34"/>
      <c r="F5" s="35" t="str">
        <f t="shared" si="0"/>
        <v/>
      </c>
      <c r="G5" s="36" t="str">
        <f t="shared" si="1"/>
        <v/>
      </c>
      <c r="H5" s="37"/>
      <c r="I5" s="33"/>
      <c r="J5" s="34"/>
      <c r="K5" s="35" t="str">
        <f t="shared" si="2"/>
        <v/>
      </c>
      <c r="L5" s="36" t="str">
        <f t="shared" si="3"/>
        <v/>
      </c>
      <c r="M5" s="37"/>
      <c r="N5" s="33"/>
      <c r="O5" s="34"/>
      <c r="P5" s="35" t="str">
        <f t="shared" si="4"/>
        <v/>
      </c>
      <c r="Q5" s="36" t="str">
        <f t="shared" si="5"/>
        <v/>
      </c>
      <c r="R5" s="37"/>
      <c r="S5" s="33"/>
      <c r="T5" s="34"/>
      <c r="U5" s="35" t="str">
        <f t="shared" si="6"/>
        <v/>
      </c>
      <c r="V5" s="36" t="str">
        <f t="shared" si="7"/>
        <v/>
      </c>
      <c r="W5" s="37"/>
      <c r="X5" s="33"/>
      <c r="Y5" s="34"/>
      <c r="Z5" s="35" t="str">
        <f t="shared" si="8"/>
        <v/>
      </c>
      <c r="AA5" s="36" t="str">
        <f t="shared" si="9"/>
        <v/>
      </c>
      <c r="AB5" s="37"/>
      <c r="AC5" s="33"/>
      <c r="AD5" s="34"/>
      <c r="AE5" s="35" t="str">
        <f t="shared" si="10"/>
        <v/>
      </c>
      <c r="AF5" s="36" t="str">
        <f t="shared" si="11"/>
        <v/>
      </c>
      <c r="AG5" s="37"/>
      <c r="AH5" s="33"/>
      <c r="AI5" s="34"/>
      <c r="AJ5" s="35" t="str">
        <f t="shared" si="12"/>
        <v/>
      </c>
      <c r="AK5" s="36" t="str">
        <f t="shared" si="13"/>
        <v/>
      </c>
      <c r="AL5" s="37"/>
      <c r="AM5" s="33"/>
      <c r="AN5" s="34"/>
      <c r="AO5" s="35" t="str">
        <f t="shared" si="14"/>
        <v/>
      </c>
      <c r="AP5" s="36" t="str">
        <f t="shared" si="15"/>
        <v/>
      </c>
      <c r="AQ5" s="37"/>
      <c r="AR5" s="33"/>
      <c r="AS5" s="34"/>
      <c r="AT5" s="35" t="str">
        <f t="shared" si="16"/>
        <v/>
      </c>
      <c r="AU5" s="36" t="str">
        <f t="shared" si="17"/>
        <v/>
      </c>
      <c r="AV5" s="37"/>
      <c r="AW5" s="33"/>
      <c r="AX5" s="34"/>
      <c r="AY5" s="35" t="str">
        <f t="shared" si="18"/>
        <v/>
      </c>
      <c r="AZ5" s="36" t="str">
        <f t="shared" si="19"/>
        <v/>
      </c>
      <c r="BA5" s="37"/>
      <c r="BB5" s="33"/>
      <c r="BC5" s="34"/>
      <c r="BD5" s="35" t="str">
        <f t="shared" si="20"/>
        <v/>
      </c>
      <c r="BE5" s="36" t="str">
        <f t="shared" si="21"/>
        <v/>
      </c>
      <c r="BF5" s="37"/>
      <c r="BG5" s="33"/>
      <c r="BH5" s="34"/>
      <c r="BI5" s="35" t="str">
        <f t="shared" si="22"/>
        <v/>
      </c>
      <c r="BJ5" s="36" t="str">
        <f t="shared" si="23"/>
        <v/>
      </c>
      <c r="BK5" s="37"/>
      <c r="BL5" s="33"/>
      <c r="BM5" s="34"/>
      <c r="BN5" s="35" t="str">
        <f t="shared" si="24"/>
        <v/>
      </c>
      <c r="BO5" s="36" t="str">
        <f t="shared" si="25"/>
        <v/>
      </c>
      <c r="BP5" s="37"/>
      <c r="BQ5" s="33"/>
      <c r="BR5" s="34"/>
      <c r="BS5" s="35" t="str">
        <f t="shared" si="26"/>
        <v/>
      </c>
      <c r="BT5" s="36" t="str">
        <f t="shared" si="27"/>
        <v/>
      </c>
      <c r="BU5" s="37"/>
      <c r="BV5" s="33"/>
      <c r="BW5" s="34"/>
      <c r="BX5" s="35" t="str">
        <f t="shared" si="28"/>
        <v/>
      </c>
      <c r="BY5" s="36" t="str">
        <f t="shared" si="29"/>
        <v/>
      </c>
      <c r="BZ5" s="37"/>
      <c r="CA5" s="33"/>
      <c r="CB5" s="34"/>
      <c r="CC5" s="35" t="str">
        <f t="shared" si="30"/>
        <v/>
      </c>
      <c r="CD5" s="36" t="str">
        <f t="shared" si="31"/>
        <v/>
      </c>
      <c r="CE5" s="37"/>
      <c r="CF5" s="33"/>
      <c r="CG5" s="34"/>
      <c r="CH5" s="35" t="str">
        <f t="shared" si="32"/>
        <v/>
      </c>
      <c r="CI5" s="36" t="str">
        <f t="shared" si="33"/>
        <v/>
      </c>
      <c r="CJ5" s="37"/>
      <c r="CK5" s="33"/>
      <c r="CL5" s="34"/>
      <c r="CM5" s="35" t="str">
        <f t="shared" si="34"/>
        <v/>
      </c>
      <c r="CN5" s="36" t="str">
        <f t="shared" si="35"/>
        <v/>
      </c>
      <c r="CO5" s="37"/>
      <c r="CP5" s="33"/>
      <c r="CQ5" s="34"/>
      <c r="CR5" s="35" t="str">
        <f t="shared" si="36"/>
        <v/>
      </c>
      <c r="CS5" s="36" t="str">
        <f t="shared" si="37"/>
        <v/>
      </c>
      <c r="CT5" s="37"/>
      <c r="CU5" s="33"/>
      <c r="CV5" s="34"/>
      <c r="CW5" s="35" t="str">
        <f t="shared" si="38"/>
        <v/>
      </c>
      <c r="CX5" s="36" t="str">
        <f t="shared" si="39"/>
        <v/>
      </c>
      <c r="CY5" s="37"/>
      <c r="CZ5" s="33"/>
      <c r="DA5" s="34"/>
      <c r="DB5" s="35" t="str">
        <f t="shared" si="40"/>
        <v/>
      </c>
      <c r="DC5" s="36" t="str">
        <f t="shared" si="41"/>
        <v/>
      </c>
      <c r="DD5" s="37"/>
      <c r="DE5" s="33"/>
      <c r="DF5" s="34"/>
      <c r="DG5" s="35" t="str">
        <f t="shared" si="42"/>
        <v/>
      </c>
      <c r="DH5" s="36" t="str">
        <f t="shared" si="43"/>
        <v/>
      </c>
      <c r="DI5" s="37"/>
      <c r="DJ5" s="33"/>
      <c r="DK5" s="34"/>
      <c r="DL5" s="35" t="str">
        <f t="shared" si="44"/>
        <v/>
      </c>
      <c r="DM5" s="36" t="str">
        <f t="shared" si="45"/>
        <v/>
      </c>
      <c r="DN5" s="37"/>
      <c r="DO5" s="33"/>
      <c r="DP5" s="34"/>
      <c r="DQ5" s="35" t="str">
        <f t="shared" si="46"/>
        <v/>
      </c>
      <c r="DR5" s="36" t="str">
        <f t="shared" si="47"/>
        <v/>
      </c>
      <c r="DS5" s="37"/>
      <c r="DT5" s="33"/>
      <c r="DU5" s="34"/>
      <c r="DV5" s="35" t="str">
        <f t="shared" si="48"/>
        <v/>
      </c>
      <c r="DW5" s="36" t="str">
        <f t="shared" si="49"/>
        <v/>
      </c>
      <c r="DX5" s="37"/>
      <c r="DY5" s="33"/>
      <c r="DZ5" s="34"/>
      <c r="EA5" s="35" t="str">
        <f t="shared" si="50"/>
        <v/>
      </c>
      <c r="EB5" s="36" t="str">
        <f t="shared" si="51"/>
        <v/>
      </c>
      <c r="EC5" s="37"/>
      <c r="ED5" s="33"/>
      <c r="EE5" s="34"/>
      <c r="EF5" s="35" t="str">
        <f t="shared" si="52"/>
        <v/>
      </c>
      <c r="EG5" s="36" t="str">
        <f t="shared" si="53"/>
        <v/>
      </c>
      <c r="EH5" s="37"/>
      <c r="EI5" s="33"/>
      <c r="EJ5" s="34"/>
      <c r="EK5" s="35" t="str">
        <f t="shared" si="54"/>
        <v/>
      </c>
      <c r="EL5" s="36" t="str">
        <f t="shared" si="55"/>
        <v/>
      </c>
      <c r="EM5" s="37"/>
      <c r="EN5" s="33"/>
      <c r="EO5" s="34"/>
      <c r="EP5" s="35" t="str">
        <f t="shared" si="56"/>
        <v/>
      </c>
      <c r="EQ5" s="36" t="str">
        <f t="shared" si="57"/>
        <v/>
      </c>
      <c r="ER5" s="37"/>
      <c r="ES5" s="33"/>
      <c r="ET5" s="34"/>
      <c r="EU5" s="35" t="str">
        <f t="shared" si="58"/>
        <v/>
      </c>
      <c r="EV5" s="36" t="str">
        <f t="shared" si="59"/>
        <v/>
      </c>
      <c r="EW5" s="37"/>
    </row>
    <row r="6" spans="1:153" ht="19.5" customHeight="1">
      <c r="A6" s="32">
        <f>IF(DAY(DATE(対象年度,1,3))&lt;&gt;3,"",3)</f>
        <v>3</v>
      </c>
      <c r="B6" s="32" t="str">
        <f>IF(DAY(DATE(対象年度,1,3))&lt;&gt;3,"",CHOOSE(WEEKDAY(DATE(対象年度,1,3),2),"月","火","水","木","金","土","日"))</f>
        <v>土</v>
      </c>
      <c r="C6" s="32" t="str">
        <f>IF(DAY(DATE(対象年度,1,3))&lt;&gt;3,"",IF(ISNUMBER(MATCH(DATE(対象年度,1,3),祝日リスト,0)),"祝",""))</f>
        <v/>
      </c>
      <c r="D6" s="33"/>
      <c r="E6" s="34"/>
      <c r="F6" s="35" t="str">
        <f t="shared" si="0"/>
        <v/>
      </c>
      <c r="G6" s="36" t="str">
        <f t="shared" si="1"/>
        <v/>
      </c>
      <c r="H6" s="37"/>
      <c r="I6" s="33"/>
      <c r="J6" s="34"/>
      <c r="K6" s="35" t="str">
        <f t="shared" si="2"/>
        <v/>
      </c>
      <c r="L6" s="36" t="str">
        <f t="shared" si="3"/>
        <v/>
      </c>
      <c r="M6" s="37"/>
      <c r="N6" s="33"/>
      <c r="O6" s="34"/>
      <c r="P6" s="35" t="str">
        <f t="shared" si="4"/>
        <v/>
      </c>
      <c r="Q6" s="36" t="str">
        <f t="shared" si="5"/>
        <v/>
      </c>
      <c r="R6" s="37"/>
      <c r="S6" s="33"/>
      <c r="T6" s="34"/>
      <c r="U6" s="35" t="str">
        <f t="shared" si="6"/>
        <v/>
      </c>
      <c r="V6" s="36" t="str">
        <f t="shared" si="7"/>
        <v/>
      </c>
      <c r="W6" s="37"/>
      <c r="X6" s="33"/>
      <c r="Y6" s="34"/>
      <c r="Z6" s="35" t="str">
        <f t="shared" si="8"/>
        <v/>
      </c>
      <c r="AA6" s="36" t="str">
        <f t="shared" si="9"/>
        <v/>
      </c>
      <c r="AB6" s="37"/>
      <c r="AC6" s="33"/>
      <c r="AD6" s="34"/>
      <c r="AE6" s="35" t="str">
        <f t="shared" si="10"/>
        <v/>
      </c>
      <c r="AF6" s="36" t="str">
        <f t="shared" si="11"/>
        <v/>
      </c>
      <c r="AG6" s="37"/>
      <c r="AH6" s="33"/>
      <c r="AI6" s="34"/>
      <c r="AJ6" s="35" t="str">
        <f t="shared" si="12"/>
        <v/>
      </c>
      <c r="AK6" s="36" t="str">
        <f t="shared" si="13"/>
        <v/>
      </c>
      <c r="AL6" s="37"/>
      <c r="AM6" s="33"/>
      <c r="AN6" s="34"/>
      <c r="AO6" s="35" t="str">
        <f t="shared" si="14"/>
        <v/>
      </c>
      <c r="AP6" s="36" t="str">
        <f t="shared" si="15"/>
        <v/>
      </c>
      <c r="AQ6" s="37"/>
      <c r="AR6" s="33"/>
      <c r="AS6" s="34"/>
      <c r="AT6" s="35" t="str">
        <f t="shared" si="16"/>
        <v/>
      </c>
      <c r="AU6" s="36" t="str">
        <f t="shared" si="17"/>
        <v/>
      </c>
      <c r="AV6" s="37"/>
      <c r="AW6" s="33"/>
      <c r="AX6" s="34"/>
      <c r="AY6" s="35" t="str">
        <f t="shared" si="18"/>
        <v/>
      </c>
      <c r="AZ6" s="36" t="str">
        <f t="shared" si="19"/>
        <v/>
      </c>
      <c r="BA6" s="37"/>
      <c r="BB6" s="33"/>
      <c r="BC6" s="34"/>
      <c r="BD6" s="35" t="str">
        <f t="shared" si="20"/>
        <v/>
      </c>
      <c r="BE6" s="36" t="str">
        <f t="shared" si="21"/>
        <v/>
      </c>
      <c r="BF6" s="37"/>
      <c r="BG6" s="33"/>
      <c r="BH6" s="34"/>
      <c r="BI6" s="35" t="str">
        <f t="shared" si="22"/>
        <v/>
      </c>
      <c r="BJ6" s="36" t="str">
        <f t="shared" si="23"/>
        <v/>
      </c>
      <c r="BK6" s="37"/>
      <c r="BL6" s="33"/>
      <c r="BM6" s="34"/>
      <c r="BN6" s="35" t="str">
        <f t="shared" si="24"/>
        <v/>
      </c>
      <c r="BO6" s="36" t="str">
        <f t="shared" si="25"/>
        <v/>
      </c>
      <c r="BP6" s="37"/>
      <c r="BQ6" s="33"/>
      <c r="BR6" s="34"/>
      <c r="BS6" s="35" t="str">
        <f t="shared" si="26"/>
        <v/>
      </c>
      <c r="BT6" s="36" t="str">
        <f t="shared" si="27"/>
        <v/>
      </c>
      <c r="BU6" s="37"/>
      <c r="BV6" s="33"/>
      <c r="BW6" s="34"/>
      <c r="BX6" s="35" t="str">
        <f t="shared" si="28"/>
        <v/>
      </c>
      <c r="BY6" s="36" t="str">
        <f t="shared" si="29"/>
        <v/>
      </c>
      <c r="BZ6" s="37"/>
      <c r="CA6" s="33"/>
      <c r="CB6" s="34"/>
      <c r="CC6" s="35" t="str">
        <f t="shared" si="30"/>
        <v/>
      </c>
      <c r="CD6" s="36" t="str">
        <f t="shared" si="31"/>
        <v/>
      </c>
      <c r="CE6" s="37"/>
      <c r="CF6" s="33"/>
      <c r="CG6" s="34"/>
      <c r="CH6" s="35" t="str">
        <f t="shared" si="32"/>
        <v/>
      </c>
      <c r="CI6" s="36" t="str">
        <f t="shared" si="33"/>
        <v/>
      </c>
      <c r="CJ6" s="37"/>
      <c r="CK6" s="33"/>
      <c r="CL6" s="34"/>
      <c r="CM6" s="35" t="str">
        <f t="shared" si="34"/>
        <v/>
      </c>
      <c r="CN6" s="36" t="str">
        <f t="shared" si="35"/>
        <v/>
      </c>
      <c r="CO6" s="37"/>
      <c r="CP6" s="33"/>
      <c r="CQ6" s="34"/>
      <c r="CR6" s="35" t="str">
        <f t="shared" si="36"/>
        <v/>
      </c>
      <c r="CS6" s="36" t="str">
        <f t="shared" si="37"/>
        <v/>
      </c>
      <c r="CT6" s="37"/>
      <c r="CU6" s="33"/>
      <c r="CV6" s="34"/>
      <c r="CW6" s="35" t="str">
        <f t="shared" si="38"/>
        <v/>
      </c>
      <c r="CX6" s="36" t="str">
        <f t="shared" si="39"/>
        <v/>
      </c>
      <c r="CY6" s="37"/>
      <c r="CZ6" s="33"/>
      <c r="DA6" s="34"/>
      <c r="DB6" s="35" t="str">
        <f t="shared" si="40"/>
        <v/>
      </c>
      <c r="DC6" s="36" t="str">
        <f t="shared" si="41"/>
        <v/>
      </c>
      <c r="DD6" s="37"/>
      <c r="DE6" s="33"/>
      <c r="DF6" s="34"/>
      <c r="DG6" s="35" t="str">
        <f t="shared" si="42"/>
        <v/>
      </c>
      <c r="DH6" s="36" t="str">
        <f t="shared" si="43"/>
        <v/>
      </c>
      <c r="DI6" s="37"/>
      <c r="DJ6" s="33"/>
      <c r="DK6" s="34"/>
      <c r="DL6" s="35" t="str">
        <f t="shared" si="44"/>
        <v/>
      </c>
      <c r="DM6" s="36" t="str">
        <f t="shared" si="45"/>
        <v/>
      </c>
      <c r="DN6" s="37"/>
      <c r="DO6" s="33"/>
      <c r="DP6" s="34"/>
      <c r="DQ6" s="35" t="str">
        <f t="shared" si="46"/>
        <v/>
      </c>
      <c r="DR6" s="36" t="str">
        <f t="shared" si="47"/>
        <v/>
      </c>
      <c r="DS6" s="37"/>
      <c r="DT6" s="33"/>
      <c r="DU6" s="34"/>
      <c r="DV6" s="35" t="str">
        <f t="shared" si="48"/>
        <v/>
      </c>
      <c r="DW6" s="36" t="str">
        <f t="shared" si="49"/>
        <v/>
      </c>
      <c r="DX6" s="37"/>
      <c r="DY6" s="33"/>
      <c r="DZ6" s="34"/>
      <c r="EA6" s="35" t="str">
        <f t="shared" si="50"/>
        <v/>
      </c>
      <c r="EB6" s="36" t="str">
        <f t="shared" si="51"/>
        <v/>
      </c>
      <c r="EC6" s="37"/>
      <c r="ED6" s="33"/>
      <c r="EE6" s="34"/>
      <c r="EF6" s="35" t="str">
        <f t="shared" si="52"/>
        <v/>
      </c>
      <c r="EG6" s="36" t="str">
        <f t="shared" si="53"/>
        <v/>
      </c>
      <c r="EH6" s="37"/>
      <c r="EI6" s="33"/>
      <c r="EJ6" s="34"/>
      <c r="EK6" s="35" t="str">
        <f t="shared" si="54"/>
        <v/>
      </c>
      <c r="EL6" s="36" t="str">
        <f t="shared" si="55"/>
        <v/>
      </c>
      <c r="EM6" s="37"/>
      <c r="EN6" s="33"/>
      <c r="EO6" s="34"/>
      <c r="EP6" s="35" t="str">
        <f t="shared" si="56"/>
        <v/>
      </c>
      <c r="EQ6" s="36" t="str">
        <f t="shared" si="57"/>
        <v/>
      </c>
      <c r="ER6" s="37"/>
      <c r="ES6" s="33"/>
      <c r="ET6" s="34"/>
      <c r="EU6" s="35" t="str">
        <f t="shared" si="58"/>
        <v/>
      </c>
      <c r="EV6" s="36" t="str">
        <f t="shared" si="59"/>
        <v/>
      </c>
      <c r="EW6" s="37"/>
    </row>
    <row r="7" spans="1:153" ht="19.5" customHeight="1">
      <c r="A7" s="32">
        <f>IF(DAY(DATE(対象年度,1,4))&lt;&gt;4,"",4)</f>
        <v>4</v>
      </c>
      <c r="B7" s="32" t="str">
        <f>IF(DAY(DATE(対象年度,1,4))&lt;&gt;4,"",CHOOSE(WEEKDAY(DATE(対象年度,1,4),2),"月","火","水","木","金","土","日"))</f>
        <v>日</v>
      </c>
      <c r="C7" s="32" t="str">
        <f>IF(DAY(DATE(対象年度,1,4))&lt;&gt;4,"",IF(ISNUMBER(MATCH(DATE(対象年度,1,4),祝日リスト,0)),"祝",""))</f>
        <v/>
      </c>
      <c r="D7" s="33"/>
      <c r="E7" s="34"/>
      <c r="F7" s="35" t="str">
        <f t="shared" si="0"/>
        <v/>
      </c>
      <c r="G7" s="36" t="str">
        <f t="shared" si="1"/>
        <v/>
      </c>
      <c r="H7" s="37"/>
      <c r="I7" s="33"/>
      <c r="J7" s="34"/>
      <c r="K7" s="35" t="str">
        <f t="shared" si="2"/>
        <v/>
      </c>
      <c r="L7" s="36" t="str">
        <f t="shared" si="3"/>
        <v/>
      </c>
      <c r="M7" s="37"/>
      <c r="N7" s="33"/>
      <c r="O7" s="34"/>
      <c r="P7" s="35" t="str">
        <f t="shared" si="4"/>
        <v/>
      </c>
      <c r="Q7" s="36" t="str">
        <f t="shared" si="5"/>
        <v/>
      </c>
      <c r="R7" s="37"/>
      <c r="S7" s="33"/>
      <c r="T7" s="34"/>
      <c r="U7" s="35" t="str">
        <f t="shared" si="6"/>
        <v/>
      </c>
      <c r="V7" s="36" t="str">
        <f t="shared" si="7"/>
        <v/>
      </c>
      <c r="W7" s="37"/>
      <c r="X7" s="33"/>
      <c r="Y7" s="34"/>
      <c r="Z7" s="35" t="str">
        <f t="shared" si="8"/>
        <v/>
      </c>
      <c r="AA7" s="36" t="str">
        <f t="shared" si="9"/>
        <v/>
      </c>
      <c r="AB7" s="37"/>
      <c r="AC7" s="33"/>
      <c r="AD7" s="34"/>
      <c r="AE7" s="35" t="str">
        <f t="shared" si="10"/>
        <v/>
      </c>
      <c r="AF7" s="36" t="str">
        <f t="shared" si="11"/>
        <v/>
      </c>
      <c r="AG7" s="37"/>
      <c r="AH7" s="33"/>
      <c r="AI7" s="34"/>
      <c r="AJ7" s="35" t="str">
        <f t="shared" si="12"/>
        <v/>
      </c>
      <c r="AK7" s="36" t="str">
        <f t="shared" si="13"/>
        <v/>
      </c>
      <c r="AL7" s="37"/>
      <c r="AM7" s="33"/>
      <c r="AN7" s="34"/>
      <c r="AO7" s="35" t="str">
        <f t="shared" si="14"/>
        <v/>
      </c>
      <c r="AP7" s="36" t="str">
        <f t="shared" si="15"/>
        <v/>
      </c>
      <c r="AQ7" s="37"/>
      <c r="AR7" s="33"/>
      <c r="AS7" s="34"/>
      <c r="AT7" s="35" t="str">
        <f t="shared" si="16"/>
        <v/>
      </c>
      <c r="AU7" s="36" t="str">
        <f t="shared" si="17"/>
        <v/>
      </c>
      <c r="AV7" s="37"/>
      <c r="AW7" s="33"/>
      <c r="AX7" s="34"/>
      <c r="AY7" s="35" t="str">
        <f t="shared" si="18"/>
        <v/>
      </c>
      <c r="AZ7" s="36" t="str">
        <f t="shared" si="19"/>
        <v/>
      </c>
      <c r="BA7" s="37"/>
      <c r="BB7" s="33"/>
      <c r="BC7" s="34"/>
      <c r="BD7" s="35" t="str">
        <f t="shared" si="20"/>
        <v/>
      </c>
      <c r="BE7" s="36" t="str">
        <f t="shared" si="21"/>
        <v/>
      </c>
      <c r="BF7" s="37"/>
      <c r="BG7" s="33"/>
      <c r="BH7" s="34"/>
      <c r="BI7" s="35" t="str">
        <f t="shared" si="22"/>
        <v/>
      </c>
      <c r="BJ7" s="36" t="str">
        <f t="shared" si="23"/>
        <v/>
      </c>
      <c r="BK7" s="37"/>
      <c r="BL7" s="33"/>
      <c r="BM7" s="34"/>
      <c r="BN7" s="35" t="str">
        <f t="shared" si="24"/>
        <v/>
      </c>
      <c r="BO7" s="36" t="str">
        <f t="shared" si="25"/>
        <v/>
      </c>
      <c r="BP7" s="37"/>
      <c r="BQ7" s="33"/>
      <c r="BR7" s="34"/>
      <c r="BS7" s="35" t="str">
        <f t="shared" si="26"/>
        <v/>
      </c>
      <c r="BT7" s="36" t="str">
        <f t="shared" si="27"/>
        <v/>
      </c>
      <c r="BU7" s="37"/>
      <c r="BV7" s="33"/>
      <c r="BW7" s="34"/>
      <c r="BX7" s="35" t="str">
        <f t="shared" si="28"/>
        <v/>
      </c>
      <c r="BY7" s="36" t="str">
        <f t="shared" si="29"/>
        <v/>
      </c>
      <c r="BZ7" s="37"/>
      <c r="CA7" s="33"/>
      <c r="CB7" s="34"/>
      <c r="CC7" s="35" t="str">
        <f t="shared" si="30"/>
        <v/>
      </c>
      <c r="CD7" s="36" t="str">
        <f t="shared" si="31"/>
        <v/>
      </c>
      <c r="CE7" s="37"/>
      <c r="CF7" s="33"/>
      <c r="CG7" s="34"/>
      <c r="CH7" s="35" t="str">
        <f t="shared" si="32"/>
        <v/>
      </c>
      <c r="CI7" s="36" t="str">
        <f t="shared" si="33"/>
        <v/>
      </c>
      <c r="CJ7" s="37"/>
      <c r="CK7" s="33"/>
      <c r="CL7" s="34"/>
      <c r="CM7" s="35" t="str">
        <f t="shared" si="34"/>
        <v/>
      </c>
      <c r="CN7" s="36" t="str">
        <f t="shared" si="35"/>
        <v/>
      </c>
      <c r="CO7" s="37"/>
      <c r="CP7" s="33"/>
      <c r="CQ7" s="34"/>
      <c r="CR7" s="35" t="str">
        <f t="shared" si="36"/>
        <v/>
      </c>
      <c r="CS7" s="36" t="str">
        <f t="shared" si="37"/>
        <v/>
      </c>
      <c r="CT7" s="37"/>
      <c r="CU7" s="33"/>
      <c r="CV7" s="34"/>
      <c r="CW7" s="35" t="str">
        <f t="shared" si="38"/>
        <v/>
      </c>
      <c r="CX7" s="36" t="str">
        <f t="shared" si="39"/>
        <v/>
      </c>
      <c r="CY7" s="37"/>
      <c r="CZ7" s="33"/>
      <c r="DA7" s="34"/>
      <c r="DB7" s="35" t="str">
        <f t="shared" si="40"/>
        <v/>
      </c>
      <c r="DC7" s="36" t="str">
        <f t="shared" si="41"/>
        <v/>
      </c>
      <c r="DD7" s="37"/>
      <c r="DE7" s="33"/>
      <c r="DF7" s="34"/>
      <c r="DG7" s="35" t="str">
        <f t="shared" si="42"/>
        <v/>
      </c>
      <c r="DH7" s="36" t="str">
        <f t="shared" si="43"/>
        <v/>
      </c>
      <c r="DI7" s="37"/>
      <c r="DJ7" s="33"/>
      <c r="DK7" s="34"/>
      <c r="DL7" s="35" t="str">
        <f t="shared" si="44"/>
        <v/>
      </c>
      <c r="DM7" s="36" t="str">
        <f t="shared" si="45"/>
        <v/>
      </c>
      <c r="DN7" s="37"/>
      <c r="DO7" s="33"/>
      <c r="DP7" s="34"/>
      <c r="DQ7" s="35" t="str">
        <f t="shared" si="46"/>
        <v/>
      </c>
      <c r="DR7" s="36" t="str">
        <f t="shared" si="47"/>
        <v/>
      </c>
      <c r="DS7" s="37"/>
      <c r="DT7" s="33"/>
      <c r="DU7" s="34"/>
      <c r="DV7" s="35" t="str">
        <f t="shared" si="48"/>
        <v/>
      </c>
      <c r="DW7" s="36" t="str">
        <f t="shared" si="49"/>
        <v/>
      </c>
      <c r="DX7" s="37"/>
      <c r="DY7" s="33"/>
      <c r="DZ7" s="34"/>
      <c r="EA7" s="35" t="str">
        <f t="shared" si="50"/>
        <v/>
      </c>
      <c r="EB7" s="36" t="str">
        <f t="shared" si="51"/>
        <v/>
      </c>
      <c r="EC7" s="37"/>
      <c r="ED7" s="33"/>
      <c r="EE7" s="34"/>
      <c r="EF7" s="35" t="str">
        <f t="shared" si="52"/>
        <v/>
      </c>
      <c r="EG7" s="36" t="str">
        <f t="shared" si="53"/>
        <v/>
      </c>
      <c r="EH7" s="37"/>
      <c r="EI7" s="33"/>
      <c r="EJ7" s="34"/>
      <c r="EK7" s="35" t="str">
        <f t="shared" si="54"/>
        <v/>
      </c>
      <c r="EL7" s="36" t="str">
        <f t="shared" si="55"/>
        <v/>
      </c>
      <c r="EM7" s="37"/>
      <c r="EN7" s="33"/>
      <c r="EO7" s="34"/>
      <c r="EP7" s="35" t="str">
        <f t="shared" si="56"/>
        <v/>
      </c>
      <c r="EQ7" s="36" t="str">
        <f t="shared" si="57"/>
        <v/>
      </c>
      <c r="ER7" s="37"/>
      <c r="ES7" s="33"/>
      <c r="ET7" s="34"/>
      <c r="EU7" s="35" t="str">
        <f t="shared" si="58"/>
        <v/>
      </c>
      <c r="EV7" s="36" t="str">
        <f t="shared" si="59"/>
        <v/>
      </c>
      <c r="EW7" s="37"/>
    </row>
    <row r="8" spans="1:153" ht="19.5" customHeight="1">
      <c r="A8" s="32">
        <f>IF(DAY(DATE(対象年度,1,5))&lt;&gt;5,"",5)</f>
        <v>5</v>
      </c>
      <c r="B8" s="32" t="str">
        <f>IF(DAY(DATE(対象年度,1,5))&lt;&gt;5,"",CHOOSE(WEEKDAY(DATE(対象年度,1,5),2),"月","火","水","木","金","土","日"))</f>
        <v>月</v>
      </c>
      <c r="C8" s="32" t="str">
        <f>IF(DAY(DATE(対象年度,1,5))&lt;&gt;5,"",IF(ISNUMBER(MATCH(DATE(対象年度,1,5),祝日リスト,0)),"祝",""))</f>
        <v/>
      </c>
      <c r="D8" s="33"/>
      <c r="E8" s="34"/>
      <c r="F8" s="35" t="str">
        <f t="shared" si="0"/>
        <v/>
      </c>
      <c r="G8" s="36" t="str">
        <f t="shared" si="1"/>
        <v/>
      </c>
      <c r="H8" s="37"/>
      <c r="I8" s="33"/>
      <c r="J8" s="34"/>
      <c r="K8" s="35" t="str">
        <f t="shared" si="2"/>
        <v/>
      </c>
      <c r="L8" s="36" t="str">
        <f t="shared" si="3"/>
        <v/>
      </c>
      <c r="M8" s="37"/>
      <c r="N8" s="33"/>
      <c r="O8" s="34"/>
      <c r="P8" s="35" t="str">
        <f t="shared" si="4"/>
        <v/>
      </c>
      <c r="Q8" s="36" t="str">
        <f t="shared" si="5"/>
        <v/>
      </c>
      <c r="R8" s="37"/>
      <c r="S8" s="33"/>
      <c r="T8" s="34"/>
      <c r="U8" s="35" t="str">
        <f t="shared" si="6"/>
        <v/>
      </c>
      <c r="V8" s="36" t="str">
        <f t="shared" si="7"/>
        <v/>
      </c>
      <c r="W8" s="37"/>
      <c r="X8" s="33"/>
      <c r="Y8" s="34"/>
      <c r="Z8" s="35" t="str">
        <f t="shared" si="8"/>
        <v/>
      </c>
      <c r="AA8" s="36" t="str">
        <f t="shared" si="9"/>
        <v/>
      </c>
      <c r="AB8" s="37"/>
      <c r="AC8" s="33"/>
      <c r="AD8" s="34"/>
      <c r="AE8" s="35" t="str">
        <f t="shared" si="10"/>
        <v/>
      </c>
      <c r="AF8" s="36" t="str">
        <f t="shared" si="11"/>
        <v/>
      </c>
      <c r="AG8" s="37"/>
      <c r="AH8" s="33"/>
      <c r="AI8" s="34"/>
      <c r="AJ8" s="35" t="str">
        <f t="shared" si="12"/>
        <v/>
      </c>
      <c r="AK8" s="36" t="str">
        <f t="shared" si="13"/>
        <v/>
      </c>
      <c r="AL8" s="37"/>
      <c r="AM8" s="33"/>
      <c r="AN8" s="34"/>
      <c r="AO8" s="35" t="str">
        <f t="shared" si="14"/>
        <v/>
      </c>
      <c r="AP8" s="36" t="str">
        <f t="shared" si="15"/>
        <v/>
      </c>
      <c r="AQ8" s="37"/>
      <c r="AR8" s="33"/>
      <c r="AS8" s="34"/>
      <c r="AT8" s="35" t="str">
        <f t="shared" si="16"/>
        <v/>
      </c>
      <c r="AU8" s="36" t="str">
        <f t="shared" si="17"/>
        <v/>
      </c>
      <c r="AV8" s="37"/>
      <c r="AW8" s="33"/>
      <c r="AX8" s="34"/>
      <c r="AY8" s="35" t="str">
        <f t="shared" si="18"/>
        <v/>
      </c>
      <c r="AZ8" s="36" t="str">
        <f t="shared" si="19"/>
        <v/>
      </c>
      <c r="BA8" s="37"/>
      <c r="BB8" s="33"/>
      <c r="BC8" s="34"/>
      <c r="BD8" s="35" t="str">
        <f t="shared" si="20"/>
        <v/>
      </c>
      <c r="BE8" s="36" t="str">
        <f t="shared" si="21"/>
        <v/>
      </c>
      <c r="BF8" s="37"/>
      <c r="BG8" s="33"/>
      <c r="BH8" s="34"/>
      <c r="BI8" s="35" t="str">
        <f t="shared" si="22"/>
        <v/>
      </c>
      <c r="BJ8" s="36" t="str">
        <f t="shared" si="23"/>
        <v/>
      </c>
      <c r="BK8" s="37"/>
      <c r="BL8" s="33"/>
      <c r="BM8" s="34"/>
      <c r="BN8" s="35" t="str">
        <f t="shared" si="24"/>
        <v/>
      </c>
      <c r="BO8" s="36" t="str">
        <f t="shared" si="25"/>
        <v/>
      </c>
      <c r="BP8" s="37"/>
      <c r="BQ8" s="33"/>
      <c r="BR8" s="34"/>
      <c r="BS8" s="35" t="str">
        <f t="shared" si="26"/>
        <v/>
      </c>
      <c r="BT8" s="36" t="str">
        <f t="shared" si="27"/>
        <v/>
      </c>
      <c r="BU8" s="37"/>
      <c r="BV8" s="33"/>
      <c r="BW8" s="34"/>
      <c r="BX8" s="35" t="str">
        <f t="shared" si="28"/>
        <v/>
      </c>
      <c r="BY8" s="36" t="str">
        <f t="shared" si="29"/>
        <v/>
      </c>
      <c r="BZ8" s="37"/>
      <c r="CA8" s="33"/>
      <c r="CB8" s="34"/>
      <c r="CC8" s="35" t="str">
        <f t="shared" si="30"/>
        <v/>
      </c>
      <c r="CD8" s="36" t="str">
        <f t="shared" si="31"/>
        <v/>
      </c>
      <c r="CE8" s="37"/>
      <c r="CF8" s="33"/>
      <c r="CG8" s="34"/>
      <c r="CH8" s="35" t="str">
        <f t="shared" si="32"/>
        <v/>
      </c>
      <c r="CI8" s="36" t="str">
        <f t="shared" si="33"/>
        <v/>
      </c>
      <c r="CJ8" s="37"/>
      <c r="CK8" s="33"/>
      <c r="CL8" s="34"/>
      <c r="CM8" s="35" t="str">
        <f t="shared" si="34"/>
        <v/>
      </c>
      <c r="CN8" s="36" t="str">
        <f t="shared" si="35"/>
        <v/>
      </c>
      <c r="CO8" s="37"/>
      <c r="CP8" s="33"/>
      <c r="CQ8" s="34"/>
      <c r="CR8" s="35" t="str">
        <f t="shared" si="36"/>
        <v/>
      </c>
      <c r="CS8" s="36" t="str">
        <f t="shared" si="37"/>
        <v/>
      </c>
      <c r="CT8" s="37"/>
      <c r="CU8" s="33"/>
      <c r="CV8" s="34"/>
      <c r="CW8" s="35" t="str">
        <f t="shared" si="38"/>
        <v/>
      </c>
      <c r="CX8" s="36" t="str">
        <f t="shared" si="39"/>
        <v/>
      </c>
      <c r="CY8" s="37"/>
      <c r="CZ8" s="33"/>
      <c r="DA8" s="34"/>
      <c r="DB8" s="35" t="str">
        <f t="shared" si="40"/>
        <v/>
      </c>
      <c r="DC8" s="36" t="str">
        <f t="shared" si="41"/>
        <v/>
      </c>
      <c r="DD8" s="37"/>
      <c r="DE8" s="33"/>
      <c r="DF8" s="34"/>
      <c r="DG8" s="35" t="str">
        <f t="shared" si="42"/>
        <v/>
      </c>
      <c r="DH8" s="36" t="str">
        <f t="shared" si="43"/>
        <v/>
      </c>
      <c r="DI8" s="37"/>
      <c r="DJ8" s="33"/>
      <c r="DK8" s="34"/>
      <c r="DL8" s="35" t="str">
        <f t="shared" si="44"/>
        <v/>
      </c>
      <c r="DM8" s="36" t="str">
        <f t="shared" si="45"/>
        <v/>
      </c>
      <c r="DN8" s="37"/>
      <c r="DO8" s="33"/>
      <c r="DP8" s="34"/>
      <c r="DQ8" s="35" t="str">
        <f t="shared" si="46"/>
        <v/>
      </c>
      <c r="DR8" s="36" t="str">
        <f t="shared" si="47"/>
        <v/>
      </c>
      <c r="DS8" s="37"/>
      <c r="DT8" s="33"/>
      <c r="DU8" s="34"/>
      <c r="DV8" s="35" t="str">
        <f t="shared" si="48"/>
        <v/>
      </c>
      <c r="DW8" s="36" t="str">
        <f t="shared" si="49"/>
        <v/>
      </c>
      <c r="DX8" s="37"/>
      <c r="DY8" s="33"/>
      <c r="DZ8" s="34"/>
      <c r="EA8" s="35" t="str">
        <f t="shared" si="50"/>
        <v/>
      </c>
      <c r="EB8" s="36" t="str">
        <f t="shared" si="51"/>
        <v/>
      </c>
      <c r="EC8" s="37"/>
      <c r="ED8" s="33"/>
      <c r="EE8" s="34"/>
      <c r="EF8" s="35" t="str">
        <f t="shared" si="52"/>
        <v/>
      </c>
      <c r="EG8" s="36" t="str">
        <f t="shared" si="53"/>
        <v/>
      </c>
      <c r="EH8" s="37"/>
      <c r="EI8" s="33"/>
      <c r="EJ8" s="34"/>
      <c r="EK8" s="35" t="str">
        <f t="shared" si="54"/>
        <v/>
      </c>
      <c r="EL8" s="36" t="str">
        <f t="shared" si="55"/>
        <v/>
      </c>
      <c r="EM8" s="37"/>
      <c r="EN8" s="33"/>
      <c r="EO8" s="34"/>
      <c r="EP8" s="35" t="str">
        <f t="shared" si="56"/>
        <v/>
      </c>
      <c r="EQ8" s="36" t="str">
        <f t="shared" si="57"/>
        <v/>
      </c>
      <c r="ER8" s="37"/>
      <c r="ES8" s="33"/>
      <c r="ET8" s="34"/>
      <c r="EU8" s="35" t="str">
        <f t="shared" si="58"/>
        <v/>
      </c>
      <c r="EV8" s="36" t="str">
        <f t="shared" si="59"/>
        <v/>
      </c>
      <c r="EW8" s="37"/>
    </row>
    <row r="9" spans="1:153" ht="19.5" customHeight="1">
      <c r="A9" s="32">
        <f>IF(DAY(DATE(対象年度,1,6))&lt;&gt;6,"",6)</f>
        <v>6</v>
      </c>
      <c r="B9" s="32" t="str">
        <f>IF(DAY(DATE(対象年度,1,6))&lt;&gt;6,"",CHOOSE(WEEKDAY(DATE(対象年度,1,6),2),"月","火","水","木","金","土","日"))</f>
        <v>火</v>
      </c>
      <c r="C9" s="32" t="str">
        <f>IF(DAY(DATE(対象年度,1,6))&lt;&gt;6,"",IF(ISNUMBER(MATCH(DATE(対象年度,1,6),祝日リスト,0)),"祝",""))</f>
        <v/>
      </c>
      <c r="D9" s="33"/>
      <c r="E9" s="34"/>
      <c r="F9" s="35" t="str">
        <f t="shared" si="0"/>
        <v/>
      </c>
      <c r="G9" s="36" t="str">
        <f t="shared" si="1"/>
        <v/>
      </c>
      <c r="H9" s="37"/>
      <c r="I9" s="33"/>
      <c r="J9" s="34"/>
      <c r="K9" s="35" t="str">
        <f t="shared" si="2"/>
        <v/>
      </c>
      <c r="L9" s="36" t="str">
        <f t="shared" si="3"/>
        <v/>
      </c>
      <c r="M9" s="37"/>
      <c r="N9" s="33"/>
      <c r="O9" s="34"/>
      <c r="P9" s="35" t="str">
        <f t="shared" si="4"/>
        <v/>
      </c>
      <c r="Q9" s="36" t="str">
        <f t="shared" si="5"/>
        <v/>
      </c>
      <c r="R9" s="37"/>
      <c r="S9" s="33"/>
      <c r="T9" s="34"/>
      <c r="U9" s="35" t="str">
        <f t="shared" si="6"/>
        <v/>
      </c>
      <c r="V9" s="36" t="str">
        <f t="shared" si="7"/>
        <v/>
      </c>
      <c r="W9" s="37"/>
      <c r="X9" s="33"/>
      <c r="Y9" s="34"/>
      <c r="Z9" s="35" t="str">
        <f t="shared" si="8"/>
        <v/>
      </c>
      <c r="AA9" s="36" t="str">
        <f t="shared" si="9"/>
        <v/>
      </c>
      <c r="AB9" s="37"/>
      <c r="AC9" s="33"/>
      <c r="AD9" s="34"/>
      <c r="AE9" s="35" t="str">
        <f t="shared" si="10"/>
        <v/>
      </c>
      <c r="AF9" s="36" t="str">
        <f t="shared" si="11"/>
        <v/>
      </c>
      <c r="AG9" s="37"/>
      <c r="AH9" s="33"/>
      <c r="AI9" s="34"/>
      <c r="AJ9" s="35" t="str">
        <f t="shared" si="12"/>
        <v/>
      </c>
      <c r="AK9" s="36" t="str">
        <f t="shared" si="13"/>
        <v/>
      </c>
      <c r="AL9" s="37"/>
      <c r="AM9" s="33"/>
      <c r="AN9" s="34"/>
      <c r="AO9" s="35" t="str">
        <f t="shared" si="14"/>
        <v/>
      </c>
      <c r="AP9" s="36" t="str">
        <f t="shared" si="15"/>
        <v/>
      </c>
      <c r="AQ9" s="37"/>
      <c r="AR9" s="33"/>
      <c r="AS9" s="34"/>
      <c r="AT9" s="35" t="str">
        <f t="shared" si="16"/>
        <v/>
      </c>
      <c r="AU9" s="36" t="str">
        <f t="shared" si="17"/>
        <v/>
      </c>
      <c r="AV9" s="37"/>
      <c r="AW9" s="33"/>
      <c r="AX9" s="34"/>
      <c r="AY9" s="35" t="str">
        <f t="shared" si="18"/>
        <v/>
      </c>
      <c r="AZ9" s="36" t="str">
        <f t="shared" si="19"/>
        <v/>
      </c>
      <c r="BA9" s="37"/>
      <c r="BB9" s="33"/>
      <c r="BC9" s="34"/>
      <c r="BD9" s="35" t="str">
        <f t="shared" si="20"/>
        <v/>
      </c>
      <c r="BE9" s="36" t="str">
        <f t="shared" si="21"/>
        <v/>
      </c>
      <c r="BF9" s="37"/>
      <c r="BG9" s="33"/>
      <c r="BH9" s="34"/>
      <c r="BI9" s="35" t="str">
        <f t="shared" si="22"/>
        <v/>
      </c>
      <c r="BJ9" s="36" t="str">
        <f t="shared" si="23"/>
        <v/>
      </c>
      <c r="BK9" s="37"/>
      <c r="BL9" s="33"/>
      <c r="BM9" s="34"/>
      <c r="BN9" s="35" t="str">
        <f t="shared" si="24"/>
        <v/>
      </c>
      <c r="BO9" s="36" t="str">
        <f t="shared" si="25"/>
        <v/>
      </c>
      <c r="BP9" s="37"/>
      <c r="BQ9" s="33"/>
      <c r="BR9" s="34"/>
      <c r="BS9" s="35" t="str">
        <f t="shared" si="26"/>
        <v/>
      </c>
      <c r="BT9" s="36" t="str">
        <f t="shared" si="27"/>
        <v/>
      </c>
      <c r="BU9" s="37"/>
      <c r="BV9" s="33"/>
      <c r="BW9" s="34"/>
      <c r="BX9" s="35" t="str">
        <f t="shared" si="28"/>
        <v/>
      </c>
      <c r="BY9" s="36" t="str">
        <f t="shared" si="29"/>
        <v/>
      </c>
      <c r="BZ9" s="37"/>
      <c r="CA9" s="33"/>
      <c r="CB9" s="34"/>
      <c r="CC9" s="35" t="str">
        <f t="shared" si="30"/>
        <v/>
      </c>
      <c r="CD9" s="36" t="str">
        <f t="shared" si="31"/>
        <v/>
      </c>
      <c r="CE9" s="37"/>
      <c r="CF9" s="33"/>
      <c r="CG9" s="34"/>
      <c r="CH9" s="35" t="str">
        <f t="shared" si="32"/>
        <v/>
      </c>
      <c r="CI9" s="36" t="str">
        <f t="shared" si="33"/>
        <v/>
      </c>
      <c r="CJ9" s="37"/>
      <c r="CK9" s="33"/>
      <c r="CL9" s="34"/>
      <c r="CM9" s="35" t="str">
        <f t="shared" si="34"/>
        <v/>
      </c>
      <c r="CN9" s="36" t="str">
        <f t="shared" si="35"/>
        <v/>
      </c>
      <c r="CO9" s="37"/>
      <c r="CP9" s="33"/>
      <c r="CQ9" s="34"/>
      <c r="CR9" s="35" t="str">
        <f t="shared" si="36"/>
        <v/>
      </c>
      <c r="CS9" s="36" t="str">
        <f t="shared" si="37"/>
        <v/>
      </c>
      <c r="CT9" s="37"/>
      <c r="CU9" s="33"/>
      <c r="CV9" s="34"/>
      <c r="CW9" s="35" t="str">
        <f t="shared" si="38"/>
        <v/>
      </c>
      <c r="CX9" s="36" t="str">
        <f t="shared" si="39"/>
        <v/>
      </c>
      <c r="CY9" s="37"/>
      <c r="CZ9" s="33"/>
      <c r="DA9" s="34"/>
      <c r="DB9" s="35" t="str">
        <f t="shared" si="40"/>
        <v/>
      </c>
      <c r="DC9" s="36" t="str">
        <f t="shared" si="41"/>
        <v/>
      </c>
      <c r="DD9" s="37"/>
      <c r="DE9" s="33"/>
      <c r="DF9" s="34"/>
      <c r="DG9" s="35" t="str">
        <f t="shared" si="42"/>
        <v/>
      </c>
      <c r="DH9" s="36" t="str">
        <f t="shared" si="43"/>
        <v/>
      </c>
      <c r="DI9" s="37"/>
      <c r="DJ9" s="33"/>
      <c r="DK9" s="34"/>
      <c r="DL9" s="35" t="str">
        <f t="shared" si="44"/>
        <v/>
      </c>
      <c r="DM9" s="36" t="str">
        <f t="shared" si="45"/>
        <v/>
      </c>
      <c r="DN9" s="37"/>
      <c r="DO9" s="33"/>
      <c r="DP9" s="34"/>
      <c r="DQ9" s="35" t="str">
        <f t="shared" si="46"/>
        <v/>
      </c>
      <c r="DR9" s="36" t="str">
        <f t="shared" si="47"/>
        <v/>
      </c>
      <c r="DS9" s="37"/>
      <c r="DT9" s="33"/>
      <c r="DU9" s="34"/>
      <c r="DV9" s="35" t="str">
        <f t="shared" si="48"/>
        <v/>
      </c>
      <c r="DW9" s="36" t="str">
        <f t="shared" si="49"/>
        <v/>
      </c>
      <c r="DX9" s="37"/>
      <c r="DY9" s="33"/>
      <c r="DZ9" s="34"/>
      <c r="EA9" s="35" t="str">
        <f t="shared" si="50"/>
        <v/>
      </c>
      <c r="EB9" s="36" t="str">
        <f t="shared" si="51"/>
        <v/>
      </c>
      <c r="EC9" s="37"/>
      <c r="ED9" s="33"/>
      <c r="EE9" s="34"/>
      <c r="EF9" s="35" t="str">
        <f t="shared" si="52"/>
        <v/>
      </c>
      <c r="EG9" s="36" t="str">
        <f t="shared" si="53"/>
        <v/>
      </c>
      <c r="EH9" s="37"/>
      <c r="EI9" s="33"/>
      <c r="EJ9" s="34"/>
      <c r="EK9" s="35" t="str">
        <f t="shared" si="54"/>
        <v/>
      </c>
      <c r="EL9" s="36" t="str">
        <f t="shared" si="55"/>
        <v/>
      </c>
      <c r="EM9" s="37"/>
      <c r="EN9" s="33"/>
      <c r="EO9" s="34"/>
      <c r="EP9" s="35" t="str">
        <f t="shared" si="56"/>
        <v/>
      </c>
      <c r="EQ9" s="36" t="str">
        <f t="shared" si="57"/>
        <v/>
      </c>
      <c r="ER9" s="37"/>
      <c r="ES9" s="33"/>
      <c r="ET9" s="34"/>
      <c r="EU9" s="35" t="str">
        <f t="shared" si="58"/>
        <v/>
      </c>
      <c r="EV9" s="36" t="str">
        <f t="shared" si="59"/>
        <v/>
      </c>
      <c r="EW9" s="37"/>
    </row>
    <row r="10" spans="1:153" ht="19.5" customHeight="1">
      <c r="A10" s="32">
        <f>IF(DAY(DATE(対象年度,1,7))&lt;&gt;7,"",7)</f>
        <v>7</v>
      </c>
      <c r="B10" s="32" t="str">
        <f>IF(DAY(DATE(対象年度,1,7))&lt;&gt;7,"",CHOOSE(WEEKDAY(DATE(対象年度,1,7),2),"月","火","水","木","金","土","日"))</f>
        <v>水</v>
      </c>
      <c r="C10" s="32" t="str">
        <f>IF(DAY(DATE(対象年度,1,7))&lt;&gt;7,"",IF(ISNUMBER(MATCH(DATE(対象年度,1,7),祝日リスト,0)),"祝",""))</f>
        <v/>
      </c>
      <c r="D10" s="33"/>
      <c r="E10" s="34"/>
      <c r="F10" s="35" t="str">
        <f t="shared" si="0"/>
        <v/>
      </c>
      <c r="G10" s="36" t="str">
        <f t="shared" si="1"/>
        <v/>
      </c>
      <c r="H10" s="37"/>
      <c r="I10" s="33"/>
      <c r="J10" s="34"/>
      <c r="K10" s="35" t="str">
        <f t="shared" si="2"/>
        <v/>
      </c>
      <c r="L10" s="36" t="str">
        <f t="shared" si="3"/>
        <v/>
      </c>
      <c r="M10" s="37"/>
      <c r="N10" s="33"/>
      <c r="O10" s="34"/>
      <c r="P10" s="35" t="str">
        <f t="shared" si="4"/>
        <v/>
      </c>
      <c r="Q10" s="36" t="str">
        <f t="shared" si="5"/>
        <v/>
      </c>
      <c r="R10" s="37"/>
      <c r="S10" s="33"/>
      <c r="T10" s="34"/>
      <c r="U10" s="35" t="str">
        <f t="shared" si="6"/>
        <v/>
      </c>
      <c r="V10" s="36" t="str">
        <f t="shared" si="7"/>
        <v/>
      </c>
      <c r="W10" s="37"/>
      <c r="X10" s="33"/>
      <c r="Y10" s="34"/>
      <c r="Z10" s="35" t="str">
        <f t="shared" si="8"/>
        <v/>
      </c>
      <c r="AA10" s="36" t="str">
        <f t="shared" si="9"/>
        <v/>
      </c>
      <c r="AB10" s="37"/>
      <c r="AC10" s="33"/>
      <c r="AD10" s="34"/>
      <c r="AE10" s="35" t="str">
        <f t="shared" si="10"/>
        <v/>
      </c>
      <c r="AF10" s="36" t="str">
        <f t="shared" si="11"/>
        <v/>
      </c>
      <c r="AG10" s="37"/>
      <c r="AH10" s="33"/>
      <c r="AI10" s="34"/>
      <c r="AJ10" s="35" t="str">
        <f t="shared" si="12"/>
        <v/>
      </c>
      <c r="AK10" s="36" t="str">
        <f t="shared" si="13"/>
        <v/>
      </c>
      <c r="AL10" s="37"/>
      <c r="AM10" s="33"/>
      <c r="AN10" s="34"/>
      <c r="AO10" s="35" t="str">
        <f t="shared" si="14"/>
        <v/>
      </c>
      <c r="AP10" s="36" t="str">
        <f t="shared" si="15"/>
        <v/>
      </c>
      <c r="AQ10" s="37"/>
      <c r="AR10" s="33"/>
      <c r="AS10" s="34"/>
      <c r="AT10" s="35" t="str">
        <f t="shared" si="16"/>
        <v/>
      </c>
      <c r="AU10" s="36" t="str">
        <f t="shared" si="17"/>
        <v/>
      </c>
      <c r="AV10" s="37"/>
      <c r="AW10" s="33"/>
      <c r="AX10" s="34"/>
      <c r="AY10" s="35" t="str">
        <f t="shared" si="18"/>
        <v/>
      </c>
      <c r="AZ10" s="36" t="str">
        <f t="shared" si="19"/>
        <v/>
      </c>
      <c r="BA10" s="37"/>
      <c r="BB10" s="33"/>
      <c r="BC10" s="34"/>
      <c r="BD10" s="35" t="str">
        <f t="shared" si="20"/>
        <v/>
      </c>
      <c r="BE10" s="36" t="str">
        <f t="shared" si="21"/>
        <v/>
      </c>
      <c r="BF10" s="37"/>
      <c r="BG10" s="33"/>
      <c r="BH10" s="34"/>
      <c r="BI10" s="35" t="str">
        <f t="shared" si="22"/>
        <v/>
      </c>
      <c r="BJ10" s="36" t="str">
        <f t="shared" si="23"/>
        <v/>
      </c>
      <c r="BK10" s="37"/>
      <c r="BL10" s="33"/>
      <c r="BM10" s="34"/>
      <c r="BN10" s="35" t="str">
        <f t="shared" si="24"/>
        <v/>
      </c>
      <c r="BO10" s="36" t="str">
        <f t="shared" si="25"/>
        <v/>
      </c>
      <c r="BP10" s="37"/>
      <c r="BQ10" s="33"/>
      <c r="BR10" s="34"/>
      <c r="BS10" s="35" t="str">
        <f t="shared" si="26"/>
        <v/>
      </c>
      <c r="BT10" s="36" t="str">
        <f t="shared" si="27"/>
        <v/>
      </c>
      <c r="BU10" s="37"/>
      <c r="BV10" s="33"/>
      <c r="BW10" s="34"/>
      <c r="BX10" s="35" t="str">
        <f t="shared" si="28"/>
        <v/>
      </c>
      <c r="BY10" s="36" t="str">
        <f t="shared" si="29"/>
        <v/>
      </c>
      <c r="BZ10" s="37"/>
      <c r="CA10" s="33"/>
      <c r="CB10" s="34"/>
      <c r="CC10" s="35" t="str">
        <f t="shared" si="30"/>
        <v/>
      </c>
      <c r="CD10" s="36" t="str">
        <f t="shared" si="31"/>
        <v/>
      </c>
      <c r="CE10" s="37"/>
      <c r="CF10" s="33"/>
      <c r="CG10" s="34"/>
      <c r="CH10" s="35" t="str">
        <f t="shared" si="32"/>
        <v/>
      </c>
      <c r="CI10" s="36" t="str">
        <f t="shared" si="33"/>
        <v/>
      </c>
      <c r="CJ10" s="37"/>
      <c r="CK10" s="33"/>
      <c r="CL10" s="34"/>
      <c r="CM10" s="35" t="str">
        <f t="shared" si="34"/>
        <v/>
      </c>
      <c r="CN10" s="36" t="str">
        <f t="shared" si="35"/>
        <v/>
      </c>
      <c r="CO10" s="37"/>
      <c r="CP10" s="33"/>
      <c r="CQ10" s="34"/>
      <c r="CR10" s="35" t="str">
        <f t="shared" si="36"/>
        <v/>
      </c>
      <c r="CS10" s="36" t="str">
        <f t="shared" si="37"/>
        <v/>
      </c>
      <c r="CT10" s="37"/>
      <c r="CU10" s="33"/>
      <c r="CV10" s="34"/>
      <c r="CW10" s="35" t="str">
        <f t="shared" si="38"/>
        <v/>
      </c>
      <c r="CX10" s="36" t="str">
        <f t="shared" si="39"/>
        <v/>
      </c>
      <c r="CY10" s="37"/>
      <c r="CZ10" s="33"/>
      <c r="DA10" s="34"/>
      <c r="DB10" s="35" t="str">
        <f t="shared" si="40"/>
        <v/>
      </c>
      <c r="DC10" s="36" t="str">
        <f t="shared" si="41"/>
        <v/>
      </c>
      <c r="DD10" s="37"/>
      <c r="DE10" s="33"/>
      <c r="DF10" s="34"/>
      <c r="DG10" s="35" t="str">
        <f t="shared" si="42"/>
        <v/>
      </c>
      <c r="DH10" s="36" t="str">
        <f t="shared" si="43"/>
        <v/>
      </c>
      <c r="DI10" s="37"/>
      <c r="DJ10" s="33"/>
      <c r="DK10" s="34"/>
      <c r="DL10" s="35" t="str">
        <f t="shared" si="44"/>
        <v/>
      </c>
      <c r="DM10" s="36" t="str">
        <f t="shared" si="45"/>
        <v/>
      </c>
      <c r="DN10" s="37"/>
      <c r="DO10" s="33"/>
      <c r="DP10" s="34"/>
      <c r="DQ10" s="35" t="str">
        <f t="shared" si="46"/>
        <v/>
      </c>
      <c r="DR10" s="36" t="str">
        <f t="shared" si="47"/>
        <v/>
      </c>
      <c r="DS10" s="37"/>
      <c r="DT10" s="33"/>
      <c r="DU10" s="34"/>
      <c r="DV10" s="35" t="str">
        <f t="shared" si="48"/>
        <v/>
      </c>
      <c r="DW10" s="36" t="str">
        <f t="shared" si="49"/>
        <v/>
      </c>
      <c r="DX10" s="37"/>
      <c r="DY10" s="33"/>
      <c r="DZ10" s="34"/>
      <c r="EA10" s="35" t="str">
        <f t="shared" si="50"/>
        <v/>
      </c>
      <c r="EB10" s="36" t="str">
        <f t="shared" si="51"/>
        <v/>
      </c>
      <c r="EC10" s="37"/>
      <c r="ED10" s="33"/>
      <c r="EE10" s="34"/>
      <c r="EF10" s="35" t="str">
        <f t="shared" si="52"/>
        <v/>
      </c>
      <c r="EG10" s="36" t="str">
        <f t="shared" si="53"/>
        <v/>
      </c>
      <c r="EH10" s="37"/>
      <c r="EI10" s="33"/>
      <c r="EJ10" s="34"/>
      <c r="EK10" s="35" t="str">
        <f t="shared" si="54"/>
        <v/>
      </c>
      <c r="EL10" s="36" t="str">
        <f t="shared" si="55"/>
        <v/>
      </c>
      <c r="EM10" s="37"/>
      <c r="EN10" s="33"/>
      <c r="EO10" s="34"/>
      <c r="EP10" s="35" t="str">
        <f t="shared" si="56"/>
        <v/>
      </c>
      <c r="EQ10" s="36" t="str">
        <f t="shared" si="57"/>
        <v/>
      </c>
      <c r="ER10" s="37"/>
      <c r="ES10" s="33"/>
      <c r="ET10" s="34"/>
      <c r="EU10" s="35" t="str">
        <f t="shared" si="58"/>
        <v/>
      </c>
      <c r="EV10" s="36" t="str">
        <f t="shared" si="59"/>
        <v/>
      </c>
      <c r="EW10" s="37"/>
    </row>
    <row r="11" spans="1:153" ht="19.5" customHeight="1">
      <c r="A11" s="32">
        <f>IF(DAY(DATE(対象年度,1,8))&lt;&gt;8,"",8)</f>
        <v>8</v>
      </c>
      <c r="B11" s="32" t="str">
        <f>IF(DAY(DATE(対象年度,1,8))&lt;&gt;8,"",CHOOSE(WEEKDAY(DATE(対象年度,1,8),2),"月","火","水","木","金","土","日"))</f>
        <v>木</v>
      </c>
      <c r="C11" s="32" t="str">
        <f>IF(DAY(DATE(対象年度,1,8))&lt;&gt;8,"",IF(ISNUMBER(MATCH(DATE(対象年度,1,8),祝日リスト,0)),"祝",""))</f>
        <v/>
      </c>
      <c r="D11" s="33"/>
      <c r="E11" s="34"/>
      <c r="F11" s="35" t="str">
        <f t="shared" si="0"/>
        <v/>
      </c>
      <c r="G11" s="36" t="str">
        <f t="shared" si="1"/>
        <v/>
      </c>
      <c r="H11" s="37"/>
      <c r="I11" s="33"/>
      <c r="J11" s="34"/>
      <c r="K11" s="35" t="str">
        <f t="shared" si="2"/>
        <v/>
      </c>
      <c r="L11" s="36" t="str">
        <f t="shared" si="3"/>
        <v/>
      </c>
      <c r="M11" s="37"/>
      <c r="N11" s="33"/>
      <c r="O11" s="34"/>
      <c r="P11" s="35" t="str">
        <f t="shared" si="4"/>
        <v/>
      </c>
      <c r="Q11" s="36" t="str">
        <f t="shared" si="5"/>
        <v/>
      </c>
      <c r="R11" s="37"/>
      <c r="S11" s="33"/>
      <c r="T11" s="34"/>
      <c r="U11" s="35" t="str">
        <f t="shared" si="6"/>
        <v/>
      </c>
      <c r="V11" s="36" t="str">
        <f t="shared" si="7"/>
        <v/>
      </c>
      <c r="W11" s="37"/>
      <c r="X11" s="33"/>
      <c r="Y11" s="34"/>
      <c r="Z11" s="35" t="str">
        <f t="shared" si="8"/>
        <v/>
      </c>
      <c r="AA11" s="36" t="str">
        <f t="shared" si="9"/>
        <v/>
      </c>
      <c r="AB11" s="37"/>
      <c r="AC11" s="33"/>
      <c r="AD11" s="34"/>
      <c r="AE11" s="35" t="str">
        <f t="shared" si="10"/>
        <v/>
      </c>
      <c r="AF11" s="36" t="str">
        <f t="shared" si="11"/>
        <v/>
      </c>
      <c r="AG11" s="37"/>
      <c r="AH11" s="33"/>
      <c r="AI11" s="34"/>
      <c r="AJ11" s="35" t="str">
        <f t="shared" si="12"/>
        <v/>
      </c>
      <c r="AK11" s="36" t="str">
        <f t="shared" si="13"/>
        <v/>
      </c>
      <c r="AL11" s="37"/>
      <c r="AM11" s="33"/>
      <c r="AN11" s="34"/>
      <c r="AO11" s="35" t="str">
        <f t="shared" si="14"/>
        <v/>
      </c>
      <c r="AP11" s="36" t="str">
        <f t="shared" si="15"/>
        <v/>
      </c>
      <c r="AQ11" s="37"/>
      <c r="AR11" s="33"/>
      <c r="AS11" s="34"/>
      <c r="AT11" s="35" t="str">
        <f t="shared" si="16"/>
        <v/>
      </c>
      <c r="AU11" s="36" t="str">
        <f t="shared" si="17"/>
        <v/>
      </c>
      <c r="AV11" s="37"/>
      <c r="AW11" s="33"/>
      <c r="AX11" s="34"/>
      <c r="AY11" s="35" t="str">
        <f t="shared" si="18"/>
        <v/>
      </c>
      <c r="AZ11" s="36" t="str">
        <f t="shared" si="19"/>
        <v/>
      </c>
      <c r="BA11" s="37"/>
      <c r="BB11" s="33"/>
      <c r="BC11" s="34"/>
      <c r="BD11" s="35" t="str">
        <f t="shared" si="20"/>
        <v/>
      </c>
      <c r="BE11" s="36" t="str">
        <f t="shared" si="21"/>
        <v/>
      </c>
      <c r="BF11" s="37"/>
      <c r="BG11" s="33"/>
      <c r="BH11" s="34"/>
      <c r="BI11" s="35" t="str">
        <f t="shared" si="22"/>
        <v/>
      </c>
      <c r="BJ11" s="36" t="str">
        <f t="shared" si="23"/>
        <v/>
      </c>
      <c r="BK11" s="37"/>
      <c r="BL11" s="33"/>
      <c r="BM11" s="34"/>
      <c r="BN11" s="35" t="str">
        <f t="shared" si="24"/>
        <v/>
      </c>
      <c r="BO11" s="36" t="str">
        <f t="shared" si="25"/>
        <v/>
      </c>
      <c r="BP11" s="37"/>
      <c r="BQ11" s="33"/>
      <c r="BR11" s="34"/>
      <c r="BS11" s="35" t="str">
        <f t="shared" si="26"/>
        <v/>
      </c>
      <c r="BT11" s="36" t="str">
        <f t="shared" si="27"/>
        <v/>
      </c>
      <c r="BU11" s="37"/>
      <c r="BV11" s="33"/>
      <c r="BW11" s="34"/>
      <c r="BX11" s="35" t="str">
        <f t="shared" si="28"/>
        <v/>
      </c>
      <c r="BY11" s="36" t="str">
        <f t="shared" si="29"/>
        <v/>
      </c>
      <c r="BZ11" s="37"/>
      <c r="CA11" s="33"/>
      <c r="CB11" s="34"/>
      <c r="CC11" s="35" t="str">
        <f t="shared" si="30"/>
        <v/>
      </c>
      <c r="CD11" s="36" t="str">
        <f t="shared" si="31"/>
        <v/>
      </c>
      <c r="CE11" s="37"/>
      <c r="CF11" s="33"/>
      <c r="CG11" s="34"/>
      <c r="CH11" s="35" t="str">
        <f t="shared" si="32"/>
        <v/>
      </c>
      <c r="CI11" s="36" t="str">
        <f t="shared" si="33"/>
        <v/>
      </c>
      <c r="CJ11" s="37"/>
      <c r="CK11" s="33"/>
      <c r="CL11" s="34"/>
      <c r="CM11" s="35" t="str">
        <f t="shared" si="34"/>
        <v/>
      </c>
      <c r="CN11" s="36" t="str">
        <f t="shared" si="35"/>
        <v/>
      </c>
      <c r="CO11" s="37"/>
      <c r="CP11" s="33"/>
      <c r="CQ11" s="34"/>
      <c r="CR11" s="35" t="str">
        <f t="shared" si="36"/>
        <v/>
      </c>
      <c r="CS11" s="36" t="str">
        <f t="shared" si="37"/>
        <v/>
      </c>
      <c r="CT11" s="37"/>
      <c r="CU11" s="33"/>
      <c r="CV11" s="34"/>
      <c r="CW11" s="35" t="str">
        <f t="shared" si="38"/>
        <v/>
      </c>
      <c r="CX11" s="36" t="str">
        <f t="shared" si="39"/>
        <v/>
      </c>
      <c r="CY11" s="37"/>
      <c r="CZ11" s="33"/>
      <c r="DA11" s="34"/>
      <c r="DB11" s="35" t="str">
        <f t="shared" si="40"/>
        <v/>
      </c>
      <c r="DC11" s="36" t="str">
        <f t="shared" si="41"/>
        <v/>
      </c>
      <c r="DD11" s="37"/>
      <c r="DE11" s="33"/>
      <c r="DF11" s="34"/>
      <c r="DG11" s="35" t="str">
        <f t="shared" si="42"/>
        <v/>
      </c>
      <c r="DH11" s="36" t="str">
        <f t="shared" si="43"/>
        <v/>
      </c>
      <c r="DI11" s="37"/>
      <c r="DJ11" s="33"/>
      <c r="DK11" s="34"/>
      <c r="DL11" s="35" t="str">
        <f t="shared" si="44"/>
        <v/>
      </c>
      <c r="DM11" s="36" t="str">
        <f t="shared" si="45"/>
        <v/>
      </c>
      <c r="DN11" s="37"/>
      <c r="DO11" s="33"/>
      <c r="DP11" s="34"/>
      <c r="DQ11" s="35" t="str">
        <f t="shared" si="46"/>
        <v/>
      </c>
      <c r="DR11" s="36" t="str">
        <f t="shared" si="47"/>
        <v/>
      </c>
      <c r="DS11" s="37"/>
      <c r="DT11" s="33"/>
      <c r="DU11" s="34"/>
      <c r="DV11" s="35" t="str">
        <f t="shared" si="48"/>
        <v/>
      </c>
      <c r="DW11" s="36" t="str">
        <f t="shared" si="49"/>
        <v/>
      </c>
      <c r="DX11" s="37"/>
      <c r="DY11" s="33"/>
      <c r="DZ11" s="34"/>
      <c r="EA11" s="35" t="str">
        <f t="shared" si="50"/>
        <v/>
      </c>
      <c r="EB11" s="36" t="str">
        <f t="shared" si="51"/>
        <v/>
      </c>
      <c r="EC11" s="37"/>
      <c r="ED11" s="33"/>
      <c r="EE11" s="34"/>
      <c r="EF11" s="35" t="str">
        <f t="shared" si="52"/>
        <v/>
      </c>
      <c r="EG11" s="36" t="str">
        <f t="shared" si="53"/>
        <v/>
      </c>
      <c r="EH11" s="37"/>
      <c r="EI11" s="33"/>
      <c r="EJ11" s="34"/>
      <c r="EK11" s="35" t="str">
        <f t="shared" si="54"/>
        <v/>
      </c>
      <c r="EL11" s="36" t="str">
        <f t="shared" si="55"/>
        <v/>
      </c>
      <c r="EM11" s="37"/>
      <c r="EN11" s="33"/>
      <c r="EO11" s="34"/>
      <c r="EP11" s="35" t="str">
        <f t="shared" si="56"/>
        <v/>
      </c>
      <c r="EQ11" s="36" t="str">
        <f t="shared" si="57"/>
        <v/>
      </c>
      <c r="ER11" s="37"/>
      <c r="ES11" s="33"/>
      <c r="ET11" s="34"/>
      <c r="EU11" s="35" t="str">
        <f t="shared" si="58"/>
        <v/>
      </c>
      <c r="EV11" s="36" t="str">
        <f t="shared" si="59"/>
        <v/>
      </c>
      <c r="EW11" s="37"/>
    </row>
    <row r="12" spans="1:153" ht="19.5" customHeight="1">
      <c r="A12" s="32">
        <f>IF(DAY(DATE(対象年度,1,9))&lt;&gt;9,"",9)</f>
        <v>9</v>
      </c>
      <c r="B12" s="32" t="str">
        <f>IF(DAY(DATE(対象年度,1,9))&lt;&gt;9,"",CHOOSE(WEEKDAY(DATE(対象年度,1,9),2),"月","火","水","木","金","土","日"))</f>
        <v>金</v>
      </c>
      <c r="C12" s="32" t="str">
        <f>IF(DAY(DATE(対象年度,1,9))&lt;&gt;9,"",IF(ISNUMBER(MATCH(DATE(対象年度,1,9),祝日リスト,0)),"祝",""))</f>
        <v/>
      </c>
      <c r="D12" s="33"/>
      <c r="E12" s="34"/>
      <c r="F12" s="35" t="str">
        <f t="shared" si="0"/>
        <v/>
      </c>
      <c r="G12" s="36" t="str">
        <f t="shared" si="1"/>
        <v/>
      </c>
      <c r="H12" s="37"/>
      <c r="I12" s="33"/>
      <c r="J12" s="34"/>
      <c r="K12" s="35" t="str">
        <f t="shared" si="2"/>
        <v/>
      </c>
      <c r="L12" s="36" t="str">
        <f t="shared" si="3"/>
        <v/>
      </c>
      <c r="M12" s="37"/>
      <c r="N12" s="33"/>
      <c r="O12" s="34"/>
      <c r="P12" s="35" t="str">
        <f t="shared" si="4"/>
        <v/>
      </c>
      <c r="Q12" s="36" t="str">
        <f t="shared" si="5"/>
        <v/>
      </c>
      <c r="R12" s="37"/>
      <c r="S12" s="33"/>
      <c r="T12" s="34"/>
      <c r="U12" s="35" t="str">
        <f t="shared" si="6"/>
        <v/>
      </c>
      <c r="V12" s="36" t="str">
        <f t="shared" si="7"/>
        <v/>
      </c>
      <c r="W12" s="37"/>
      <c r="X12" s="33"/>
      <c r="Y12" s="34"/>
      <c r="Z12" s="35" t="str">
        <f t="shared" si="8"/>
        <v/>
      </c>
      <c r="AA12" s="36" t="str">
        <f t="shared" si="9"/>
        <v/>
      </c>
      <c r="AB12" s="37"/>
      <c r="AC12" s="33"/>
      <c r="AD12" s="34"/>
      <c r="AE12" s="35" t="str">
        <f t="shared" si="10"/>
        <v/>
      </c>
      <c r="AF12" s="36" t="str">
        <f t="shared" si="11"/>
        <v/>
      </c>
      <c r="AG12" s="37"/>
      <c r="AH12" s="33"/>
      <c r="AI12" s="34"/>
      <c r="AJ12" s="35" t="str">
        <f t="shared" si="12"/>
        <v/>
      </c>
      <c r="AK12" s="36" t="str">
        <f t="shared" si="13"/>
        <v/>
      </c>
      <c r="AL12" s="37"/>
      <c r="AM12" s="33"/>
      <c r="AN12" s="34"/>
      <c r="AO12" s="35" t="str">
        <f t="shared" si="14"/>
        <v/>
      </c>
      <c r="AP12" s="36" t="str">
        <f t="shared" si="15"/>
        <v/>
      </c>
      <c r="AQ12" s="37"/>
      <c r="AR12" s="33"/>
      <c r="AS12" s="34"/>
      <c r="AT12" s="35" t="str">
        <f t="shared" si="16"/>
        <v/>
      </c>
      <c r="AU12" s="36" t="str">
        <f t="shared" si="17"/>
        <v/>
      </c>
      <c r="AV12" s="37"/>
      <c r="AW12" s="33"/>
      <c r="AX12" s="34"/>
      <c r="AY12" s="35" t="str">
        <f t="shared" si="18"/>
        <v/>
      </c>
      <c r="AZ12" s="36" t="str">
        <f t="shared" si="19"/>
        <v/>
      </c>
      <c r="BA12" s="37"/>
      <c r="BB12" s="33"/>
      <c r="BC12" s="34"/>
      <c r="BD12" s="35" t="str">
        <f t="shared" si="20"/>
        <v/>
      </c>
      <c r="BE12" s="36" t="str">
        <f t="shared" si="21"/>
        <v/>
      </c>
      <c r="BF12" s="37"/>
      <c r="BG12" s="33"/>
      <c r="BH12" s="34"/>
      <c r="BI12" s="35" t="str">
        <f t="shared" si="22"/>
        <v/>
      </c>
      <c r="BJ12" s="36" t="str">
        <f t="shared" si="23"/>
        <v/>
      </c>
      <c r="BK12" s="37"/>
      <c r="BL12" s="33"/>
      <c r="BM12" s="34"/>
      <c r="BN12" s="35" t="str">
        <f t="shared" si="24"/>
        <v/>
      </c>
      <c r="BO12" s="36" t="str">
        <f t="shared" si="25"/>
        <v/>
      </c>
      <c r="BP12" s="37"/>
      <c r="BQ12" s="33"/>
      <c r="BR12" s="34"/>
      <c r="BS12" s="35" t="str">
        <f t="shared" si="26"/>
        <v/>
      </c>
      <c r="BT12" s="36" t="str">
        <f t="shared" si="27"/>
        <v/>
      </c>
      <c r="BU12" s="37"/>
      <c r="BV12" s="33"/>
      <c r="BW12" s="34"/>
      <c r="BX12" s="35" t="str">
        <f t="shared" si="28"/>
        <v/>
      </c>
      <c r="BY12" s="36" t="str">
        <f t="shared" si="29"/>
        <v/>
      </c>
      <c r="BZ12" s="37"/>
      <c r="CA12" s="33"/>
      <c r="CB12" s="34"/>
      <c r="CC12" s="35" t="str">
        <f t="shared" si="30"/>
        <v/>
      </c>
      <c r="CD12" s="36" t="str">
        <f t="shared" si="31"/>
        <v/>
      </c>
      <c r="CE12" s="37"/>
      <c r="CF12" s="33"/>
      <c r="CG12" s="34"/>
      <c r="CH12" s="35" t="str">
        <f t="shared" si="32"/>
        <v/>
      </c>
      <c r="CI12" s="36" t="str">
        <f t="shared" si="33"/>
        <v/>
      </c>
      <c r="CJ12" s="37"/>
      <c r="CK12" s="33"/>
      <c r="CL12" s="34"/>
      <c r="CM12" s="35" t="str">
        <f t="shared" si="34"/>
        <v/>
      </c>
      <c r="CN12" s="36" t="str">
        <f t="shared" si="35"/>
        <v/>
      </c>
      <c r="CO12" s="37"/>
      <c r="CP12" s="33"/>
      <c r="CQ12" s="34"/>
      <c r="CR12" s="35" t="str">
        <f t="shared" si="36"/>
        <v/>
      </c>
      <c r="CS12" s="36" t="str">
        <f t="shared" si="37"/>
        <v/>
      </c>
      <c r="CT12" s="37"/>
      <c r="CU12" s="33"/>
      <c r="CV12" s="34"/>
      <c r="CW12" s="35" t="str">
        <f t="shared" si="38"/>
        <v/>
      </c>
      <c r="CX12" s="36" t="str">
        <f t="shared" si="39"/>
        <v/>
      </c>
      <c r="CY12" s="37"/>
      <c r="CZ12" s="33"/>
      <c r="DA12" s="34"/>
      <c r="DB12" s="35" t="str">
        <f t="shared" si="40"/>
        <v/>
      </c>
      <c r="DC12" s="36" t="str">
        <f t="shared" si="41"/>
        <v/>
      </c>
      <c r="DD12" s="37"/>
      <c r="DE12" s="33"/>
      <c r="DF12" s="34"/>
      <c r="DG12" s="35" t="str">
        <f t="shared" si="42"/>
        <v/>
      </c>
      <c r="DH12" s="36" t="str">
        <f t="shared" si="43"/>
        <v/>
      </c>
      <c r="DI12" s="37"/>
      <c r="DJ12" s="33"/>
      <c r="DK12" s="34"/>
      <c r="DL12" s="35" t="str">
        <f t="shared" si="44"/>
        <v/>
      </c>
      <c r="DM12" s="36" t="str">
        <f t="shared" si="45"/>
        <v/>
      </c>
      <c r="DN12" s="37"/>
      <c r="DO12" s="33"/>
      <c r="DP12" s="34"/>
      <c r="DQ12" s="35" t="str">
        <f t="shared" si="46"/>
        <v/>
      </c>
      <c r="DR12" s="36" t="str">
        <f t="shared" si="47"/>
        <v/>
      </c>
      <c r="DS12" s="37"/>
      <c r="DT12" s="33"/>
      <c r="DU12" s="34"/>
      <c r="DV12" s="35" t="str">
        <f t="shared" si="48"/>
        <v/>
      </c>
      <c r="DW12" s="36" t="str">
        <f t="shared" si="49"/>
        <v/>
      </c>
      <c r="DX12" s="37"/>
      <c r="DY12" s="33"/>
      <c r="DZ12" s="34"/>
      <c r="EA12" s="35" t="str">
        <f t="shared" si="50"/>
        <v/>
      </c>
      <c r="EB12" s="36" t="str">
        <f t="shared" si="51"/>
        <v/>
      </c>
      <c r="EC12" s="37"/>
      <c r="ED12" s="33"/>
      <c r="EE12" s="34"/>
      <c r="EF12" s="35" t="str">
        <f t="shared" si="52"/>
        <v/>
      </c>
      <c r="EG12" s="36" t="str">
        <f t="shared" si="53"/>
        <v/>
      </c>
      <c r="EH12" s="37"/>
      <c r="EI12" s="33"/>
      <c r="EJ12" s="34"/>
      <c r="EK12" s="35" t="str">
        <f t="shared" si="54"/>
        <v/>
      </c>
      <c r="EL12" s="36" t="str">
        <f t="shared" si="55"/>
        <v/>
      </c>
      <c r="EM12" s="37"/>
      <c r="EN12" s="33"/>
      <c r="EO12" s="34"/>
      <c r="EP12" s="35" t="str">
        <f t="shared" si="56"/>
        <v/>
      </c>
      <c r="EQ12" s="36" t="str">
        <f t="shared" si="57"/>
        <v/>
      </c>
      <c r="ER12" s="37"/>
      <c r="ES12" s="33"/>
      <c r="ET12" s="34"/>
      <c r="EU12" s="35" t="str">
        <f t="shared" si="58"/>
        <v/>
      </c>
      <c r="EV12" s="36" t="str">
        <f t="shared" si="59"/>
        <v/>
      </c>
      <c r="EW12" s="37"/>
    </row>
    <row r="13" spans="1:153" ht="19.5" customHeight="1">
      <c r="A13" s="32">
        <f>IF(DAY(DATE(対象年度,1,10))&lt;&gt;10,"",10)</f>
        <v>10</v>
      </c>
      <c r="B13" s="32" t="str">
        <f>IF(DAY(DATE(対象年度,1,10))&lt;&gt;10,"",CHOOSE(WEEKDAY(DATE(対象年度,1,10),2),"月","火","水","木","金","土","日"))</f>
        <v>土</v>
      </c>
      <c r="C13" s="32" t="str">
        <f>IF(DAY(DATE(対象年度,1,10))&lt;&gt;10,"",IF(ISNUMBER(MATCH(DATE(対象年度,1,10),祝日リスト,0)),"祝",""))</f>
        <v/>
      </c>
      <c r="D13" s="33"/>
      <c r="E13" s="34"/>
      <c r="F13" s="35" t="str">
        <f t="shared" si="0"/>
        <v/>
      </c>
      <c r="G13" s="36" t="str">
        <f t="shared" si="1"/>
        <v/>
      </c>
      <c r="H13" s="37"/>
      <c r="I13" s="33"/>
      <c r="J13" s="34"/>
      <c r="K13" s="35" t="str">
        <f t="shared" si="2"/>
        <v/>
      </c>
      <c r="L13" s="36" t="str">
        <f t="shared" si="3"/>
        <v/>
      </c>
      <c r="M13" s="37"/>
      <c r="N13" s="33"/>
      <c r="O13" s="34"/>
      <c r="P13" s="35" t="str">
        <f t="shared" si="4"/>
        <v/>
      </c>
      <c r="Q13" s="36" t="str">
        <f t="shared" si="5"/>
        <v/>
      </c>
      <c r="R13" s="37"/>
      <c r="S13" s="33"/>
      <c r="T13" s="34"/>
      <c r="U13" s="35" t="str">
        <f t="shared" si="6"/>
        <v/>
      </c>
      <c r="V13" s="36" t="str">
        <f t="shared" si="7"/>
        <v/>
      </c>
      <c r="W13" s="37"/>
      <c r="X13" s="33"/>
      <c r="Y13" s="34"/>
      <c r="Z13" s="35" t="str">
        <f t="shared" si="8"/>
        <v/>
      </c>
      <c r="AA13" s="36" t="str">
        <f t="shared" si="9"/>
        <v/>
      </c>
      <c r="AB13" s="37"/>
      <c r="AC13" s="33"/>
      <c r="AD13" s="34"/>
      <c r="AE13" s="35" t="str">
        <f t="shared" si="10"/>
        <v/>
      </c>
      <c r="AF13" s="36" t="str">
        <f t="shared" si="11"/>
        <v/>
      </c>
      <c r="AG13" s="37"/>
      <c r="AH13" s="33"/>
      <c r="AI13" s="34"/>
      <c r="AJ13" s="35" t="str">
        <f t="shared" si="12"/>
        <v/>
      </c>
      <c r="AK13" s="36" t="str">
        <f t="shared" si="13"/>
        <v/>
      </c>
      <c r="AL13" s="37"/>
      <c r="AM13" s="33"/>
      <c r="AN13" s="34"/>
      <c r="AO13" s="35" t="str">
        <f t="shared" si="14"/>
        <v/>
      </c>
      <c r="AP13" s="36" t="str">
        <f t="shared" si="15"/>
        <v/>
      </c>
      <c r="AQ13" s="37"/>
      <c r="AR13" s="33"/>
      <c r="AS13" s="34"/>
      <c r="AT13" s="35" t="str">
        <f t="shared" si="16"/>
        <v/>
      </c>
      <c r="AU13" s="36" t="str">
        <f t="shared" si="17"/>
        <v/>
      </c>
      <c r="AV13" s="37"/>
      <c r="AW13" s="33"/>
      <c r="AX13" s="34"/>
      <c r="AY13" s="35" t="str">
        <f t="shared" si="18"/>
        <v/>
      </c>
      <c r="AZ13" s="36" t="str">
        <f t="shared" si="19"/>
        <v/>
      </c>
      <c r="BA13" s="37"/>
      <c r="BB13" s="33"/>
      <c r="BC13" s="34"/>
      <c r="BD13" s="35" t="str">
        <f t="shared" si="20"/>
        <v/>
      </c>
      <c r="BE13" s="36" t="str">
        <f t="shared" si="21"/>
        <v/>
      </c>
      <c r="BF13" s="37"/>
      <c r="BG13" s="33"/>
      <c r="BH13" s="34"/>
      <c r="BI13" s="35" t="str">
        <f t="shared" si="22"/>
        <v/>
      </c>
      <c r="BJ13" s="36" t="str">
        <f t="shared" si="23"/>
        <v/>
      </c>
      <c r="BK13" s="37"/>
      <c r="BL13" s="33"/>
      <c r="BM13" s="34"/>
      <c r="BN13" s="35" t="str">
        <f t="shared" si="24"/>
        <v/>
      </c>
      <c r="BO13" s="36" t="str">
        <f t="shared" si="25"/>
        <v/>
      </c>
      <c r="BP13" s="37"/>
      <c r="BQ13" s="33"/>
      <c r="BR13" s="34"/>
      <c r="BS13" s="35" t="str">
        <f t="shared" si="26"/>
        <v/>
      </c>
      <c r="BT13" s="36" t="str">
        <f t="shared" si="27"/>
        <v/>
      </c>
      <c r="BU13" s="37"/>
      <c r="BV13" s="33"/>
      <c r="BW13" s="34"/>
      <c r="BX13" s="35" t="str">
        <f t="shared" si="28"/>
        <v/>
      </c>
      <c r="BY13" s="36" t="str">
        <f t="shared" si="29"/>
        <v/>
      </c>
      <c r="BZ13" s="37"/>
      <c r="CA13" s="33"/>
      <c r="CB13" s="34"/>
      <c r="CC13" s="35" t="str">
        <f t="shared" si="30"/>
        <v/>
      </c>
      <c r="CD13" s="36" t="str">
        <f t="shared" si="31"/>
        <v/>
      </c>
      <c r="CE13" s="37"/>
      <c r="CF13" s="33"/>
      <c r="CG13" s="34"/>
      <c r="CH13" s="35" t="str">
        <f t="shared" si="32"/>
        <v/>
      </c>
      <c r="CI13" s="36" t="str">
        <f t="shared" si="33"/>
        <v/>
      </c>
      <c r="CJ13" s="37"/>
      <c r="CK13" s="33"/>
      <c r="CL13" s="34"/>
      <c r="CM13" s="35" t="str">
        <f t="shared" si="34"/>
        <v/>
      </c>
      <c r="CN13" s="36" t="str">
        <f t="shared" si="35"/>
        <v/>
      </c>
      <c r="CO13" s="37"/>
      <c r="CP13" s="33"/>
      <c r="CQ13" s="34"/>
      <c r="CR13" s="35" t="str">
        <f t="shared" si="36"/>
        <v/>
      </c>
      <c r="CS13" s="36" t="str">
        <f t="shared" si="37"/>
        <v/>
      </c>
      <c r="CT13" s="37"/>
      <c r="CU13" s="33"/>
      <c r="CV13" s="34"/>
      <c r="CW13" s="35" t="str">
        <f t="shared" si="38"/>
        <v/>
      </c>
      <c r="CX13" s="36" t="str">
        <f t="shared" si="39"/>
        <v/>
      </c>
      <c r="CY13" s="37"/>
      <c r="CZ13" s="33"/>
      <c r="DA13" s="34"/>
      <c r="DB13" s="35" t="str">
        <f t="shared" si="40"/>
        <v/>
      </c>
      <c r="DC13" s="36" t="str">
        <f t="shared" si="41"/>
        <v/>
      </c>
      <c r="DD13" s="37"/>
      <c r="DE13" s="33"/>
      <c r="DF13" s="34"/>
      <c r="DG13" s="35" t="str">
        <f t="shared" si="42"/>
        <v/>
      </c>
      <c r="DH13" s="36" t="str">
        <f t="shared" si="43"/>
        <v/>
      </c>
      <c r="DI13" s="37"/>
      <c r="DJ13" s="33"/>
      <c r="DK13" s="34"/>
      <c r="DL13" s="35" t="str">
        <f t="shared" si="44"/>
        <v/>
      </c>
      <c r="DM13" s="36" t="str">
        <f t="shared" si="45"/>
        <v/>
      </c>
      <c r="DN13" s="37"/>
      <c r="DO13" s="33"/>
      <c r="DP13" s="34"/>
      <c r="DQ13" s="35" t="str">
        <f t="shared" si="46"/>
        <v/>
      </c>
      <c r="DR13" s="36" t="str">
        <f t="shared" si="47"/>
        <v/>
      </c>
      <c r="DS13" s="37"/>
      <c r="DT13" s="33"/>
      <c r="DU13" s="34"/>
      <c r="DV13" s="35" t="str">
        <f t="shared" si="48"/>
        <v/>
      </c>
      <c r="DW13" s="36" t="str">
        <f t="shared" si="49"/>
        <v/>
      </c>
      <c r="DX13" s="37"/>
      <c r="DY13" s="33"/>
      <c r="DZ13" s="34"/>
      <c r="EA13" s="35" t="str">
        <f t="shared" si="50"/>
        <v/>
      </c>
      <c r="EB13" s="36" t="str">
        <f t="shared" si="51"/>
        <v/>
      </c>
      <c r="EC13" s="37"/>
      <c r="ED13" s="33"/>
      <c r="EE13" s="34"/>
      <c r="EF13" s="35" t="str">
        <f t="shared" si="52"/>
        <v/>
      </c>
      <c r="EG13" s="36" t="str">
        <f t="shared" si="53"/>
        <v/>
      </c>
      <c r="EH13" s="37"/>
      <c r="EI13" s="33"/>
      <c r="EJ13" s="34"/>
      <c r="EK13" s="35" t="str">
        <f t="shared" si="54"/>
        <v/>
      </c>
      <c r="EL13" s="36" t="str">
        <f t="shared" si="55"/>
        <v/>
      </c>
      <c r="EM13" s="37"/>
      <c r="EN13" s="33"/>
      <c r="EO13" s="34"/>
      <c r="EP13" s="35" t="str">
        <f t="shared" si="56"/>
        <v/>
      </c>
      <c r="EQ13" s="36" t="str">
        <f t="shared" si="57"/>
        <v/>
      </c>
      <c r="ER13" s="37"/>
      <c r="ES13" s="33"/>
      <c r="ET13" s="34"/>
      <c r="EU13" s="35" t="str">
        <f t="shared" si="58"/>
        <v/>
      </c>
      <c r="EV13" s="36" t="str">
        <f t="shared" si="59"/>
        <v/>
      </c>
      <c r="EW13" s="37"/>
    </row>
    <row r="14" spans="1:153" ht="19.5" customHeight="1">
      <c r="A14" s="32">
        <f>IF(DAY(DATE(対象年度,1,11))&lt;&gt;11,"",11)</f>
        <v>11</v>
      </c>
      <c r="B14" s="32" t="str">
        <f>IF(DAY(DATE(対象年度,1,11))&lt;&gt;11,"",CHOOSE(WEEKDAY(DATE(対象年度,1,11),2),"月","火","水","木","金","土","日"))</f>
        <v>日</v>
      </c>
      <c r="C14" s="32" t="str">
        <f>IF(DAY(DATE(対象年度,1,11))&lt;&gt;11,"",IF(ISNUMBER(MATCH(DATE(対象年度,1,11),祝日リスト,0)),"祝",""))</f>
        <v/>
      </c>
      <c r="D14" s="33"/>
      <c r="E14" s="34"/>
      <c r="F14" s="35" t="str">
        <f t="shared" si="0"/>
        <v/>
      </c>
      <c r="G14" s="36" t="str">
        <f t="shared" si="1"/>
        <v/>
      </c>
      <c r="H14" s="37"/>
      <c r="I14" s="33"/>
      <c r="J14" s="34"/>
      <c r="K14" s="35" t="str">
        <f t="shared" si="2"/>
        <v/>
      </c>
      <c r="L14" s="36" t="str">
        <f t="shared" si="3"/>
        <v/>
      </c>
      <c r="M14" s="37"/>
      <c r="N14" s="33"/>
      <c r="O14" s="34"/>
      <c r="P14" s="35" t="str">
        <f t="shared" si="4"/>
        <v/>
      </c>
      <c r="Q14" s="36" t="str">
        <f t="shared" si="5"/>
        <v/>
      </c>
      <c r="R14" s="37"/>
      <c r="S14" s="33"/>
      <c r="T14" s="34"/>
      <c r="U14" s="35" t="str">
        <f t="shared" si="6"/>
        <v/>
      </c>
      <c r="V14" s="36" t="str">
        <f t="shared" si="7"/>
        <v/>
      </c>
      <c r="W14" s="37"/>
      <c r="X14" s="33"/>
      <c r="Y14" s="34"/>
      <c r="Z14" s="35" t="str">
        <f t="shared" si="8"/>
        <v/>
      </c>
      <c r="AA14" s="36" t="str">
        <f t="shared" si="9"/>
        <v/>
      </c>
      <c r="AB14" s="37"/>
      <c r="AC14" s="33"/>
      <c r="AD14" s="34"/>
      <c r="AE14" s="35" t="str">
        <f t="shared" si="10"/>
        <v/>
      </c>
      <c r="AF14" s="36" t="str">
        <f t="shared" si="11"/>
        <v/>
      </c>
      <c r="AG14" s="37"/>
      <c r="AH14" s="33"/>
      <c r="AI14" s="34"/>
      <c r="AJ14" s="35" t="str">
        <f t="shared" si="12"/>
        <v/>
      </c>
      <c r="AK14" s="36" t="str">
        <f t="shared" si="13"/>
        <v/>
      </c>
      <c r="AL14" s="37"/>
      <c r="AM14" s="33"/>
      <c r="AN14" s="34"/>
      <c r="AO14" s="35" t="str">
        <f t="shared" si="14"/>
        <v/>
      </c>
      <c r="AP14" s="36" t="str">
        <f t="shared" si="15"/>
        <v/>
      </c>
      <c r="AQ14" s="37"/>
      <c r="AR14" s="33"/>
      <c r="AS14" s="34"/>
      <c r="AT14" s="35" t="str">
        <f t="shared" si="16"/>
        <v/>
      </c>
      <c r="AU14" s="36" t="str">
        <f t="shared" si="17"/>
        <v/>
      </c>
      <c r="AV14" s="37"/>
      <c r="AW14" s="33"/>
      <c r="AX14" s="34"/>
      <c r="AY14" s="35" t="str">
        <f t="shared" si="18"/>
        <v/>
      </c>
      <c r="AZ14" s="36" t="str">
        <f t="shared" si="19"/>
        <v/>
      </c>
      <c r="BA14" s="37"/>
      <c r="BB14" s="33"/>
      <c r="BC14" s="34"/>
      <c r="BD14" s="35" t="str">
        <f t="shared" si="20"/>
        <v/>
      </c>
      <c r="BE14" s="36" t="str">
        <f t="shared" si="21"/>
        <v/>
      </c>
      <c r="BF14" s="37"/>
      <c r="BG14" s="33"/>
      <c r="BH14" s="34"/>
      <c r="BI14" s="35" t="str">
        <f t="shared" si="22"/>
        <v/>
      </c>
      <c r="BJ14" s="36" t="str">
        <f t="shared" si="23"/>
        <v/>
      </c>
      <c r="BK14" s="37"/>
      <c r="BL14" s="33"/>
      <c r="BM14" s="34"/>
      <c r="BN14" s="35" t="str">
        <f t="shared" si="24"/>
        <v/>
      </c>
      <c r="BO14" s="36" t="str">
        <f t="shared" si="25"/>
        <v/>
      </c>
      <c r="BP14" s="37"/>
      <c r="BQ14" s="33"/>
      <c r="BR14" s="34"/>
      <c r="BS14" s="35" t="str">
        <f t="shared" si="26"/>
        <v/>
      </c>
      <c r="BT14" s="36" t="str">
        <f t="shared" si="27"/>
        <v/>
      </c>
      <c r="BU14" s="37"/>
      <c r="BV14" s="33"/>
      <c r="BW14" s="34"/>
      <c r="BX14" s="35" t="str">
        <f t="shared" si="28"/>
        <v/>
      </c>
      <c r="BY14" s="36" t="str">
        <f t="shared" si="29"/>
        <v/>
      </c>
      <c r="BZ14" s="37"/>
      <c r="CA14" s="33"/>
      <c r="CB14" s="34"/>
      <c r="CC14" s="35" t="str">
        <f t="shared" si="30"/>
        <v/>
      </c>
      <c r="CD14" s="36" t="str">
        <f t="shared" si="31"/>
        <v/>
      </c>
      <c r="CE14" s="37"/>
      <c r="CF14" s="33"/>
      <c r="CG14" s="34"/>
      <c r="CH14" s="35" t="str">
        <f t="shared" si="32"/>
        <v/>
      </c>
      <c r="CI14" s="36" t="str">
        <f t="shared" si="33"/>
        <v/>
      </c>
      <c r="CJ14" s="37"/>
      <c r="CK14" s="33"/>
      <c r="CL14" s="34"/>
      <c r="CM14" s="35" t="str">
        <f t="shared" si="34"/>
        <v/>
      </c>
      <c r="CN14" s="36" t="str">
        <f t="shared" si="35"/>
        <v/>
      </c>
      <c r="CO14" s="37"/>
      <c r="CP14" s="33"/>
      <c r="CQ14" s="34"/>
      <c r="CR14" s="35" t="str">
        <f t="shared" si="36"/>
        <v/>
      </c>
      <c r="CS14" s="36" t="str">
        <f t="shared" si="37"/>
        <v/>
      </c>
      <c r="CT14" s="37"/>
      <c r="CU14" s="33"/>
      <c r="CV14" s="34"/>
      <c r="CW14" s="35" t="str">
        <f t="shared" si="38"/>
        <v/>
      </c>
      <c r="CX14" s="36" t="str">
        <f t="shared" si="39"/>
        <v/>
      </c>
      <c r="CY14" s="37"/>
      <c r="CZ14" s="33"/>
      <c r="DA14" s="34"/>
      <c r="DB14" s="35" t="str">
        <f t="shared" si="40"/>
        <v/>
      </c>
      <c r="DC14" s="36" t="str">
        <f t="shared" si="41"/>
        <v/>
      </c>
      <c r="DD14" s="37"/>
      <c r="DE14" s="33"/>
      <c r="DF14" s="34"/>
      <c r="DG14" s="35" t="str">
        <f t="shared" si="42"/>
        <v/>
      </c>
      <c r="DH14" s="36" t="str">
        <f t="shared" si="43"/>
        <v/>
      </c>
      <c r="DI14" s="37"/>
      <c r="DJ14" s="33"/>
      <c r="DK14" s="34"/>
      <c r="DL14" s="35" t="str">
        <f t="shared" si="44"/>
        <v/>
      </c>
      <c r="DM14" s="36" t="str">
        <f t="shared" si="45"/>
        <v/>
      </c>
      <c r="DN14" s="37"/>
      <c r="DO14" s="33"/>
      <c r="DP14" s="34"/>
      <c r="DQ14" s="35" t="str">
        <f t="shared" si="46"/>
        <v/>
      </c>
      <c r="DR14" s="36" t="str">
        <f t="shared" si="47"/>
        <v/>
      </c>
      <c r="DS14" s="37"/>
      <c r="DT14" s="33"/>
      <c r="DU14" s="34"/>
      <c r="DV14" s="35" t="str">
        <f t="shared" si="48"/>
        <v/>
      </c>
      <c r="DW14" s="36" t="str">
        <f t="shared" si="49"/>
        <v/>
      </c>
      <c r="DX14" s="37"/>
      <c r="DY14" s="33"/>
      <c r="DZ14" s="34"/>
      <c r="EA14" s="35" t="str">
        <f t="shared" si="50"/>
        <v/>
      </c>
      <c r="EB14" s="36" t="str">
        <f t="shared" si="51"/>
        <v/>
      </c>
      <c r="EC14" s="37"/>
      <c r="ED14" s="33"/>
      <c r="EE14" s="34"/>
      <c r="EF14" s="35" t="str">
        <f t="shared" si="52"/>
        <v/>
      </c>
      <c r="EG14" s="36" t="str">
        <f t="shared" si="53"/>
        <v/>
      </c>
      <c r="EH14" s="37"/>
      <c r="EI14" s="33"/>
      <c r="EJ14" s="34"/>
      <c r="EK14" s="35" t="str">
        <f t="shared" si="54"/>
        <v/>
      </c>
      <c r="EL14" s="36" t="str">
        <f t="shared" si="55"/>
        <v/>
      </c>
      <c r="EM14" s="37"/>
      <c r="EN14" s="33"/>
      <c r="EO14" s="34"/>
      <c r="EP14" s="35" t="str">
        <f t="shared" si="56"/>
        <v/>
      </c>
      <c r="EQ14" s="36" t="str">
        <f t="shared" si="57"/>
        <v/>
      </c>
      <c r="ER14" s="37"/>
      <c r="ES14" s="33"/>
      <c r="ET14" s="34"/>
      <c r="EU14" s="35" t="str">
        <f t="shared" si="58"/>
        <v/>
      </c>
      <c r="EV14" s="36" t="str">
        <f t="shared" si="59"/>
        <v/>
      </c>
      <c r="EW14" s="37"/>
    </row>
    <row r="15" spans="1:153" ht="19.5" customHeight="1">
      <c r="A15" s="32">
        <f>IF(DAY(DATE(対象年度,1,12))&lt;&gt;12,"",12)</f>
        <v>12</v>
      </c>
      <c r="B15" s="32" t="str">
        <f>IF(DAY(DATE(対象年度,1,12))&lt;&gt;12,"",CHOOSE(WEEKDAY(DATE(対象年度,1,12),2),"月","火","水","木","金","土","日"))</f>
        <v>月</v>
      </c>
      <c r="C15" s="32" t="str">
        <f>IF(DAY(DATE(対象年度,1,12))&lt;&gt;12,"",IF(ISNUMBER(MATCH(DATE(対象年度,1,12),祝日リスト,0)),"祝",""))</f>
        <v>祝</v>
      </c>
      <c r="D15" s="33"/>
      <c r="E15" s="34"/>
      <c r="F15" s="35" t="str">
        <f t="shared" si="0"/>
        <v/>
      </c>
      <c r="G15" s="36" t="str">
        <f t="shared" si="1"/>
        <v/>
      </c>
      <c r="H15" s="37"/>
      <c r="I15" s="33"/>
      <c r="J15" s="34"/>
      <c r="K15" s="35" t="str">
        <f t="shared" si="2"/>
        <v/>
      </c>
      <c r="L15" s="36" t="str">
        <f t="shared" si="3"/>
        <v/>
      </c>
      <c r="M15" s="37"/>
      <c r="N15" s="33"/>
      <c r="O15" s="34"/>
      <c r="P15" s="35" t="str">
        <f t="shared" si="4"/>
        <v/>
      </c>
      <c r="Q15" s="36" t="str">
        <f t="shared" si="5"/>
        <v/>
      </c>
      <c r="R15" s="37"/>
      <c r="S15" s="33"/>
      <c r="T15" s="34"/>
      <c r="U15" s="35" t="str">
        <f t="shared" si="6"/>
        <v/>
      </c>
      <c r="V15" s="36" t="str">
        <f t="shared" si="7"/>
        <v/>
      </c>
      <c r="W15" s="37"/>
      <c r="X15" s="33"/>
      <c r="Y15" s="34"/>
      <c r="Z15" s="35" t="str">
        <f t="shared" si="8"/>
        <v/>
      </c>
      <c r="AA15" s="36" t="str">
        <f t="shared" si="9"/>
        <v/>
      </c>
      <c r="AB15" s="37"/>
      <c r="AC15" s="33"/>
      <c r="AD15" s="34"/>
      <c r="AE15" s="35" t="str">
        <f t="shared" si="10"/>
        <v/>
      </c>
      <c r="AF15" s="36" t="str">
        <f t="shared" si="11"/>
        <v/>
      </c>
      <c r="AG15" s="37"/>
      <c r="AH15" s="33"/>
      <c r="AI15" s="34"/>
      <c r="AJ15" s="35" t="str">
        <f t="shared" si="12"/>
        <v/>
      </c>
      <c r="AK15" s="36" t="str">
        <f t="shared" si="13"/>
        <v/>
      </c>
      <c r="AL15" s="37"/>
      <c r="AM15" s="33"/>
      <c r="AN15" s="34"/>
      <c r="AO15" s="35" t="str">
        <f t="shared" si="14"/>
        <v/>
      </c>
      <c r="AP15" s="36" t="str">
        <f t="shared" si="15"/>
        <v/>
      </c>
      <c r="AQ15" s="37"/>
      <c r="AR15" s="33"/>
      <c r="AS15" s="34"/>
      <c r="AT15" s="35" t="str">
        <f t="shared" si="16"/>
        <v/>
      </c>
      <c r="AU15" s="36" t="str">
        <f t="shared" si="17"/>
        <v/>
      </c>
      <c r="AV15" s="37"/>
      <c r="AW15" s="33"/>
      <c r="AX15" s="34"/>
      <c r="AY15" s="35" t="str">
        <f t="shared" si="18"/>
        <v/>
      </c>
      <c r="AZ15" s="36" t="str">
        <f t="shared" si="19"/>
        <v/>
      </c>
      <c r="BA15" s="37"/>
      <c r="BB15" s="33"/>
      <c r="BC15" s="34"/>
      <c r="BD15" s="35" t="str">
        <f t="shared" si="20"/>
        <v/>
      </c>
      <c r="BE15" s="36" t="str">
        <f t="shared" si="21"/>
        <v/>
      </c>
      <c r="BF15" s="37"/>
      <c r="BG15" s="33"/>
      <c r="BH15" s="34"/>
      <c r="BI15" s="35" t="str">
        <f t="shared" si="22"/>
        <v/>
      </c>
      <c r="BJ15" s="36" t="str">
        <f t="shared" si="23"/>
        <v/>
      </c>
      <c r="BK15" s="37"/>
      <c r="BL15" s="33"/>
      <c r="BM15" s="34"/>
      <c r="BN15" s="35" t="str">
        <f t="shared" si="24"/>
        <v/>
      </c>
      <c r="BO15" s="36" t="str">
        <f t="shared" si="25"/>
        <v/>
      </c>
      <c r="BP15" s="37"/>
      <c r="BQ15" s="33"/>
      <c r="BR15" s="34"/>
      <c r="BS15" s="35" t="str">
        <f t="shared" si="26"/>
        <v/>
      </c>
      <c r="BT15" s="36" t="str">
        <f t="shared" si="27"/>
        <v/>
      </c>
      <c r="BU15" s="37"/>
      <c r="BV15" s="33"/>
      <c r="BW15" s="34"/>
      <c r="BX15" s="35" t="str">
        <f t="shared" si="28"/>
        <v/>
      </c>
      <c r="BY15" s="36" t="str">
        <f t="shared" si="29"/>
        <v/>
      </c>
      <c r="BZ15" s="37"/>
      <c r="CA15" s="33"/>
      <c r="CB15" s="34"/>
      <c r="CC15" s="35" t="str">
        <f t="shared" si="30"/>
        <v/>
      </c>
      <c r="CD15" s="36" t="str">
        <f t="shared" si="31"/>
        <v/>
      </c>
      <c r="CE15" s="37"/>
      <c r="CF15" s="33"/>
      <c r="CG15" s="34"/>
      <c r="CH15" s="35" t="str">
        <f t="shared" si="32"/>
        <v/>
      </c>
      <c r="CI15" s="36" t="str">
        <f t="shared" si="33"/>
        <v/>
      </c>
      <c r="CJ15" s="37"/>
      <c r="CK15" s="33"/>
      <c r="CL15" s="34"/>
      <c r="CM15" s="35" t="str">
        <f t="shared" si="34"/>
        <v/>
      </c>
      <c r="CN15" s="36" t="str">
        <f t="shared" si="35"/>
        <v/>
      </c>
      <c r="CO15" s="37"/>
      <c r="CP15" s="33"/>
      <c r="CQ15" s="34"/>
      <c r="CR15" s="35" t="str">
        <f t="shared" si="36"/>
        <v/>
      </c>
      <c r="CS15" s="36" t="str">
        <f t="shared" si="37"/>
        <v/>
      </c>
      <c r="CT15" s="37"/>
      <c r="CU15" s="33"/>
      <c r="CV15" s="34"/>
      <c r="CW15" s="35" t="str">
        <f t="shared" si="38"/>
        <v/>
      </c>
      <c r="CX15" s="36" t="str">
        <f t="shared" si="39"/>
        <v/>
      </c>
      <c r="CY15" s="37"/>
      <c r="CZ15" s="33"/>
      <c r="DA15" s="34"/>
      <c r="DB15" s="35" t="str">
        <f t="shared" si="40"/>
        <v/>
      </c>
      <c r="DC15" s="36" t="str">
        <f t="shared" si="41"/>
        <v/>
      </c>
      <c r="DD15" s="37"/>
      <c r="DE15" s="33"/>
      <c r="DF15" s="34"/>
      <c r="DG15" s="35" t="str">
        <f t="shared" si="42"/>
        <v/>
      </c>
      <c r="DH15" s="36" t="str">
        <f t="shared" si="43"/>
        <v/>
      </c>
      <c r="DI15" s="37"/>
      <c r="DJ15" s="33"/>
      <c r="DK15" s="34"/>
      <c r="DL15" s="35" t="str">
        <f t="shared" si="44"/>
        <v/>
      </c>
      <c r="DM15" s="36" t="str">
        <f t="shared" si="45"/>
        <v/>
      </c>
      <c r="DN15" s="37"/>
      <c r="DO15" s="33"/>
      <c r="DP15" s="34"/>
      <c r="DQ15" s="35" t="str">
        <f t="shared" si="46"/>
        <v/>
      </c>
      <c r="DR15" s="36" t="str">
        <f t="shared" si="47"/>
        <v/>
      </c>
      <c r="DS15" s="37"/>
      <c r="DT15" s="33"/>
      <c r="DU15" s="34"/>
      <c r="DV15" s="35" t="str">
        <f t="shared" si="48"/>
        <v/>
      </c>
      <c r="DW15" s="36" t="str">
        <f t="shared" si="49"/>
        <v/>
      </c>
      <c r="DX15" s="37"/>
      <c r="DY15" s="33"/>
      <c r="DZ15" s="34"/>
      <c r="EA15" s="35" t="str">
        <f t="shared" si="50"/>
        <v/>
      </c>
      <c r="EB15" s="36" t="str">
        <f t="shared" si="51"/>
        <v/>
      </c>
      <c r="EC15" s="37"/>
      <c r="ED15" s="33"/>
      <c r="EE15" s="34"/>
      <c r="EF15" s="35" t="str">
        <f t="shared" si="52"/>
        <v/>
      </c>
      <c r="EG15" s="36" t="str">
        <f t="shared" si="53"/>
        <v/>
      </c>
      <c r="EH15" s="37"/>
      <c r="EI15" s="33"/>
      <c r="EJ15" s="34"/>
      <c r="EK15" s="35" t="str">
        <f t="shared" si="54"/>
        <v/>
      </c>
      <c r="EL15" s="36" t="str">
        <f t="shared" si="55"/>
        <v/>
      </c>
      <c r="EM15" s="37"/>
      <c r="EN15" s="33"/>
      <c r="EO15" s="34"/>
      <c r="EP15" s="35" t="str">
        <f t="shared" si="56"/>
        <v/>
      </c>
      <c r="EQ15" s="36" t="str">
        <f t="shared" si="57"/>
        <v/>
      </c>
      <c r="ER15" s="37"/>
      <c r="ES15" s="33"/>
      <c r="ET15" s="34"/>
      <c r="EU15" s="35" t="str">
        <f t="shared" si="58"/>
        <v/>
      </c>
      <c r="EV15" s="36" t="str">
        <f t="shared" si="59"/>
        <v/>
      </c>
      <c r="EW15" s="37"/>
    </row>
    <row r="16" spans="1:153" ht="19.5" customHeight="1">
      <c r="A16" s="32">
        <f>IF(DAY(DATE(対象年度,1,13))&lt;&gt;13,"",13)</f>
        <v>13</v>
      </c>
      <c r="B16" s="32" t="str">
        <f>IF(DAY(DATE(対象年度,1,13))&lt;&gt;13,"",CHOOSE(WEEKDAY(DATE(対象年度,1,13),2),"月","火","水","木","金","土","日"))</f>
        <v>火</v>
      </c>
      <c r="C16" s="32" t="str">
        <f>IF(DAY(DATE(対象年度,1,13))&lt;&gt;13,"",IF(ISNUMBER(MATCH(DATE(対象年度,1,13),祝日リスト,0)),"祝",""))</f>
        <v/>
      </c>
      <c r="D16" s="33"/>
      <c r="E16" s="34"/>
      <c r="F16" s="35" t="str">
        <f t="shared" si="0"/>
        <v/>
      </c>
      <c r="G16" s="36" t="str">
        <f t="shared" si="1"/>
        <v/>
      </c>
      <c r="H16" s="37"/>
      <c r="I16" s="33"/>
      <c r="J16" s="34"/>
      <c r="K16" s="35" t="str">
        <f t="shared" si="2"/>
        <v/>
      </c>
      <c r="L16" s="36" t="str">
        <f t="shared" si="3"/>
        <v/>
      </c>
      <c r="M16" s="37"/>
      <c r="N16" s="33"/>
      <c r="O16" s="34"/>
      <c r="P16" s="35" t="str">
        <f t="shared" si="4"/>
        <v/>
      </c>
      <c r="Q16" s="36" t="str">
        <f t="shared" si="5"/>
        <v/>
      </c>
      <c r="R16" s="37"/>
      <c r="S16" s="33"/>
      <c r="T16" s="34"/>
      <c r="U16" s="35" t="str">
        <f t="shared" si="6"/>
        <v/>
      </c>
      <c r="V16" s="36" t="str">
        <f t="shared" si="7"/>
        <v/>
      </c>
      <c r="W16" s="37"/>
      <c r="X16" s="33"/>
      <c r="Y16" s="34"/>
      <c r="Z16" s="35" t="str">
        <f t="shared" si="8"/>
        <v/>
      </c>
      <c r="AA16" s="36" t="str">
        <f t="shared" si="9"/>
        <v/>
      </c>
      <c r="AB16" s="37"/>
      <c r="AC16" s="33"/>
      <c r="AD16" s="34"/>
      <c r="AE16" s="35" t="str">
        <f t="shared" si="10"/>
        <v/>
      </c>
      <c r="AF16" s="36" t="str">
        <f t="shared" si="11"/>
        <v/>
      </c>
      <c r="AG16" s="37"/>
      <c r="AH16" s="33"/>
      <c r="AI16" s="34"/>
      <c r="AJ16" s="35" t="str">
        <f t="shared" si="12"/>
        <v/>
      </c>
      <c r="AK16" s="36" t="str">
        <f t="shared" si="13"/>
        <v/>
      </c>
      <c r="AL16" s="37"/>
      <c r="AM16" s="33"/>
      <c r="AN16" s="34"/>
      <c r="AO16" s="35" t="str">
        <f t="shared" si="14"/>
        <v/>
      </c>
      <c r="AP16" s="36" t="str">
        <f t="shared" si="15"/>
        <v/>
      </c>
      <c r="AQ16" s="37"/>
      <c r="AR16" s="33"/>
      <c r="AS16" s="34"/>
      <c r="AT16" s="35" t="str">
        <f t="shared" si="16"/>
        <v/>
      </c>
      <c r="AU16" s="36" t="str">
        <f t="shared" si="17"/>
        <v/>
      </c>
      <c r="AV16" s="37"/>
      <c r="AW16" s="33"/>
      <c r="AX16" s="34"/>
      <c r="AY16" s="35" t="str">
        <f t="shared" si="18"/>
        <v/>
      </c>
      <c r="AZ16" s="36" t="str">
        <f t="shared" si="19"/>
        <v/>
      </c>
      <c r="BA16" s="37"/>
      <c r="BB16" s="33"/>
      <c r="BC16" s="34"/>
      <c r="BD16" s="35" t="str">
        <f t="shared" si="20"/>
        <v/>
      </c>
      <c r="BE16" s="36" t="str">
        <f t="shared" si="21"/>
        <v/>
      </c>
      <c r="BF16" s="37"/>
      <c r="BG16" s="33"/>
      <c r="BH16" s="34"/>
      <c r="BI16" s="35" t="str">
        <f t="shared" si="22"/>
        <v/>
      </c>
      <c r="BJ16" s="36" t="str">
        <f t="shared" si="23"/>
        <v/>
      </c>
      <c r="BK16" s="37"/>
      <c r="BL16" s="33"/>
      <c r="BM16" s="34"/>
      <c r="BN16" s="35" t="str">
        <f t="shared" si="24"/>
        <v/>
      </c>
      <c r="BO16" s="36" t="str">
        <f t="shared" si="25"/>
        <v/>
      </c>
      <c r="BP16" s="37"/>
      <c r="BQ16" s="33"/>
      <c r="BR16" s="34"/>
      <c r="BS16" s="35" t="str">
        <f t="shared" si="26"/>
        <v/>
      </c>
      <c r="BT16" s="36" t="str">
        <f t="shared" si="27"/>
        <v/>
      </c>
      <c r="BU16" s="37"/>
      <c r="BV16" s="33"/>
      <c r="BW16" s="34"/>
      <c r="BX16" s="35" t="str">
        <f t="shared" si="28"/>
        <v/>
      </c>
      <c r="BY16" s="36" t="str">
        <f t="shared" si="29"/>
        <v/>
      </c>
      <c r="BZ16" s="37"/>
      <c r="CA16" s="33"/>
      <c r="CB16" s="34"/>
      <c r="CC16" s="35" t="str">
        <f t="shared" si="30"/>
        <v/>
      </c>
      <c r="CD16" s="36" t="str">
        <f t="shared" si="31"/>
        <v/>
      </c>
      <c r="CE16" s="37"/>
      <c r="CF16" s="33"/>
      <c r="CG16" s="34"/>
      <c r="CH16" s="35" t="str">
        <f t="shared" si="32"/>
        <v/>
      </c>
      <c r="CI16" s="36" t="str">
        <f t="shared" si="33"/>
        <v/>
      </c>
      <c r="CJ16" s="37"/>
      <c r="CK16" s="33"/>
      <c r="CL16" s="34"/>
      <c r="CM16" s="35" t="str">
        <f t="shared" si="34"/>
        <v/>
      </c>
      <c r="CN16" s="36" t="str">
        <f t="shared" si="35"/>
        <v/>
      </c>
      <c r="CO16" s="37"/>
      <c r="CP16" s="33"/>
      <c r="CQ16" s="34"/>
      <c r="CR16" s="35" t="str">
        <f t="shared" si="36"/>
        <v/>
      </c>
      <c r="CS16" s="36" t="str">
        <f t="shared" si="37"/>
        <v/>
      </c>
      <c r="CT16" s="37"/>
      <c r="CU16" s="33"/>
      <c r="CV16" s="34"/>
      <c r="CW16" s="35" t="str">
        <f t="shared" si="38"/>
        <v/>
      </c>
      <c r="CX16" s="36" t="str">
        <f t="shared" si="39"/>
        <v/>
      </c>
      <c r="CY16" s="37"/>
      <c r="CZ16" s="33"/>
      <c r="DA16" s="34"/>
      <c r="DB16" s="35" t="str">
        <f t="shared" si="40"/>
        <v/>
      </c>
      <c r="DC16" s="36" t="str">
        <f t="shared" si="41"/>
        <v/>
      </c>
      <c r="DD16" s="37"/>
      <c r="DE16" s="33"/>
      <c r="DF16" s="34"/>
      <c r="DG16" s="35" t="str">
        <f t="shared" si="42"/>
        <v/>
      </c>
      <c r="DH16" s="36" t="str">
        <f t="shared" si="43"/>
        <v/>
      </c>
      <c r="DI16" s="37"/>
      <c r="DJ16" s="33"/>
      <c r="DK16" s="34"/>
      <c r="DL16" s="35" t="str">
        <f t="shared" si="44"/>
        <v/>
      </c>
      <c r="DM16" s="36" t="str">
        <f t="shared" si="45"/>
        <v/>
      </c>
      <c r="DN16" s="37"/>
      <c r="DO16" s="33"/>
      <c r="DP16" s="34"/>
      <c r="DQ16" s="35" t="str">
        <f t="shared" si="46"/>
        <v/>
      </c>
      <c r="DR16" s="36" t="str">
        <f t="shared" si="47"/>
        <v/>
      </c>
      <c r="DS16" s="37"/>
      <c r="DT16" s="33"/>
      <c r="DU16" s="34"/>
      <c r="DV16" s="35" t="str">
        <f t="shared" si="48"/>
        <v/>
      </c>
      <c r="DW16" s="36" t="str">
        <f t="shared" si="49"/>
        <v/>
      </c>
      <c r="DX16" s="37"/>
      <c r="DY16" s="33"/>
      <c r="DZ16" s="34"/>
      <c r="EA16" s="35" t="str">
        <f t="shared" si="50"/>
        <v/>
      </c>
      <c r="EB16" s="36" t="str">
        <f t="shared" si="51"/>
        <v/>
      </c>
      <c r="EC16" s="37"/>
      <c r="ED16" s="33"/>
      <c r="EE16" s="34"/>
      <c r="EF16" s="35" t="str">
        <f t="shared" si="52"/>
        <v/>
      </c>
      <c r="EG16" s="36" t="str">
        <f t="shared" si="53"/>
        <v/>
      </c>
      <c r="EH16" s="37"/>
      <c r="EI16" s="33"/>
      <c r="EJ16" s="34"/>
      <c r="EK16" s="35" t="str">
        <f t="shared" si="54"/>
        <v/>
      </c>
      <c r="EL16" s="36" t="str">
        <f t="shared" si="55"/>
        <v/>
      </c>
      <c r="EM16" s="37"/>
      <c r="EN16" s="33"/>
      <c r="EO16" s="34"/>
      <c r="EP16" s="35" t="str">
        <f t="shared" si="56"/>
        <v/>
      </c>
      <c r="EQ16" s="36" t="str">
        <f t="shared" si="57"/>
        <v/>
      </c>
      <c r="ER16" s="37"/>
      <c r="ES16" s="33"/>
      <c r="ET16" s="34"/>
      <c r="EU16" s="35" t="str">
        <f t="shared" si="58"/>
        <v/>
      </c>
      <c r="EV16" s="36" t="str">
        <f t="shared" si="59"/>
        <v/>
      </c>
      <c r="EW16" s="37"/>
    </row>
    <row r="17" spans="1:153" ht="19.5" customHeight="1">
      <c r="A17" s="32">
        <f>IF(DAY(DATE(対象年度,1,14))&lt;&gt;14,"",14)</f>
        <v>14</v>
      </c>
      <c r="B17" s="32" t="str">
        <f>IF(DAY(DATE(対象年度,1,14))&lt;&gt;14,"",CHOOSE(WEEKDAY(DATE(対象年度,1,14),2),"月","火","水","木","金","土","日"))</f>
        <v>水</v>
      </c>
      <c r="C17" s="32" t="str">
        <f>IF(DAY(DATE(対象年度,1,14))&lt;&gt;14,"",IF(ISNUMBER(MATCH(DATE(対象年度,1,14),祝日リスト,0)),"祝",""))</f>
        <v/>
      </c>
      <c r="D17" s="33"/>
      <c r="E17" s="34"/>
      <c r="F17" s="35" t="str">
        <f t="shared" si="0"/>
        <v/>
      </c>
      <c r="G17" s="36" t="str">
        <f t="shared" si="1"/>
        <v/>
      </c>
      <c r="H17" s="37"/>
      <c r="I17" s="33"/>
      <c r="J17" s="34"/>
      <c r="K17" s="35" t="str">
        <f t="shared" si="2"/>
        <v/>
      </c>
      <c r="L17" s="36" t="str">
        <f t="shared" si="3"/>
        <v/>
      </c>
      <c r="M17" s="37"/>
      <c r="N17" s="33"/>
      <c r="O17" s="34"/>
      <c r="P17" s="35" t="str">
        <f t="shared" si="4"/>
        <v/>
      </c>
      <c r="Q17" s="36" t="str">
        <f t="shared" si="5"/>
        <v/>
      </c>
      <c r="R17" s="37"/>
      <c r="S17" s="33"/>
      <c r="T17" s="34"/>
      <c r="U17" s="35" t="str">
        <f t="shared" si="6"/>
        <v/>
      </c>
      <c r="V17" s="36" t="str">
        <f t="shared" si="7"/>
        <v/>
      </c>
      <c r="W17" s="37"/>
      <c r="X17" s="33"/>
      <c r="Y17" s="34"/>
      <c r="Z17" s="35" t="str">
        <f t="shared" si="8"/>
        <v/>
      </c>
      <c r="AA17" s="36" t="str">
        <f t="shared" si="9"/>
        <v/>
      </c>
      <c r="AB17" s="37"/>
      <c r="AC17" s="33"/>
      <c r="AD17" s="34"/>
      <c r="AE17" s="35" t="str">
        <f t="shared" si="10"/>
        <v/>
      </c>
      <c r="AF17" s="36" t="str">
        <f t="shared" si="11"/>
        <v/>
      </c>
      <c r="AG17" s="37"/>
      <c r="AH17" s="33"/>
      <c r="AI17" s="34"/>
      <c r="AJ17" s="35" t="str">
        <f t="shared" si="12"/>
        <v/>
      </c>
      <c r="AK17" s="36" t="str">
        <f t="shared" si="13"/>
        <v/>
      </c>
      <c r="AL17" s="37"/>
      <c r="AM17" s="33"/>
      <c r="AN17" s="34"/>
      <c r="AO17" s="35" t="str">
        <f t="shared" si="14"/>
        <v/>
      </c>
      <c r="AP17" s="36" t="str">
        <f t="shared" si="15"/>
        <v/>
      </c>
      <c r="AQ17" s="37"/>
      <c r="AR17" s="33"/>
      <c r="AS17" s="34"/>
      <c r="AT17" s="35" t="str">
        <f t="shared" si="16"/>
        <v/>
      </c>
      <c r="AU17" s="36" t="str">
        <f t="shared" si="17"/>
        <v/>
      </c>
      <c r="AV17" s="37"/>
      <c r="AW17" s="33"/>
      <c r="AX17" s="34"/>
      <c r="AY17" s="35" t="str">
        <f t="shared" si="18"/>
        <v/>
      </c>
      <c r="AZ17" s="36" t="str">
        <f t="shared" si="19"/>
        <v/>
      </c>
      <c r="BA17" s="37"/>
      <c r="BB17" s="33"/>
      <c r="BC17" s="34"/>
      <c r="BD17" s="35" t="str">
        <f t="shared" si="20"/>
        <v/>
      </c>
      <c r="BE17" s="36" t="str">
        <f t="shared" si="21"/>
        <v/>
      </c>
      <c r="BF17" s="37"/>
      <c r="BG17" s="33"/>
      <c r="BH17" s="34"/>
      <c r="BI17" s="35" t="str">
        <f t="shared" si="22"/>
        <v/>
      </c>
      <c r="BJ17" s="36" t="str">
        <f t="shared" si="23"/>
        <v/>
      </c>
      <c r="BK17" s="37"/>
      <c r="BL17" s="33"/>
      <c r="BM17" s="34"/>
      <c r="BN17" s="35" t="str">
        <f t="shared" si="24"/>
        <v/>
      </c>
      <c r="BO17" s="36" t="str">
        <f t="shared" si="25"/>
        <v/>
      </c>
      <c r="BP17" s="37"/>
      <c r="BQ17" s="33"/>
      <c r="BR17" s="34"/>
      <c r="BS17" s="35" t="str">
        <f t="shared" si="26"/>
        <v/>
      </c>
      <c r="BT17" s="36" t="str">
        <f t="shared" si="27"/>
        <v/>
      </c>
      <c r="BU17" s="37"/>
      <c r="BV17" s="33"/>
      <c r="BW17" s="34"/>
      <c r="BX17" s="35" t="str">
        <f t="shared" si="28"/>
        <v/>
      </c>
      <c r="BY17" s="36" t="str">
        <f t="shared" si="29"/>
        <v/>
      </c>
      <c r="BZ17" s="37"/>
      <c r="CA17" s="33"/>
      <c r="CB17" s="34"/>
      <c r="CC17" s="35" t="str">
        <f t="shared" si="30"/>
        <v/>
      </c>
      <c r="CD17" s="36" t="str">
        <f t="shared" si="31"/>
        <v/>
      </c>
      <c r="CE17" s="37"/>
      <c r="CF17" s="33"/>
      <c r="CG17" s="34"/>
      <c r="CH17" s="35" t="str">
        <f t="shared" si="32"/>
        <v/>
      </c>
      <c r="CI17" s="36" t="str">
        <f t="shared" si="33"/>
        <v/>
      </c>
      <c r="CJ17" s="37"/>
      <c r="CK17" s="33"/>
      <c r="CL17" s="34"/>
      <c r="CM17" s="35" t="str">
        <f t="shared" si="34"/>
        <v/>
      </c>
      <c r="CN17" s="36" t="str">
        <f t="shared" si="35"/>
        <v/>
      </c>
      <c r="CO17" s="37"/>
      <c r="CP17" s="33"/>
      <c r="CQ17" s="34"/>
      <c r="CR17" s="35" t="str">
        <f t="shared" si="36"/>
        <v/>
      </c>
      <c r="CS17" s="36" t="str">
        <f t="shared" si="37"/>
        <v/>
      </c>
      <c r="CT17" s="37"/>
      <c r="CU17" s="33"/>
      <c r="CV17" s="34"/>
      <c r="CW17" s="35" t="str">
        <f t="shared" si="38"/>
        <v/>
      </c>
      <c r="CX17" s="36" t="str">
        <f t="shared" si="39"/>
        <v/>
      </c>
      <c r="CY17" s="37"/>
      <c r="CZ17" s="33"/>
      <c r="DA17" s="34"/>
      <c r="DB17" s="35" t="str">
        <f t="shared" si="40"/>
        <v/>
      </c>
      <c r="DC17" s="36" t="str">
        <f t="shared" si="41"/>
        <v/>
      </c>
      <c r="DD17" s="37"/>
      <c r="DE17" s="33"/>
      <c r="DF17" s="34"/>
      <c r="DG17" s="35" t="str">
        <f t="shared" si="42"/>
        <v/>
      </c>
      <c r="DH17" s="36" t="str">
        <f t="shared" si="43"/>
        <v/>
      </c>
      <c r="DI17" s="37"/>
      <c r="DJ17" s="33"/>
      <c r="DK17" s="34"/>
      <c r="DL17" s="35" t="str">
        <f t="shared" si="44"/>
        <v/>
      </c>
      <c r="DM17" s="36" t="str">
        <f t="shared" si="45"/>
        <v/>
      </c>
      <c r="DN17" s="37"/>
      <c r="DO17" s="33"/>
      <c r="DP17" s="34"/>
      <c r="DQ17" s="35" t="str">
        <f t="shared" si="46"/>
        <v/>
      </c>
      <c r="DR17" s="36" t="str">
        <f t="shared" si="47"/>
        <v/>
      </c>
      <c r="DS17" s="37"/>
      <c r="DT17" s="33"/>
      <c r="DU17" s="34"/>
      <c r="DV17" s="35" t="str">
        <f t="shared" si="48"/>
        <v/>
      </c>
      <c r="DW17" s="36" t="str">
        <f t="shared" si="49"/>
        <v/>
      </c>
      <c r="DX17" s="37"/>
      <c r="DY17" s="33"/>
      <c r="DZ17" s="34"/>
      <c r="EA17" s="35" t="str">
        <f t="shared" si="50"/>
        <v/>
      </c>
      <c r="EB17" s="36" t="str">
        <f t="shared" si="51"/>
        <v/>
      </c>
      <c r="EC17" s="37"/>
      <c r="ED17" s="33"/>
      <c r="EE17" s="34"/>
      <c r="EF17" s="35" t="str">
        <f t="shared" si="52"/>
        <v/>
      </c>
      <c r="EG17" s="36" t="str">
        <f t="shared" si="53"/>
        <v/>
      </c>
      <c r="EH17" s="37"/>
      <c r="EI17" s="33"/>
      <c r="EJ17" s="34"/>
      <c r="EK17" s="35" t="str">
        <f t="shared" si="54"/>
        <v/>
      </c>
      <c r="EL17" s="36" t="str">
        <f t="shared" si="55"/>
        <v/>
      </c>
      <c r="EM17" s="37"/>
      <c r="EN17" s="33"/>
      <c r="EO17" s="34"/>
      <c r="EP17" s="35" t="str">
        <f t="shared" si="56"/>
        <v/>
      </c>
      <c r="EQ17" s="36" t="str">
        <f t="shared" si="57"/>
        <v/>
      </c>
      <c r="ER17" s="37"/>
      <c r="ES17" s="33"/>
      <c r="ET17" s="34"/>
      <c r="EU17" s="35" t="str">
        <f t="shared" si="58"/>
        <v/>
      </c>
      <c r="EV17" s="36" t="str">
        <f t="shared" si="59"/>
        <v/>
      </c>
      <c r="EW17" s="37"/>
    </row>
    <row r="18" spans="1:153" ht="19.5" customHeight="1">
      <c r="A18" s="32">
        <f>IF(DAY(DATE(対象年度,1,15))&lt;&gt;15,"",15)</f>
        <v>15</v>
      </c>
      <c r="B18" s="32" t="str">
        <f>IF(DAY(DATE(対象年度,1,15))&lt;&gt;15,"",CHOOSE(WEEKDAY(DATE(対象年度,1,15),2),"月","火","水","木","金","土","日"))</f>
        <v>木</v>
      </c>
      <c r="C18" s="32" t="str">
        <f>IF(DAY(DATE(対象年度,1,15))&lt;&gt;15,"",IF(ISNUMBER(MATCH(DATE(対象年度,1,15),祝日リスト,0)),"祝",""))</f>
        <v/>
      </c>
      <c r="D18" s="33"/>
      <c r="E18" s="34"/>
      <c r="F18" s="35" t="str">
        <f t="shared" si="0"/>
        <v/>
      </c>
      <c r="G18" s="36" t="str">
        <f t="shared" si="1"/>
        <v/>
      </c>
      <c r="H18" s="37"/>
      <c r="I18" s="33"/>
      <c r="J18" s="34"/>
      <c r="K18" s="35" t="str">
        <f t="shared" si="2"/>
        <v/>
      </c>
      <c r="L18" s="36" t="str">
        <f t="shared" si="3"/>
        <v/>
      </c>
      <c r="M18" s="37"/>
      <c r="N18" s="33"/>
      <c r="O18" s="34"/>
      <c r="P18" s="35" t="str">
        <f t="shared" si="4"/>
        <v/>
      </c>
      <c r="Q18" s="36" t="str">
        <f t="shared" si="5"/>
        <v/>
      </c>
      <c r="R18" s="37"/>
      <c r="S18" s="33"/>
      <c r="T18" s="34"/>
      <c r="U18" s="35" t="str">
        <f t="shared" si="6"/>
        <v/>
      </c>
      <c r="V18" s="36" t="str">
        <f t="shared" si="7"/>
        <v/>
      </c>
      <c r="W18" s="37"/>
      <c r="X18" s="33"/>
      <c r="Y18" s="34"/>
      <c r="Z18" s="35" t="str">
        <f t="shared" si="8"/>
        <v/>
      </c>
      <c r="AA18" s="36" t="str">
        <f t="shared" si="9"/>
        <v/>
      </c>
      <c r="AB18" s="37"/>
      <c r="AC18" s="33"/>
      <c r="AD18" s="34"/>
      <c r="AE18" s="35" t="str">
        <f t="shared" si="10"/>
        <v/>
      </c>
      <c r="AF18" s="36" t="str">
        <f t="shared" si="11"/>
        <v/>
      </c>
      <c r="AG18" s="37"/>
      <c r="AH18" s="33"/>
      <c r="AI18" s="34"/>
      <c r="AJ18" s="35" t="str">
        <f t="shared" si="12"/>
        <v/>
      </c>
      <c r="AK18" s="36" t="str">
        <f t="shared" si="13"/>
        <v/>
      </c>
      <c r="AL18" s="37"/>
      <c r="AM18" s="33"/>
      <c r="AN18" s="34"/>
      <c r="AO18" s="35" t="str">
        <f t="shared" si="14"/>
        <v/>
      </c>
      <c r="AP18" s="36" t="str">
        <f t="shared" si="15"/>
        <v/>
      </c>
      <c r="AQ18" s="37"/>
      <c r="AR18" s="33"/>
      <c r="AS18" s="34"/>
      <c r="AT18" s="35" t="str">
        <f t="shared" si="16"/>
        <v/>
      </c>
      <c r="AU18" s="36" t="str">
        <f t="shared" si="17"/>
        <v/>
      </c>
      <c r="AV18" s="37"/>
      <c r="AW18" s="33"/>
      <c r="AX18" s="34"/>
      <c r="AY18" s="35" t="str">
        <f t="shared" si="18"/>
        <v/>
      </c>
      <c r="AZ18" s="36" t="str">
        <f t="shared" si="19"/>
        <v/>
      </c>
      <c r="BA18" s="37"/>
      <c r="BB18" s="33"/>
      <c r="BC18" s="34"/>
      <c r="BD18" s="35" t="str">
        <f t="shared" si="20"/>
        <v/>
      </c>
      <c r="BE18" s="36" t="str">
        <f t="shared" si="21"/>
        <v/>
      </c>
      <c r="BF18" s="37"/>
      <c r="BG18" s="33"/>
      <c r="BH18" s="34"/>
      <c r="BI18" s="35" t="str">
        <f t="shared" si="22"/>
        <v/>
      </c>
      <c r="BJ18" s="36" t="str">
        <f t="shared" si="23"/>
        <v/>
      </c>
      <c r="BK18" s="37"/>
      <c r="BL18" s="33"/>
      <c r="BM18" s="34"/>
      <c r="BN18" s="35" t="str">
        <f t="shared" si="24"/>
        <v/>
      </c>
      <c r="BO18" s="36" t="str">
        <f t="shared" si="25"/>
        <v/>
      </c>
      <c r="BP18" s="37"/>
      <c r="BQ18" s="33"/>
      <c r="BR18" s="34"/>
      <c r="BS18" s="35" t="str">
        <f t="shared" si="26"/>
        <v/>
      </c>
      <c r="BT18" s="36" t="str">
        <f t="shared" si="27"/>
        <v/>
      </c>
      <c r="BU18" s="37"/>
      <c r="BV18" s="33"/>
      <c r="BW18" s="34"/>
      <c r="BX18" s="35" t="str">
        <f t="shared" si="28"/>
        <v/>
      </c>
      <c r="BY18" s="36" t="str">
        <f t="shared" si="29"/>
        <v/>
      </c>
      <c r="BZ18" s="37"/>
      <c r="CA18" s="33"/>
      <c r="CB18" s="34"/>
      <c r="CC18" s="35" t="str">
        <f t="shared" si="30"/>
        <v/>
      </c>
      <c r="CD18" s="36" t="str">
        <f t="shared" si="31"/>
        <v/>
      </c>
      <c r="CE18" s="37"/>
      <c r="CF18" s="33"/>
      <c r="CG18" s="34"/>
      <c r="CH18" s="35" t="str">
        <f t="shared" si="32"/>
        <v/>
      </c>
      <c r="CI18" s="36" t="str">
        <f t="shared" si="33"/>
        <v/>
      </c>
      <c r="CJ18" s="37"/>
      <c r="CK18" s="33"/>
      <c r="CL18" s="34"/>
      <c r="CM18" s="35" t="str">
        <f t="shared" si="34"/>
        <v/>
      </c>
      <c r="CN18" s="36" t="str">
        <f t="shared" si="35"/>
        <v/>
      </c>
      <c r="CO18" s="37"/>
      <c r="CP18" s="33"/>
      <c r="CQ18" s="34"/>
      <c r="CR18" s="35" t="str">
        <f t="shared" si="36"/>
        <v/>
      </c>
      <c r="CS18" s="36" t="str">
        <f t="shared" si="37"/>
        <v/>
      </c>
      <c r="CT18" s="37"/>
      <c r="CU18" s="33"/>
      <c r="CV18" s="34"/>
      <c r="CW18" s="35" t="str">
        <f t="shared" si="38"/>
        <v/>
      </c>
      <c r="CX18" s="36" t="str">
        <f t="shared" si="39"/>
        <v/>
      </c>
      <c r="CY18" s="37"/>
      <c r="CZ18" s="33"/>
      <c r="DA18" s="34"/>
      <c r="DB18" s="35" t="str">
        <f t="shared" si="40"/>
        <v/>
      </c>
      <c r="DC18" s="36" t="str">
        <f t="shared" si="41"/>
        <v/>
      </c>
      <c r="DD18" s="37"/>
      <c r="DE18" s="33"/>
      <c r="DF18" s="34"/>
      <c r="DG18" s="35" t="str">
        <f t="shared" si="42"/>
        <v/>
      </c>
      <c r="DH18" s="36" t="str">
        <f t="shared" si="43"/>
        <v/>
      </c>
      <c r="DI18" s="37"/>
      <c r="DJ18" s="33"/>
      <c r="DK18" s="34"/>
      <c r="DL18" s="35" t="str">
        <f t="shared" si="44"/>
        <v/>
      </c>
      <c r="DM18" s="36" t="str">
        <f t="shared" si="45"/>
        <v/>
      </c>
      <c r="DN18" s="37"/>
      <c r="DO18" s="33"/>
      <c r="DP18" s="34"/>
      <c r="DQ18" s="35" t="str">
        <f t="shared" si="46"/>
        <v/>
      </c>
      <c r="DR18" s="36" t="str">
        <f t="shared" si="47"/>
        <v/>
      </c>
      <c r="DS18" s="37"/>
      <c r="DT18" s="33"/>
      <c r="DU18" s="34"/>
      <c r="DV18" s="35" t="str">
        <f t="shared" si="48"/>
        <v/>
      </c>
      <c r="DW18" s="36" t="str">
        <f t="shared" si="49"/>
        <v/>
      </c>
      <c r="DX18" s="37"/>
      <c r="DY18" s="33"/>
      <c r="DZ18" s="34"/>
      <c r="EA18" s="35" t="str">
        <f t="shared" si="50"/>
        <v/>
      </c>
      <c r="EB18" s="36" t="str">
        <f t="shared" si="51"/>
        <v/>
      </c>
      <c r="EC18" s="37"/>
      <c r="ED18" s="33"/>
      <c r="EE18" s="34"/>
      <c r="EF18" s="35" t="str">
        <f t="shared" si="52"/>
        <v/>
      </c>
      <c r="EG18" s="36" t="str">
        <f t="shared" si="53"/>
        <v/>
      </c>
      <c r="EH18" s="37"/>
      <c r="EI18" s="33"/>
      <c r="EJ18" s="34"/>
      <c r="EK18" s="35" t="str">
        <f t="shared" si="54"/>
        <v/>
      </c>
      <c r="EL18" s="36" t="str">
        <f t="shared" si="55"/>
        <v/>
      </c>
      <c r="EM18" s="37"/>
      <c r="EN18" s="33"/>
      <c r="EO18" s="34"/>
      <c r="EP18" s="35" t="str">
        <f t="shared" si="56"/>
        <v/>
      </c>
      <c r="EQ18" s="36" t="str">
        <f t="shared" si="57"/>
        <v/>
      </c>
      <c r="ER18" s="37"/>
      <c r="ES18" s="33"/>
      <c r="ET18" s="34"/>
      <c r="EU18" s="35" t="str">
        <f t="shared" si="58"/>
        <v/>
      </c>
      <c r="EV18" s="36" t="str">
        <f t="shared" si="59"/>
        <v/>
      </c>
      <c r="EW18" s="37"/>
    </row>
    <row r="19" spans="1:153" ht="19.5" customHeight="1">
      <c r="A19" s="32">
        <f>IF(DAY(DATE(対象年度,1,16))&lt;&gt;16,"",16)</f>
        <v>16</v>
      </c>
      <c r="B19" s="32" t="str">
        <f>IF(DAY(DATE(対象年度,1,16))&lt;&gt;16,"",CHOOSE(WEEKDAY(DATE(対象年度,1,16),2),"月","火","水","木","金","土","日"))</f>
        <v>金</v>
      </c>
      <c r="C19" s="32" t="str">
        <f>IF(DAY(DATE(対象年度,1,16))&lt;&gt;16,"",IF(ISNUMBER(MATCH(DATE(対象年度,1,16),祝日リスト,0)),"祝",""))</f>
        <v/>
      </c>
      <c r="D19" s="33"/>
      <c r="E19" s="34"/>
      <c r="F19" s="35" t="str">
        <f t="shared" si="0"/>
        <v/>
      </c>
      <c r="G19" s="36" t="str">
        <f t="shared" si="1"/>
        <v/>
      </c>
      <c r="H19" s="37"/>
      <c r="I19" s="33"/>
      <c r="J19" s="34"/>
      <c r="K19" s="35" t="str">
        <f t="shared" si="2"/>
        <v/>
      </c>
      <c r="L19" s="36" t="str">
        <f t="shared" si="3"/>
        <v/>
      </c>
      <c r="M19" s="37"/>
      <c r="N19" s="33"/>
      <c r="O19" s="34"/>
      <c r="P19" s="35" t="str">
        <f t="shared" si="4"/>
        <v/>
      </c>
      <c r="Q19" s="36" t="str">
        <f t="shared" si="5"/>
        <v/>
      </c>
      <c r="R19" s="37"/>
      <c r="S19" s="33"/>
      <c r="T19" s="34"/>
      <c r="U19" s="35" t="str">
        <f t="shared" si="6"/>
        <v/>
      </c>
      <c r="V19" s="36" t="str">
        <f t="shared" si="7"/>
        <v/>
      </c>
      <c r="W19" s="37"/>
      <c r="X19" s="33"/>
      <c r="Y19" s="34"/>
      <c r="Z19" s="35" t="str">
        <f t="shared" si="8"/>
        <v/>
      </c>
      <c r="AA19" s="36" t="str">
        <f t="shared" si="9"/>
        <v/>
      </c>
      <c r="AB19" s="37"/>
      <c r="AC19" s="33"/>
      <c r="AD19" s="34"/>
      <c r="AE19" s="35" t="str">
        <f t="shared" si="10"/>
        <v/>
      </c>
      <c r="AF19" s="36" t="str">
        <f t="shared" si="11"/>
        <v/>
      </c>
      <c r="AG19" s="37"/>
      <c r="AH19" s="33"/>
      <c r="AI19" s="34"/>
      <c r="AJ19" s="35" t="str">
        <f t="shared" si="12"/>
        <v/>
      </c>
      <c r="AK19" s="36" t="str">
        <f t="shared" si="13"/>
        <v/>
      </c>
      <c r="AL19" s="37"/>
      <c r="AM19" s="33"/>
      <c r="AN19" s="34"/>
      <c r="AO19" s="35" t="str">
        <f t="shared" si="14"/>
        <v/>
      </c>
      <c r="AP19" s="36" t="str">
        <f t="shared" si="15"/>
        <v/>
      </c>
      <c r="AQ19" s="37"/>
      <c r="AR19" s="33"/>
      <c r="AS19" s="34"/>
      <c r="AT19" s="35" t="str">
        <f t="shared" si="16"/>
        <v/>
      </c>
      <c r="AU19" s="36" t="str">
        <f t="shared" si="17"/>
        <v/>
      </c>
      <c r="AV19" s="37"/>
      <c r="AW19" s="33"/>
      <c r="AX19" s="34"/>
      <c r="AY19" s="35" t="str">
        <f t="shared" si="18"/>
        <v/>
      </c>
      <c r="AZ19" s="36" t="str">
        <f t="shared" si="19"/>
        <v/>
      </c>
      <c r="BA19" s="37"/>
      <c r="BB19" s="33"/>
      <c r="BC19" s="34"/>
      <c r="BD19" s="35" t="str">
        <f t="shared" si="20"/>
        <v/>
      </c>
      <c r="BE19" s="36" t="str">
        <f t="shared" si="21"/>
        <v/>
      </c>
      <c r="BF19" s="37"/>
      <c r="BG19" s="33"/>
      <c r="BH19" s="34"/>
      <c r="BI19" s="35" t="str">
        <f t="shared" si="22"/>
        <v/>
      </c>
      <c r="BJ19" s="36" t="str">
        <f t="shared" si="23"/>
        <v/>
      </c>
      <c r="BK19" s="37"/>
      <c r="BL19" s="33"/>
      <c r="BM19" s="34"/>
      <c r="BN19" s="35" t="str">
        <f t="shared" si="24"/>
        <v/>
      </c>
      <c r="BO19" s="36" t="str">
        <f t="shared" si="25"/>
        <v/>
      </c>
      <c r="BP19" s="37"/>
      <c r="BQ19" s="33"/>
      <c r="BR19" s="34"/>
      <c r="BS19" s="35" t="str">
        <f t="shared" si="26"/>
        <v/>
      </c>
      <c r="BT19" s="36" t="str">
        <f t="shared" si="27"/>
        <v/>
      </c>
      <c r="BU19" s="37"/>
      <c r="BV19" s="33"/>
      <c r="BW19" s="34"/>
      <c r="BX19" s="35" t="str">
        <f t="shared" si="28"/>
        <v/>
      </c>
      <c r="BY19" s="36" t="str">
        <f t="shared" si="29"/>
        <v/>
      </c>
      <c r="BZ19" s="37"/>
      <c r="CA19" s="33"/>
      <c r="CB19" s="34"/>
      <c r="CC19" s="35" t="str">
        <f t="shared" si="30"/>
        <v/>
      </c>
      <c r="CD19" s="36" t="str">
        <f t="shared" si="31"/>
        <v/>
      </c>
      <c r="CE19" s="37"/>
      <c r="CF19" s="33"/>
      <c r="CG19" s="34"/>
      <c r="CH19" s="35" t="str">
        <f t="shared" si="32"/>
        <v/>
      </c>
      <c r="CI19" s="36" t="str">
        <f t="shared" si="33"/>
        <v/>
      </c>
      <c r="CJ19" s="37"/>
      <c r="CK19" s="33"/>
      <c r="CL19" s="34"/>
      <c r="CM19" s="35" t="str">
        <f t="shared" si="34"/>
        <v/>
      </c>
      <c r="CN19" s="36" t="str">
        <f t="shared" si="35"/>
        <v/>
      </c>
      <c r="CO19" s="37"/>
      <c r="CP19" s="33"/>
      <c r="CQ19" s="34"/>
      <c r="CR19" s="35" t="str">
        <f t="shared" si="36"/>
        <v/>
      </c>
      <c r="CS19" s="36" t="str">
        <f t="shared" si="37"/>
        <v/>
      </c>
      <c r="CT19" s="37"/>
      <c r="CU19" s="33"/>
      <c r="CV19" s="34"/>
      <c r="CW19" s="35" t="str">
        <f t="shared" si="38"/>
        <v/>
      </c>
      <c r="CX19" s="36" t="str">
        <f t="shared" si="39"/>
        <v/>
      </c>
      <c r="CY19" s="37"/>
      <c r="CZ19" s="33"/>
      <c r="DA19" s="34"/>
      <c r="DB19" s="35" t="str">
        <f t="shared" si="40"/>
        <v/>
      </c>
      <c r="DC19" s="36" t="str">
        <f t="shared" si="41"/>
        <v/>
      </c>
      <c r="DD19" s="37"/>
      <c r="DE19" s="33"/>
      <c r="DF19" s="34"/>
      <c r="DG19" s="35" t="str">
        <f t="shared" si="42"/>
        <v/>
      </c>
      <c r="DH19" s="36" t="str">
        <f t="shared" si="43"/>
        <v/>
      </c>
      <c r="DI19" s="37"/>
      <c r="DJ19" s="33"/>
      <c r="DK19" s="34"/>
      <c r="DL19" s="35" t="str">
        <f t="shared" si="44"/>
        <v/>
      </c>
      <c r="DM19" s="36" t="str">
        <f t="shared" si="45"/>
        <v/>
      </c>
      <c r="DN19" s="37"/>
      <c r="DO19" s="33"/>
      <c r="DP19" s="34"/>
      <c r="DQ19" s="35" t="str">
        <f t="shared" si="46"/>
        <v/>
      </c>
      <c r="DR19" s="36" t="str">
        <f t="shared" si="47"/>
        <v/>
      </c>
      <c r="DS19" s="37"/>
      <c r="DT19" s="33"/>
      <c r="DU19" s="34"/>
      <c r="DV19" s="35" t="str">
        <f t="shared" si="48"/>
        <v/>
      </c>
      <c r="DW19" s="36" t="str">
        <f t="shared" si="49"/>
        <v/>
      </c>
      <c r="DX19" s="37"/>
      <c r="DY19" s="33"/>
      <c r="DZ19" s="34"/>
      <c r="EA19" s="35" t="str">
        <f t="shared" si="50"/>
        <v/>
      </c>
      <c r="EB19" s="36" t="str">
        <f t="shared" si="51"/>
        <v/>
      </c>
      <c r="EC19" s="37"/>
      <c r="ED19" s="33"/>
      <c r="EE19" s="34"/>
      <c r="EF19" s="35" t="str">
        <f t="shared" si="52"/>
        <v/>
      </c>
      <c r="EG19" s="36" t="str">
        <f t="shared" si="53"/>
        <v/>
      </c>
      <c r="EH19" s="37"/>
      <c r="EI19" s="33"/>
      <c r="EJ19" s="34"/>
      <c r="EK19" s="35" t="str">
        <f t="shared" si="54"/>
        <v/>
      </c>
      <c r="EL19" s="36" t="str">
        <f t="shared" si="55"/>
        <v/>
      </c>
      <c r="EM19" s="37"/>
      <c r="EN19" s="33"/>
      <c r="EO19" s="34"/>
      <c r="EP19" s="35" t="str">
        <f t="shared" si="56"/>
        <v/>
      </c>
      <c r="EQ19" s="36" t="str">
        <f t="shared" si="57"/>
        <v/>
      </c>
      <c r="ER19" s="37"/>
      <c r="ES19" s="33"/>
      <c r="ET19" s="34"/>
      <c r="EU19" s="35" t="str">
        <f t="shared" si="58"/>
        <v/>
      </c>
      <c r="EV19" s="36" t="str">
        <f t="shared" si="59"/>
        <v/>
      </c>
      <c r="EW19" s="37"/>
    </row>
    <row r="20" spans="1:153" ht="19.5" customHeight="1">
      <c r="A20" s="32">
        <f>IF(DAY(DATE(対象年度,1,17))&lt;&gt;17,"",17)</f>
        <v>17</v>
      </c>
      <c r="B20" s="32" t="str">
        <f>IF(DAY(DATE(対象年度,1,17))&lt;&gt;17,"",CHOOSE(WEEKDAY(DATE(対象年度,1,17),2),"月","火","水","木","金","土","日"))</f>
        <v>土</v>
      </c>
      <c r="C20" s="32" t="str">
        <f>IF(DAY(DATE(対象年度,1,17))&lt;&gt;17,"",IF(ISNUMBER(MATCH(DATE(対象年度,1,17),祝日リスト,0)),"祝",""))</f>
        <v/>
      </c>
      <c r="D20" s="33"/>
      <c r="E20" s="34"/>
      <c r="F20" s="35" t="str">
        <f t="shared" si="0"/>
        <v/>
      </c>
      <c r="G20" s="36" t="str">
        <f t="shared" si="1"/>
        <v/>
      </c>
      <c r="H20" s="37"/>
      <c r="I20" s="33"/>
      <c r="J20" s="34"/>
      <c r="K20" s="35" t="str">
        <f t="shared" si="2"/>
        <v/>
      </c>
      <c r="L20" s="36" t="str">
        <f t="shared" si="3"/>
        <v/>
      </c>
      <c r="M20" s="37"/>
      <c r="N20" s="33"/>
      <c r="O20" s="34"/>
      <c r="P20" s="35" t="str">
        <f t="shared" si="4"/>
        <v/>
      </c>
      <c r="Q20" s="36" t="str">
        <f t="shared" si="5"/>
        <v/>
      </c>
      <c r="R20" s="37"/>
      <c r="S20" s="33"/>
      <c r="T20" s="34"/>
      <c r="U20" s="35" t="str">
        <f t="shared" si="6"/>
        <v/>
      </c>
      <c r="V20" s="36" t="str">
        <f t="shared" si="7"/>
        <v/>
      </c>
      <c r="W20" s="37"/>
      <c r="X20" s="33"/>
      <c r="Y20" s="34"/>
      <c r="Z20" s="35" t="str">
        <f t="shared" si="8"/>
        <v/>
      </c>
      <c r="AA20" s="36" t="str">
        <f t="shared" si="9"/>
        <v/>
      </c>
      <c r="AB20" s="37"/>
      <c r="AC20" s="33"/>
      <c r="AD20" s="34"/>
      <c r="AE20" s="35" t="str">
        <f t="shared" si="10"/>
        <v/>
      </c>
      <c r="AF20" s="36" t="str">
        <f t="shared" si="11"/>
        <v/>
      </c>
      <c r="AG20" s="37"/>
      <c r="AH20" s="33"/>
      <c r="AI20" s="34"/>
      <c r="AJ20" s="35" t="str">
        <f t="shared" si="12"/>
        <v/>
      </c>
      <c r="AK20" s="36" t="str">
        <f t="shared" si="13"/>
        <v/>
      </c>
      <c r="AL20" s="37"/>
      <c r="AM20" s="33"/>
      <c r="AN20" s="34"/>
      <c r="AO20" s="35" t="str">
        <f t="shared" si="14"/>
        <v/>
      </c>
      <c r="AP20" s="36" t="str">
        <f t="shared" si="15"/>
        <v/>
      </c>
      <c r="AQ20" s="37"/>
      <c r="AR20" s="33"/>
      <c r="AS20" s="34"/>
      <c r="AT20" s="35" t="str">
        <f t="shared" si="16"/>
        <v/>
      </c>
      <c r="AU20" s="36" t="str">
        <f t="shared" si="17"/>
        <v/>
      </c>
      <c r="AV20" s="37"/>
      <c r="AW20" s="33"/>
      <c r="AX20" s="34"/>
      <c r="AY20" s="35" t="str">
        <f t="shared" si="18"/>
        <v/>
      </c>
      <c r="AZ20" s="36" t="str">
        <f t="shared" si="19"/>
        <v/>
      </c>
      <c r="BA20" s="37"/>
      <c r="BB20" s="33"/>
      <c r="BC20" s="34"/>
      <c r="BD20" s="35" t="str">
        <f t="shared" si="20"/>
        <v/>
      </c>
      <c r="BE20" s="36" t="str">
        <f t="shared" si="21"/>
        <v/>
      </c>
      <c r="BF20" s="37"/>
      <c r="BG20" s="33"/>
      <c r="BH20" s="34"/>
      <c r="BI20" s="35" t="str">
        <f t="shared" si="22"/>
        <v/>
      </c>
      <c r="BJ20" s="36" t="str">
        <f t="shared" si="23"/>
        <v/>
      </c>
      <c r="BK20" s="37"/>
      <c r="BL20" s="33"/>
      <c r="BM20" s="34"/>
      <c r="BN20" s="35" t="str">
        <f t="shared" si="24"/>
        <v/>
      </c>
      <c r="BO20" s="36" t="str">
        <f t="shared" si="25"/>
        <v/>
      </c>
      <c r="BP20" s="37"/>
      <c r="BQ20" s="33"/>
      <c r="BR20" s="34"/>
      <c r="BS20" s="35" t="str">
        <f t="shared" si="26"/>
        <v/>
      </c>
      <c r="BT20" s="36" t="str">
        <f t="shared" si="27"/>
        <v/>
      </c>
      <c r="BU20" s="37"/>
      <c r="BV20" s="33"/>
      <c r="BW20" s="34"/>
      <c r="BX20" s="35" t="str">
        <f t="shared" si="28"/>
        <v/>
      </c>
      <c r="BY20" s="36" t="str">
        <f t="shared" si="29"/>
        <v/>
      </c>
      <c r="BZ20" s="37"/>
      <c r="CA20" s="33"/>
      <c r="CB20" s="34"/>
      <c r="CC20" s="35" t="str">
        <f t="shared" si="30"/>
        <v/>
      </c>
      <c r="CD20" s="36" t="str">
        <f t="shared" si="31"/>
        <v/>
      </c>
      <c r="CE20" s="37"/>
      <c r="CF20" s="33"/>
      <c r="CG20" s="34"/>
      <c r="CH20" s="35" t="str">
        <f t="shared" si="32"/>
        <v/>
      </c>
      <c r="CI20" s="36" t="str">
        <f t="shared" si="33"/>
        <v/>
      </c>
      <c r="CJ20" s="37"/>
      <c r="CK20" s="33"/>
      <c r="CL20" s="34"/>
      <c r="CM20" s="35" t="str">
        <f t="shared" si="34"/>
        <v/>
      </c>
      <c r="CN20" s="36" t="str">
        <f t="shared" si="35"/>
        <v/>
      </c>
      <c r="CO20" s="37"/>
      <c r="CP20" s="33"/>
      <c r="CQ20" s="34"/>
      <c r="CR20" s="35" t="str">
        <f t="shared" si="36"/>
        <v/>
      </c>
      <c r="CS20" s="36" t="str">
        <f t="shared" si="37"/>
        <v/>
      </c>
      <c r="CT20" s="37"/>
      <c r="CU20" s="33"/>
      <c r="CV20" s="34"/>
      <c r="CW20" s="35" t="str">
        <f t="shared" si="38"/>
        <v/>
      </c>
      <c r="CX20" s="36" t="str">
        <f t="shared" si="39"/>
        <v/>
      </c>
      <c r="CY20" s="37"/>
      <c r="CZ20" s="33"/>
      <c r="DA20" s="34"/>
      <c r="DB20" s="35" t="str">
        <f t="shared" si="40"/>
        <v/>
      </c>
      <c r="DC20" s="36" t="str">
        <f t="shared" si="41"/>
        <v/>
      </c>
      <c r="DD20" s="37"/>
      <c r="DE20" s="33"/>
      <c r="DF20" s="34"/>
      <c r="DG20" s="35" t="str">
        <f t="shared" si="42"/>
        <v/>
      </c>
      <c r="DH20" s="36" t="str">
        <f t="shared" si="43"/>
        <v/>
      </c>
      <c r="DI20" s="37"/>
      <c r="DJ20" s="33"/>
      <c r="DK20" s="34"/>
      <c r="DL20" s="35" t="str">
        <f t="shared" si="44"/>
        <v/>
      </c>
      <c r="DM20" s="36" t="str">
        <f t="shared" si="45"/>
        <v/>
      </c>
      <c r="DN20" s="37"/>
      <c r="DO20" s="33"/>
      <c r="DP20" s="34"/>
      <c r="DQ20" s="35" t="str">
        <f t="shared" si="46"/>
        <v/>
      </c>
      <c r="DR20" s="36" t="str">
        <f t="shared" si="47"/>
        <v/>
      </c>
      <c r="DS20" s="37"/>
      <c r="DT20" s="33"/>
      <c r="DU20" s="34"/>
      <c r="DV20" s="35" t="str">
        <f t="shared" si="48"/>
        <v/>
      </c>
      <c r="DW20" s="36" t="str">
        <f t="shared" si="49"/>
        <v/>
      </c>
      <c r="DX20" s="37"/>
      <c r="DY20" s="33"/>
      <c r="DZ20" s="34"/>
      <c r="EA20" s="35" t="str">
        <f t="shared" si="50"/>
        <v/>
      </c>
      <c r="EB20" s="36" t="str">
        <f t="shared" si="51"/>
        <v/>
      </c>
      <c r="EC20" s="37"/>
      <c r="ED20" s="33"/>
      <c r="EE20" s="34"/>
      <c r="EF20" s="35" t="str">
        <f t="shared" si="52"/>
        <v/>
      </c>
      <c r="EG20" s="36" t="str">
        <f t="shared" si="53"/>
        <v/>
      </c>
      <c r="EH20" s="37"/>
      <c r="EI20" s="33"/>
      <c r="EJ20" s="34"/>
      <c r="EK20" s="35" t="str">
        <f t="shared" si="54"/>
        <v/>
      </c>
      <c r="EL20" s="36" t="str">
        <f t="shared" si="55"/>
        <v/>
      </c>
      <c r="EM20" s="37"/>
      <c r="EN20" s="33"/>
      <c r="EO20" s="34"/>
      <c r="EP20" s="35" t="str">
        <f t="shared" si="56"/>
        <v/>
      </c>
      <c r="EQ20" s="36" t="str">
        <f t="shared" si="57"/>
        <v/>
      </c>
      <c r="ER20" s="37"/>
      <c r="ES20" s="33"/>
      <c r="ET20" s="34"/>
      <c r="EU20" s="35" t="str">
        <f t="shared" si="58"/>
        <v/>
      </c>
      <c r="EV20" s="36" t="str">
        <f t="shared" si="59"/>
        <v/>
      </c>
      <c r="EW20" s="37"/>
    </row>
    <row r="21" spans="1:153" ht="19.5" customHeight="1">
      <c r="A21" s="32">
        <f>IF(DAY(DATE(対象年度,1,18))&lt;&gt;18,"",18)</f>
        <v>18</v>
      </c>
      <c r="B21" s="32" t="str">
        <f>IF(DAY(DATE(対象年度,1,18))&lt;&gt;18,"",CHOOSE(WEEKDAY(DATE(対象年度,1,18),2),"月","火","水","木","金","土","日"))</f>
        <v>日</v>
      </c>
      <c r="C21" s="32" t="str">
        <f>IF(DAY(DATE(対象年度,1,18))&lt;&gt;18,"",IF(ISNUMBER(MATCH(DATE(対象年度,1,18),祝日リスト,0)),"祝",""))</f>
        <v/>
      </c>
      <c r="D21" s="33"/>
      <c r="E21" s="34"/>
      <c r="F21" s="35" t="str">
        <f t="shared" si="0"/>
        <v/>
      </c>
      <c r="G21" s="36" t="str">
        <f t="shared" si="1"/>
        <v/>
      </c>
      <c r="H21" s="37"/>
      <c r="I21" s="33"/>
      <c r="J21" s="34"/>
      <c r="K21" s="35" t="str">
        <f t="shared" si="2"/>
        <v/>
      </c>
      <c r="L21" s="36" t="str">
        <f t="shared" si="3"/>
        <v/>
      </c>
      <c r="M21" s="37"/>
      <c r="N21" s="33"/>
      <c r="O21" s="34"/>
      <c r="P21" s="35" t="str">
        <f t="shared" si="4"/>
        <v/>
      </c>
      <c r="Q21" s="36" t="str">
        <f t="shared" si="5"/>
        <v/>
      </c>
      <c r="R21" s="37"/>
      <c r="S21" s="33"/>
      <c r="T21" s="34"/>
      <c r="U21" s="35" t="str">
        <f t="shared" si="6"/>
        <v/>
      </c>
      <c r="V21" s="36" t="str">
        <f t="shared" si="7"/>
        <v/>
      </c>
      <c r="W21" s="37"/>
      <c r="X21" s="33"/>
      <c r="Y21" s="34"/>
      <c r="Z21" s="35" t="str">
        <f t="shared" si="8"/>
        <v/>
      </c>
      <c r="AA21" s="36" t="str">
        <f t="shared" si="9"/>
        <v/>
      </c>
      <c r="AB21" s="37"/>
      <c r="AC21" s="33"/>
      <c r="AD21" s="34"/>
      <c r="AE21" s="35" t="str">
        <f t="shared" si="10"/>
        <v/>
      </c>
      <c r="AF21" s="36" t="str">
        <f t="shared" si="11"/>
        <v/>
      </c>
      <c r="AG21" s="37"/>
      <c r="AH21" s="33"/>
      <c r="AI21" s="34"/>
      <c r="AJ21" s="35" t="str">
        <f t="shared" si="12"/>
        <v/>
      </c>
      <c r="AK21" s="36" t="str">
        <f t="shared" si="13"/>
        <v/>
      </c>
      <c r="AL21" s="37"/>
      <c r="AM21" s="33"/>
      <c r="AN21" s="34"/>
      <c r="AO21" s="35" t="str">
        <f t="shared" si="14"/>
        <v/>
      </c>
      <c r="AP21" s="36" t="str">
        <f t="shared" si="15"/>
        <v/>
      </c>
      <c r="AQ21" s="37"/>
      <c r="AR21" s="33"/>
      <c r="AS21" s="34"/>
      <c r="AT21" s="35" t="str">
        <f t="shared" si="16"/>
        <v/>
      </c>
      <c r="AU21" s="36" t="str">
        <f t="shared" si="17"/>
        <v/>
      </c>
      <c r="AV21" s="37"/>
      <c r="AW21" s="33"/>
      <c r="AX21" s="34"/>
      <c r="AY21" s="35" t="str">
        <f t="shared" si="18"/>
        <v/>
      </c>
      <c r="AZ21" s="36" t="str">
        <f t="shared" si="19"/>
        <v/>
      </c>
      <c r="BA21" s="37"/>
      <c r="BB21" s="33"/>
      <c r="BC21" s="34"/>
      <c r="BD21" s="35" t="str">
        <f t="shared" si="20"/>
        <v/>
      </c>
      <c r="BE21" s="36" t="str">
        <f t="shared" si="21"/>
        <v/>
      </c>
      <c r="BF21" s="37"/>
      <c r="BG21" s="33"/>
      <c r="BH21" s="34"/>
      <c r="BI21" s="35" t="str">
        <f t="shared" si="22"/>
        <v/>
      </c>
      <c r="BJ21" s="36" t="str">
        <f t="shared" si="23"/>
        <v/>
      </c>
      <c r="BK21" s="37"/>
      <c r="BL21" s="33"/>
      <c r="BM21" s="34"/>
      <c r="BN21" s="35" t="str">
        <f t="shared" si="24"/>
        <v/>
      </c>
      <c r="BO21" s="36" t="str">
        <f t="shared" si="25"/>
        <v/>
      </c>
      <c r="BP21" s="37"/>
      <c r="BQ21" s="33"/>
      <c r="BR21" s="34"/>
      <c r="BS21" s="35" t="str">
        <f t="shared" si="26"/>
        <v/>
      </c>
      <c r="BT21" s="36" t="str">
        <f t="shared" si="27"/>
        <v/>
      </c>
      <c r="BU21" s="37"/>
      <c r="BV21" s="33"/>
      <c r="BW21" s="34"/>
      <c r="BX21" s="35" t="str">
        <f t="shared" si="28"/>
        <v/>
      </c>
      <c r="BY21" s="36" t="str">
        <f t="shared" si="29"/>
        <v/>
      </c>
      <c r="BZ21" s="37"/>
      <c r="CA21" s="33"/>
      <c r="CB21" s="34"/>
      <c r="CC21" s="35" t="str">
        <f t="shared" si="30"/>
        <v/>
      </c>
      <c r="CD21" s="36" t="str">
        <f t="shared" si="31"/>
        <v/>
      </c>
      <c r="CE21" s="37"/>
      <c r="CF21" s="33"/>
      <c r="CG21" s="34"/>
      <c r="CH21" s="35" t="str">
        <f t="shared" si="32"/>
        <v/>
      </c>
      <c r="CI21" s="36" t="str">
        <f t="shared" si="33"/>
        <v/>
      </c>
      <c r="CJ21" s="37"/>
      <c r="CK21" s="33"/>
      <c r="CL21" s="34"/>
      <c r="CM21" s="35" t="str">
        <f t="shared" si="34"/>
        <v/>
      </c>
      <c r="CN21" s="36" t="str">
        <f t="shared" si="35"/>
        <v/>
      </c>
      <c r="CO21" s="37"/>
      <c r="CP21" s="33"/>
      <c r="CQ21" s="34"/>
      <c r="CR21" s="35" t="str">
        <f t="shared" si="36"/>
        <v/>
      </c>
      <c r="CS21" s="36" t="str">
        <f t="shared" si="37"/>
        <v/>
      </c>
      <c r="CT21" s="37"/>
      <c r="CU21" s="33"/>
      <c r="CV21" s="34"/>
      <c r="CW21" s="35" t="str">
        <f t="shared" si="38"/>
        <v/>
      </c>
      <c r="CX21" s="36" t="str">
        <f t="shared" si="39"/>
        <v/>
      </c>
      <c r="CY21" s="37"/>
      <c r="CZ21" s="33"/>
      <c r="DA21" s="34"/>
      <c r="DB21" s="35" t="str">
        <f t="shared" si="40"/>
        <v/>
      </c>
      <c r="DC21" s="36" t="str">
        <f t="shared" si="41"/>
        <v/>
      </c>
      <c r="DD21" s="37"/>
      <c r="DE21" s="33"/>
      <c r="DF21" s="34"/>
      <c r="DG21" s="35" t="str">
        <f t="shared" si="42"/>
        <v/>
      </c>
      <c r="DH21" s="36" t="str">
        <f t="shared" si="43"/>
        <v/>
      </c>
      <c r="DI21" s="37"/>
      <c r="DJ21" s="33"/>
      <c r="DK21" s="34"/>
      <c r="DL21" s="35" t="str">
        <f t="shared" si="44"/>
        <v/>
      </c>
      <c r="DM21" s="36" t="str">
        <f t="shared" si="45"/>
        <v/>
      </c>
      <c r="DN21" s="37"/>
      <c r="DO21" s="33"/>
      <c r="DP21" s="34"/>
      <c r="DQ21" s="35" t="str">
        <f t="shared" si="46"/>
        <v/>
      </c>
      <c r="DR21" s="36" t="str">
        <f t="shared" si="47"/>
        <v/>
      </c>
      <c r="DS21" s="37"/>
      <c r="DT21" s="33"/>
      <c r="DU21" s="34"/>
      <c r="DV21" s="35" t="str">
        <f t="shared" si="48"/>
        <v/>
      </c>
      <c r="DW21" s="36" t="str">
        <f t="shared" si="49"/>
        <v/>
      </c>
      <c r="DX21" s="37"/>
      <c r="DY21" s="33"/>
      <c r="DZ21" s="34"/>
      <c r="EA21" s="35" t="str">
        <f t="shared" si="50"/>
        <v/>
      </c>
      <c r="EB21" s="36" t="str">
        <f t="shared" si="51"/>
        <v/>
      </c>
      <c r="EC21" s="37"/>
      <c r="ED21" s="33"/>
      <c r="EE21" s="34"/>
      <c r="EF21" s="35" t="str">
        <f t="shared" si="52"/>
        <v/>
      </c>
      <c r="EG21" s="36" t="str">
        <f t="shared" si="53"/>
        <v/>
      </c>
      <c r="EH21" s="37"/>
      <c r="EI21" s="33"/>
      <c r="EJ21" s="34"/>
      <c r="EK21" s="35" t="str">
        <f t="shared" si="54"/>
        <v/>
      </c>
      <c r="EL21" s="36" t="str">
        <f t="shared" si="55"/>
        <v/>
      </c>
      <c r="EM21" s="37"/>
      <c r="EN21" s="33"/>
      <c r="EO21" s="34"/>
      <c r="EP21" s="35" t="str">
        <f t="shared" si="56"/>
        <v/>
      </c>
      <c r="EQ21" s="36" t="str">
        <f t="shared" si="57"/>
        <v/>
      </c>
      <c r="ER21" s="37"/>
      <c r="ES21" s="33"/>
      <c r="ET21" s="34"/>
      <c r="EU21" s="35" t="str">
        <f t="shared" si="58"/>
        <v/>
      </c>
      <c r="EV21" s="36" t="str">
        <f t="shared" si="59"/>
        <v/>
      </c>
      <c r="EW21" s="37"/>
    </row>
    <row r="22" spans="1:153" ht="19.5" customHeight="1">
      <c r="A22" s="32">
        <f>IF(DAY(DATE(対象年度,1,19))&lt;&gt;19,"",19)</f>
        <v>19</v>
      </c>
      <c r="B22" s="32" t="str">
        <f>IF(DAY(DATE(対象年度,1,19))&lt;&gt;19,"",CHOOSE(WEEKDAY(DATE(対象年度,1,19),2),"月","火","水","木","金","土","日"))</f>
        <v>月</v>
      </c>
      <c r="C22" s="32" t="str">
        <f>IF(DAY(DATE(対象年度,1,19))&lt;&gt;19,"",IF(ISNUMBER(MATCH(DATE(対象年度,1,19),祝日リスト,0)),"祝",""))</f>
        <v/>
      </c>
      <c r="D22" s="33"/>
      <c r="E22" s="34"/>
      <c r="F22" s="35" t="str">
        <f t="shared" si="0"/>
        <v/>
      </c>
      <c r="G22" s="36" t="str">
        <f t="shared" si="1"/>
        <v/>
      </c>
      <c r="H22" s="37"/>
      <c r="I22" s="33"/>
      <c r="J22" s="34"/>
      <c r="K22" s="35" t="str">
        <f t="shared" si="2"/>
        <v/>
      </c>
      <c r="L22" s="36" t="str">
        <f t="shared" si="3"/>
        <v/>
      </c>
      <c r="M22" s="37"/>
      <c r="N22" s="33"/>
      <c r="O22" s="34"/>
      <c r="P22" s="35" t="str">
        <f t="shared" si="4"/>
        <v/>
      </c>
      <c r="Q22" s="36" t="str">
        <f t="shared" si="5"/>
        <v/>
      </c>
      <c r="R22" s="37"/>
      <c r="S22" s="33"/>
      <c r="T22" s="34"/>
      <c r="U22" s="35" t="str">
        <f t="shared" si="6"/>
        <v/>
      </c>
      <c r="V22" s="36" t="str">
        <f t="shared" si="7"/>
        <v/>
      </c>
      <c r="W22" s="37"/>
      <c r="X22" s="33"/>
      <c r="Y22" s="34"/>
      <c r="Z22" s="35" t="str">
        <f t="shared" si="8"/>
        <v/>
      </c>
      <c r="AA22" s="36" t="str">
        <f t="shared" si="9"/>
        <v/>
      </c>
      <c r="AB22" s="37"/>
      <c r="AC22" s="33"/>
      <c r="AD22" s="34"/>
      <c r="AE22" s="35" t="str">
        <f t="shared" si="10"/>
        <v/>
      </c>
      <c r="AF22" s="36" t="str">
        <f t="shared" si="11"/>
        <v/>
      </c>
      <c r="AG22" s="37"/>
      <c r="AH22" s="33"/>
      <c r="AI22" s="34"/>
      <c r="AJ22" s="35" t="str">
        <f t="shared" si="12"/>
        <v/>
      </c>
      <c r="AK22" s="36" t="str">
        <f t="shared" si="13"/>
        <v/>
      </c>
      <c r="AL22" s="37"/>
      <c r="AM22" s="33"/>
      <c r="AN22" s="34"/>
      <c r="AO22" s="35" t="str">
        <f t="shared" si="14"/>
        <v/>
      </c>
      <c r="AP22" s="36" t="str">
        <f t="shared" si="15"/>
        <v/>
      </c>
      <c r="AQ22" s="37"/>
      <c r="AR22" s="33"/>
      <c r="AS22" s="34"/>
      <c r="AT22" s="35" t="str">
        <f t="shared" si="16"/>
        <v/>
      </c>
      <c r="AU22" s="36" t="str">
        <f t="shared" si="17"/>
        <v/>
      </c>
      <c r="AV22" s="37"/>
      <c r="AW22" s="33"/>
      <c r="AX22" s="34"/>
      <c r="AY22" s="35" t="str">
        <f t="shared" si="18"/>
        <v/>
      </c>
      <c r="AZ22" s="36" t="str">
        <f t="shared" si="19"/>
        <v/>
      </c>
      <c r="BA22" s="37"/>
      <c r="BB22" s="33"/>
      <c r="BC22" s="34"/>
      <c r="BD22" s="35" t="str">
        <f t="shared" si="20"/>
        <v/>
      </c>
      <c r="BE22" s="36" t="str">
        <f t="shared" si="21"/>
        <v/>
      </c>
      <c r="BF22" s="37"/>
      <c r="BG22" s="33"/>
      <c r="BH22" s="34"/>
      <c r="BI22" s="35" t="str">
        <f t="shared" si="22"/>
        <v/>
      </c>
      <c r="BJ22" s="36" t="str">
        <f t="shared" si="23"/>
        <v/>
      </c>
      <c r="BK22" s="37"/>
      <c r="BL22" s="33"/>
      <c r="BM22" s="34"/>
      <c r="BN22" s="35" t="str">
        <f t="shared" si="24"/>
        <v/>
      </c>
      <c r="BO22" s="36" t="str">
        <f t="shared" si="25"/>
        <v/>
      </c>
      <c r="BP22" s="37"/>
      <c r="BQ22" s="33"/>
      <c r="BR22" s="34"/>
      <c r="BS22" s="35" t="str">
        <f t="shared" si="26"/>
        <v/>
      </c>
      <c r="BT22" s="36" t="str">
        <f t="shared" si="27"/>
        <v/>
      </c>
      <c r="BU22" s="37"/>
      <c r="BV22" s="33"/>
      <c r="BW22" s="34"/>
      <c r="BX22" s="35" t="str">
        <f t="shared" si="28"/>
        <v/>
      </c>
      <c r="BY22" s="36" t="str">
        <f t="shared" si="29"/>
        <v/>
      </c>
      <c r="BZ22" s="37"/>
      <c r="CA22" s="33"/>
      <c r="CB22" s="34"/>
      <c r="CC22" s="35" t="str">
        <f t="shared" si="30"/>
        <v/>
      </c>
      <c r="CD22" s="36" t="str">
        <f t="shared" si="31"/>
        <v/>
      </c>
      <c r="CE22" s="37"/>
      <c r="CF22" s="33"/>
      <c r="CG22" s="34"/>
      <c r="CH22" s="35" t="str">
        <f t="shared" si="32"/>
        <v/>
      </c>
      <c r="CI22" s="36" t="str">
        <f t="shared" si="33"/>
        <v/>
      </c>
      <c r="CJ22" s="37"/>
      <c r="CK22" s="33"/>
      <c r="CL22" s="34"/>
      <c r="CM22" s="35" t="str">
        <f t="shared" si="34"/>
        <v/>
      </c>
      <c r="CN22" s="36" t="str">
        <f t="shared" si="35"/>
        <v/>
      </c>
      <c r="CO22" s="37"/>
      <c r="CP22" s="33"/>
      <c r="CQ22" s="34"/>
      <c r="CR22" s="35" t="str">
        <f t="shared" si="36"/>
        <v/>
      </c>
      <c r="CS22" s="36" t="str">
        <f t="shared" si="37"/>
        <v/>
      </c>
      <c r="CT22" s="37"/>
      <c r="CU22" s="33"/>
      <c r="CV22" s="34"/>
      <c r="CW22" s="35" t="str">
        <f t="shared" si="38"/>
        <v/>
      </c>
      <c r="CX22" s="36" t="str">
        <f t="shared" si="39"/>
        <v/>
      </c>
      <c r="CY22" s="37"/>
      <c r="CZ22" s="33"/>
      <c r="DA22" s="34"/>
      <c r="DB22" s="35" t="str">
        <f t="shared" si="40"/>
        <v/>
      </c>
      <c r="DC22" s="36" t="str">
        <f t="shared" si="41"/>
        <v/>
      </c>
      <c r="DD22" s="37"/>
      <c r="DE22" s="33"/>
      <c r="DF22" s="34"/>
      <c r="DG22" s="35" t="str">
        <f t="shared" si="42"/>
        <v/>
      </c>
      <c r="DH22" s="36" t="str">
        <f t="shared" si="43"/>
        <v/>
      </c>
      <c r="DI22" s="37"/>
      <c r="DJ22" s="33"/>
      <c r="DK22" s="34"/>
      <c r="DL22" s="35" t="str">
        <f t="shared" si="44"/>
        <v/>
      </c>
      <c r="DM22" s="36" t="str">
        <f t="shared" si="45"/>
        <v/>
      </c>
      <c r="DN22" s="37"/>
      <c r="DO22" s="33"/>
      <c r="DP22" s="34"/>
      <c r="DQ22" s="35" t="str">
        <f t="shared" si="46"/>
        <v/>
      </c>
      <c r="DR22" s="36" t="str">
        <f t="shared" si="47"/>
        <v/>
      </c>
      <c r="DS22" s="37"/>
      <c r="DT22" s="33"/>
      <c r="DU22" s="34"/>
      <c r="DV22" s="35" t="str">
        <f t="shared" si="48"/>
        <v/>
      </c>
      <c r="DW22" s="36" t="str">
        <f t="shared" si="49"/>
        <v/>
      </c>
      <c r="DX22" s="37"/>
      <c r="DY22" s="33"/>
      <c r="DZ22" s="34"/>
      <c r="EA22" s="35" t="str">
        <f t="shared" si="50"/>
        <v/>
      </c>
      <c r="EB22" s="36" t="str">
        <f t="shared" si="51"/>
        <v/>
      </c>
      <c r="EC22" s="37"/>
      <c r="ED22" s="33"/>
      <c r="EE22" s="34"/>
      <c r="EF22" s="35" t="str">
        <f t="shared" si="52"/>
        <v/>
      </c>
      <c r="EG22" s="36" t="str">
        <f t="shared" si="53"/>
        <v/>
      </c>
      <c r="EH22" s="37"/>
      <c r="EI22" s="33"/>
      <c r="EJ22" s="34"/>
      <c r="EK22" s="35" t="str">
        <f t="shared" si="54"/>
        <v/>
      </c>
      <c r="EL22" s="36" t="str">
        <f t="shared" si="55"/>
        <v/>
      </c>
      <c r="EM22" s="37"/>
      <c r="EN22" s="33"/>
      <c r="EO22" s="34"/>
      <c r="EP22" s="35" t="str">
        <f t="shared" si="56"/>
        <v/>
      </c>
      <c r="EQ22" s="36" t="str">
        <f t="shared" si="57"/>
        <v/>
      </c>
      <c r="ER22" s="37"/>
      <c r="ES22" s="33"/>
      <c r="ET22" s="34"/>
      <c r="EU22" s="35" t="str">
        <f t="shared" si="58"/>
        <v/>
      </c>
      <c r="EV22" s="36" t="str">
        <f t="shared" si="59"/>
        <v/>
      </c>
      <c r="EW22" s="37"/>
    </row>
    <row r="23" spans="1:153" ht="19.5" customHeight="1">
      <c r="A23" s="32">
        <f>IF(DAY(DATE(対象年度,1,20))&lt;&gt;20,"",20)</f>
        <v>20</v>
      </c>
      <c r="B23" s="32" t="str">
        <f>IF(DAY(DATE(対象年度,1,20))&lt;&gt;20,"",CHOOSE(WEEKDAY(DATE(対象年度,1,20),2),"月","火","水","木","金","土","日"))</f>
        <v>火</v>
      </c>
      <c r="C23" s="32" t="str">
        <f>IF(DAY(DATE(対象年度,1,20))&lt;&gt;20,"",IF(ISNUMBER(MATCH(DATE(対象年度,1,20),祝日リスト,0)),"祝",""))</f>
        <v/>
      </c>
      <c r="D23" s="33"/>
      <c r="E23" s="34"/>
      <c r="F23" s="35" t="str">
        <f t="shared" si="0"/>
        <v/>
      </c>
      <c r="G23" s="36" t="str">
        <f t="shared" si="1"/>
        <v/>
      </c>
      <c r="H23" s="37"/>
      <c r="I23" s="33"/>
      <c r="J23" s="34"/>
      <c r="K23" s="35" t="str">
        <f t="shared" si="2"/>
        <v/>
      </c>
      <c r="L23" s="36" t="str">
        <f t="shared" si="3"/>
        <v/>
      </c>
      <c r="M23" s="37"/>
      <c r="N23" s="33"/>
      <c r="O23" s="34"/>
      <c r="P23" s="35" t="str">
        <f t="shared" si="4"/>
        <v/>
      </c>
      <c r="Q23" s="36" t="str">
        <f t="shared" si="5"/>
        <v/>
      </c>
      <c r="R23" s="37"/>
      <c r="S23" s="33"/>
      <c r="T23" s="34"/>
      <c r="U23" s="35" t="str">
        <f t="shared" si="6"/>
        <v/>
      </c>
      <c r="V23" s="36" t="str">
        <f t="shared" si="7"/>
        <v/>
      </c>
      <c r="W23" s="37"/>
      <c r="X23" s="33"/>
      <c r="Y23" s="34"/>
      <c r="Z23" s="35" t="str">
        <f t="shared" si="8"/>
        <v/>
      </c>
      <c r="AA23" s="36" t="str">
        <f t="shared" si="9"/>
        <v/>
      </c>
      <c r="AB23" s="37"/>
      <c r="AC23" s="33"/>
      <c r="AD23" s="34"/>
      <c r="AE23" s="35" t="str">
        <f t="shared" si="10"/>
        <v/>
      </c>
      <c r="AF23" s="36" t="str">
        <f t="shared" si="11"/>
        <v/>
      </c>
      <c r="AG23" s="37"/>
      <c r="AH23" s="33"/>
      <c r="AI23" s="34"/>
      <c r="AJ23" s="35" t="str">
        <f t="shared" si="12"/>
        <v/>
      </c>
      <c r="AK23" s="36" t="str">
        <f t="shared" si="13"/>
        <v/>
      </c>
      <c r="AL23" s="37"/>
      <c r="AM23" s="33"/>
      <c r="AN23" s="34"/>
      <c r="AO23" s="35" t="str">
        <f t="shared" si="14"/>
        <v/>
      </c>
      <c r="AP23" s="36" t="str">
        <f t="shared" si="15"/>
        <v/>
      </c>
      <c r="AQ23" s="37"/>
      <c r="AR23" s="33"/>
      <c r="AS23" s="34"/>
      <c r="AT23" s="35" t="str">
        <f t="shared" si="16"/>
        <v/>
      </c>
      <c r="AU23" s="36" t="str">
        <f t="shared" si="17"/>
        <v/>
      </c>
      <c r="AV23" s="37"/>
      <c r="AW23" s="33"/>
      <c r="AX23" s="34"/>
      <c r="AY23" s="35" t="str">
        <f t="shared" si="18"/>
        <v/>
      </c>
      <c r="AZ23" s="36" t="str">
        <f t="shared" si="19"/>
        <v/>
      </c>
      <c r="BA23" s="37"/>
      <c r="BB23" s="33"/>
      <c r="BC23" s="34"/>
      <c r="BD23" s="35" t="str">
        <f t="shared" si="20"/>
        <v/>
      </c>
      <c r="BE23" s="36" t="str">
        <f t="shared" si="21"/>
        <v/>
      </c>
      <c r="BF23" s="37"/>
      <c r="BG23" s="33"/>
      <c r="BH23" s="34"/>
      <c r="BI23" s="35" t="str">
        <f t="shared" si="22"/>
        <v/>
      </c>
      <c r="BJ23" s="36" t="str">
        <f t="shared" si="23"/>
        <v/>
      </c>
      <c r="BK23" s="37"/>
      <c r="BL23" s="33"/>
      <c r="BM23" s="34"/>
      <c r="BN23" s="35" t="str">
        <f t="shared" si="24"/>
        <v/>
      </c>
      <c r="BO23" s="36" t="str">
        <f t="shared" si="25"/>
        <v/>
      </c>
      <c r="BP23" s="37"/>
      <c r="BQ23" s="33"/>
      <c r="BR23" s="34"/>
      <c r="BS23" s="35" t="str">
        <f t="shared" si="26"/>
        <v/>
      </c>
      <c r="BT23" s="36" t="str">
        <f t="shared" si="27"/>
        <v/>
      </c>
      <c r="BU23" s="37"/>
      <c r="BV23" s="33"/>
      <c r="BW23" s="34"/>
      <c r="BX23" s="35" t="str">
        <f t="shared" si="28"/>
        <v/>
      </c>
      <c r="BY23" s="36" t="str">
        <f t="shared" si="29"/>
        <v/>
      </c>
      <c r="BZ23" s="37"/>
      <c r="CA23" s="33"/>
      <c r="CB23" s="34"/>
      <c r="CC23" s="35" t="str">
        <f t="shared" si="30"/>
        <v/>
      </c>
      <c r="CD23" s="36" t="str">
        <f t="shared" si="31"/>
        <v/>
      </c>
      <c r="CE23" s="37"/>
      <c r="CF23" s="33"/>
      <c r="CG23" s="34"/>
      <c r="CH23" s="35" t="str">
        <f t="shared" si="32"/>
        <v/>
      </c>
      <c r="CI23" s="36" t="str">
        <f t="shared" si="33"/>
        <v/>
      </c>
      <c r="CJ23" s="37"/>
      <c r="CK23" s="33"/>
      <c r="CL23" s="34"/>
      <c r="CM23" s="35" t="str">
        <f t="shared" si="34"/>
        <v/>
      </c>
      <c r="CN23" s="36" t="str">
        <f t="shared" si="35"/>
        <v/>
      </c>
      <c r="CO23" s="37"/>
      <c r="CP23" s="33"/>
      <c r="CQ23" s="34"/>
      <c r="CR23" s="35" t="str">
        <f t="shared" si="36"/>
        <v/>
      </c>
      <c r="CS23" s="36" t="str">
        <f t="shared" si="37"/>
        <v/>
      </c>
      <c r="CT23" s="37"/>
      <c r="CU23" s="33"/>
      <c r="CV23" s="34"/>
      <c r="CW23" s="35" t="str">
        <f t="shared" si="38"/>
        <v/>
      </c>
      <c r="CX23" s="36" t="str">
        <f t="shared" si="39"/>
        <v/>
      </c>
      <c r="CY23" s="37"/>
      <c r="CZ23" s="33"/>
      <c r="DA23" s="34"/>
      <c r="DB23" s="35" t="str">
        <f t="shared" si="40"/>
        <v/>
      </c>
      <c r="DC23" s="36" t="str">
        <f t="shared" si="41"/>
        <v/>
      </c>
      <c r="DD23" s="37"/>
      <c r="DE23" s="33"/>
      <c r="DF23" s="34"/>
      <c r="DG23" s="35" t="str">
        <f t="shared" si="42"/>
        <v/>
      </c>
      <c r="DH23" s="36" t="str">
        <f t="shared" si="43"/>
        <v/>
      </c>
      <c r="DI23" s="37"/>
      <c r="DJ23" s="33"/>
      <c r="DK23" s="34"/>
      <c r="DL23" s="35" t="str">
        <f t="shared" si="44"/>
        <v/>
      </c>
      <c r="DM23" s="36" t="str">
        <f t="shared" si="45"/>
        <v/>
      </c>
      <c r="DN23" s="37"/>
      <c r="DO23" s="33"/>
      <c r="DP23" s="34"/>
      <c r="DQ23" s="35" t="str">
        <f t="shared" si="46"/>
        <v/>
      </c>
      <c r="DR23" s="36" t="str">
        <f t="shared" si="47"/>
        <v/>
      </c>
      <c r="DS23" s="37"/>
      <c r="DT23" s="33"/>
      <c r="DU23" s="34"/>
      <c r="DV23" s="35" t="str">
        <f t="shared" si="48"/>
        <v/>
      </c>
      <c r="DW23" s="36" t="str">
        <f t="shared" si="49"/>
        <v/>
      </c>
      <c r="DX23" s="37"/>
      <c r="DY23" s="33"/>
      <c r="DZ23" s="34"/>
      <c r="EA23" s="35" t="str">
        <f t="shared" si="50"/>
        <v/>
      </c>
      <c r="EB23" s="36" t="str">
        <f t="shared" si="51"/>
        <v/>
      </c>
      <c r="EC23" s="37"/>
      <c r="ED23" s="33"/>
      <c r="EE23" s="34"/>
      <c r="EF23" s="35" t="str">
        <f t="shared" si="52"/>
        <v/>
      </c>
      <c r="EG23" s="36" t="str">
        <f t="shared" si="53"/>
        <v/>
      </c>
      <c r="EH23" s="37"/>
      <c r="EI23" s="33"/>
      <c r="EJ23" s="34"/>
      <c r="EK23" s="35" t="str">
        <f t="shared" si="54"/>
        <v/>
      </c>
      <c r="EL23" s="36" t="str">
        <f t="shared" si="55"/>
        <v/>
      </c>
      <c r="EM23" s="37"/>
      <c r="EN23" s="33"/>
      <c r="EO23" s="34"/>
      <c r="EP23" s="35" t="str">
        <f t="shared" si="56"/>
        <v/>
      </c>
      <c r="EQ23" s="36" t="str">
        <f t="shared" si="57"/>
        <v/>
      </c>
      <c r="ER23" s="37"/>
      <c r="ES23" s="33"/>
      <c r="ET23" s="34"/>
      <c r="EU23" s="35" t="str">
        <f t="shared" si="58"/>
        <v/>
      </c>
      <c r="EV23" s="36" t="str">
        <f t="shared" si="59"/>
        <v/>
      </c>
      <c r="EW23" s="37"/>
    </row>
    <row r="24" spans="1:153" ht="19.5" customHeight="1">
      <c r="A24" s="32">
        <f>IF(DAY(DATE(対象年度,1,21))&lt;&gt;21,"",21)</f>
        <v>21</v>
      </c>
      <c r="B24" s="32" t="str">
        <f>IF(DAY(DATE(対象年度,1,21))&lt;&gt;21,"",CHOOSE(WEEKDAY(DATE(対象年度,1,21),2),"月","火","水","木","金","土","日"))</f>
        <v>水</v>
      </c>
      <c r="C24" s="32" t="str">
        <f>IF(DAY(DATE(対象年度,1,21))&lt;&gt;21,"",IF(ISNUMBER(MATCH(DATE(対象年度,1,21),祝日リスト,0)),"祝",""))</f>
        <v/>
      </c>
      <c r="D24" s="38" t="s">
        <v>104</v>
      </c>
      <c r="E24" s="34"/>
      <c r="F24" s="35" t="str">
        <f t="shared" si="0"/>
        <v>○</v>
      </c>
      <c r="G24" s="36" t="str">
        <f t="shared" si="1"/>
        <v/>
      </c>
      <c r="H24" s="37"/>
      <c r="I24" s="38" t="s">
        <v>116</v>
      </c>
      <c r="J24" s="34"/>
      <c r="K24" s="35" t="str">
        <f t="shared" si="2"/>
        <v>○</v>
      </c>
      <c r="L24" s="36" t="str">
        <f t="shared" si="3"/>
        <v/>
      </c>
      <c r="M24" s="37"/>
      <c r="N24" s="38" t="s">
        <v>116</v>
      </c>
      <c r="O24" s="34"/>
      <c r="P24" s="35" t="str">
        <f t="shared" si="4"/>
        <v>○</v>
      </c>
      <c r="Q24" s="36" t="str">
        <f t="shared" si="5"/>
        <v/>
      </c>
      <c r="R24" s="37"/>
      <c r="S24" s="38" t="s">
        <v>116</v>
      </c>
      <c r="T24" s="34"/>
      <c r="U24" s="35" t="str">
        <f t="shared" si="6"/>
        <v>○</v>
      </c>
      <c r="V24" s="36" t="str">
        <f t="shared" si="7"/>
        <v/>
      </c>
      <c r="W24" s="37"/>
      <c r="X24" s="38" t="s">
        <v>116</v>
      </c>
      <c r="Y24" s="34"/>
      <c r="Z24" s="35" t="str">
        <f t="shared" si="8"/>
        <v>○</v>
      </c>
      <c r="AA24" s="36" t="str">
        <f t="shared" si="9"/>
        <v/>
      </c>
      <c r="AB24" s="37"/>
      <c r="AC24" s="38" t="s">
        <v>116</v>
      </c>
      <c r="AD24" s="34"/>
      <c r="AE24" s="35" t="str">
        <f t="shared" si="10"/>
        <v>○</v>
      </c>
      <c r="AF24" s="36" t="str">
        <f t="shared" si="11"/>
        <v/>
      </c>
      <c r="AG24" s="37"/>
      <c r="AH24" s="33"/>
      <c r="AI24" s="34"/>
      <c r="AJ24" s="35" t="str">
        <f t="shared" si="12"/>
        <v/>
      </c>
      <c r="AK24" s="36" t="str">
        <f t="shared" si="13"/>
        <v/>
      </c>
      <c r="AL24" s="37"/>
      <c r="AM24" s="38" t="s">
        <v>105</v>
      </c>
      <c r="AN24" s="34"/>
      <c r="AO24" s="35" t="str">
        <f t="shared" si="14"/>
        <v>○</v>
      </c>
      <c r="AP24" s="36" t="str">
        <f t="shared" si="15"/>
        <v/>
      </c>
      <c r="AQ24" s="37"/>
      <c r="AR24" s="38" t="s">
        <v>116</v>
      </c>
      <c r="AS24" s="34"/>
      <c r="AT24" s="35" t="str">
        <f t="shared" si="16"/>
        <v>○</v>
      </c>
      <c r="AU24" s="36" t="str">
        <f t="shared" si="17"/>
        <v/>
      </c>
      <c r="AV24" s="37"/>
      <c r="AW24" s="33"/>
      <c r="AX24" s="34"/>
      <c r="AY24" s="35" t="str">
        <f t="shared" si="18"/>
        <v/>
      </c>
      <c r="AZ24" s="36" t="str">
        <f t="shared" si="19"/>
        <v/>
      </c>
      <c r="BA24" s="37"/>
      <c r="BB24" s="38" t="s">
        <v>104</v>
      </c>
      <c r="BC24" s="34"/>
      <c r="BD24" s="35" t="str">
        <f t="shared" si="20"/>
        <v>○</v>
      </c>
      <c r="BE24" s="36" t="str">
        <f t="shared" si="21"/>
        <v/>
      </c>
      <c r="BF24" s="37"/>
      <c r="BG24" s="38" t="s">
        <v>116</v>
      </c>
      <c r="BH24" s="34"/>
      <c r="BI24" s="35" t="str">
        <f t="shared" si="22"/>
        <v>○</v>
      </c>
      <c r="BJ24" s="36" t="str">
        <f t="shared" si="23"/>
        <v/>
      </c>
      <c r="BK24" s="37"/>
      <c r="BL24" s="33"/>
      <c r="BM24" s="34"/>
      <c r="BN24" s="35" t="str">
        <f t="shared" si="24"/>
        <v/>
      </c>
      <c r="BO24" s="36" t="str">
        <f t="shared" si="25"/>
        <v/>
      </c>
      <c r="BP24" s="37"/>
      <c r="BQ24" s="33"/>
      <c r="BR24" s="34"/>
      <c r="BS24" s="35" t="str">
        <f t="shared" si="26"/>
        <v/>
      </c>
      <c r="BT24" s="36" t="str">
        <f t="shared" si="27"/>
        <v/>
      </c>
      <c r="BU24" s="37"/>
      <c r="BV24" s="33"/>
      <c r="BW24" s="34"/>
      <c r="BX24" s="35" t="str">
        <f t="shared" si="28"/>
        <v/>
      </c>
      <c r="BY24" s="36" t="str">
        <f t="shared" si="29"/>
        <v/>
      </c>
      <c r="BZ24" s="37"/>
      <c r="CA24" s="33"/>
      <c r="CB24" s="34"/>
      <c r="CC24" s="35" t="str">
        <f t="shared" si="30"/>
        <v/>
      </c>
      <c r="CD24" s="36" t="str">
        <f t="shared" si="31"/>
        <v/>
      </c>
      <c r="CE24" s="37"/>
      <c r="CF24" s="33"/>
      <c r="CG24" s="34"/>
      <c r="CH24" s="35" t="str">
        <f t="shared" si="32"/>
        <v/>
      </c>
      <c r="CI24" s="36" t="str">
        <f t="shared" si="33"/>
        <v/>
      </c>
      <c r="CJ24" s="37"/>
      <c r="CK24" s="33"/>
      <c r="CL24" s="34"/>
      <c r="CM24" s="35" t="str">
        <f t="shared" si="34"/>
        <v/>
      </c>
      <c r="CN24" s="36" t="str">
        <f t="shared" si="35"/>
        <v/>
      </c>
      <c r="CO24" s="37"/>
      <c r="CP24" s="33"/>
      <c r="CQ24" s="34"/>
      <c r="CR24" s="35" t="str">
        <f t="shared" si="36"/>
        <v/>
      </c>
      <c r="CS24" s="36" t="str">
        <f t="shared" si="37"/>
        <v/>
      </c>
      <c r="CT24" s="37"/>
      <c r="CU24" s="33"/>
      <c r="CV24" s="34"/>
      <c r="CW24" s="35" t="str">
        <f t="shared" si="38"/>
        <v/>
      </c>
      <c r="CX24" s="36" t="str">
        <f t="shared" si="39"/>
        <v/>
      </c>
      <c r="CY24" s="37"/>
      <c r="CZ24" s="33"/>
      <c r="DA24" s="34"/>
      <c r="DB24" s="35" t="str">
        <f t="shared" si="40"/>
        <v/>
      </c>
      <c r="DC24" s="36" t="str">
        <f t="shared" si="41"/>
        <v/>
      </c>
      <c r="DD24" s="37"/>
      <c r="DE24" s="33"/>
      <c r="DF24" s="34"/>
      <c r="DG24" s="35" t="str">
        <f t="shared" si="42"/>
        <v/>
      </c>
      <c r="DH24" s="36" t="str">
        <f t="shared" si="43"/>
        <v/>
      </c>
      <c r="DI24" s="37"/>
      <c r="DJ24" s="33"/>
      <c r="DK24" s="34"/>
      <c r="DL24" s="35" t="str">
        <f t="shared" si="44"/>
        <v/>
      </c>
      <c r="DM24" s="36" t="str">
        <f t="shared" si="45"/>
        <v/>
      </c>
      <c r="DN24" s="37"/>
      <c r="DO24" s="33"/>
      <c r="DP24" s="34"/>
      <c r="DQ24" s="35" t="str">
        <f t="shared" si="46"/>
        <v/>
      </c>
      <c r="DR24" s="36" t="str">
        <f t="shared" si="47"/>
        <v/>
      </c>
      <c r="DS24" s="37"/>
      <c r="DT24" s="33"/>
      <c r="DU24" s="34"/>
      <c r="DV24" s="35" t="str">
        <f t="shared" si="48"/>
        <v/>
      </c>
      <c r="DW24" s="36" t="str">
        <f t="shared" si="49"/>
        <v/>
      </c>
      <c r="DX24" s="37"/>
      <c r="DY24" s="33"/>
      <c r="DZ24" s="34"/>
      <c r="EA24" s="35" t="str">
        <f t="shared" si="50"/>
        <v/>
      </c>
      <c r="EB24" s="36" t="str">
        <f t="shared" si="51"/>
        <v/>
      </c>
      <c r="EC24" s="37"/>
      <c r="ED24" s="33"/>
      <c r="EE24" s="34"/>
      <c r="EF24" s="35" t="str">
        <f t="shared" si="52"/>
        <v/>
      </c>
      <c r="EG24" s="36" t="str">
        <f t="shared" si="53"/>
        <v/>
      </c>
      <c r="EH24" s="37"/>
      <c r="EI24" s="33"/>
      <c r="EJ24" s="34"/>
      <c r="EK24" s="35" t="str">
        <f t="shared" si="54"/>
        <v/>
      </c>
      <c r="EL24" s="36" t="str">
        <f t="shared" si="55"/>
        <v/>
      </c>
      <c r="EM24" s="37"/>
      <c r="EN24" s="33"/>
      <c r="EO24" s="34"/>
      <c r="EP24" s="35" t="str">
        <f t="shared" si="56"/>
        <v/>
      </c>
      <c r="EQ24" s="36" t="str">
        <f t="shared" si="57"/>
        <v/>
      </c>
      <c r="ER24" s="37"/>
      <c r="ES24" s="33"/>
      <c r="ET24" s="34"/>
      <c r="EU24" s="35" t="str">
        <f t="shared" si="58"/>
        <v/>
      </c>
      <c r="EV24" s="36" t="str">
        <f t="shared" si="59"/>
        <v/>
      </c>
      <c r="EW24" s="37"/>
    </row>
    <row r="25" spans="1:153" ht="19.5" customHeight="1">
      <c r="A25" s="32">
        <f>IF(DAY(DATE(対象年度,1,22))&lt;&gt;22,"",22)</f>
        <v>22</v>
      </c>
      <c r="B25" s="32" t="str">
        <f>IF(DAY(DATE(対象年度,1,22))&lt;&gt;22,"",CHOOSE(WEEKDAY(DATE(対象年度,1,22),2),"月","火","水","木","金","土","日"))</f>
        <v>木</v>
      </c>
      <c r="C25" s="32" t="str">
        <f>IF(DAY(DATE(対象年度,1,22))&lt;&gt;22,"",IF(ISNUMBER(MATCH(DATE(対象年度,1,22),祝日リスト,0)),"祝",""))</f>
        <v/>
      </c>
      <c r="D25" s="38" t="s">
        <v>104</v>
      </c>
      <c r="E25" s="34"/>
      <c r="F25" s="35" t="str">
        <f t="shared" si="0"/>
        <v>○</v>
      </c>
      <c r="G25" s="36" t="str">
        <f t="shared" si="1"/>
        <v/>
      </c>
      <c r="H25" s="37"/>
      <c r="I25" s="38" t="s">
        <v>116</v>
      </c>
      <c r="J25" s="34"/>
      <c r="K25" s="35" t="str">
        <f t="shared" si="2"/>
        <v>○</v>
      </c>
      <c r="L25" s="36" t="str">
        <f t="shared" si="3"/>
        <v/>
      </c>
      <c r="M25" s="37"/>
      <c r="N25" s="38" t="s">
        <v>116</v>
      </c>
      <c r="O25" s="34"/>
      <c r="P25" s="35" t="str">
        <f t="shared" si="4"/>
        <v>○</v>
      </c>
      <c r="Q25" s="36" t="str">
        <f t="shared" si="5"/>
        <v/>
      </c>
      <c r="R25" s="37"/>
      <c r="S25" s="38" t="s">
        <v>116</v>
      </c>
      <c r="T25" s="34"/>
      <c r="U25" s="35" t="str">
        <f t="shared" si="6"/>
        <v>○</v>
      </c>
      <c r="V25" s="36" t="str">
        <f t="shared" si="7"/>
        <v/>
      </c>
      <c r="W25" s="37"/>
      <c r="X25" s="38" t="s">
        <v>116</v>
      </c>
      <c r="Y25" s="34"/>
      <c r="Z25" s="35" t="str">
        <f t="shared" si="8"/>
        <v>○</v>
      </c>
      <c r="AA25" s="36" t="str">
        <f t="shared" si="9"/>
        <v/>
      </c>
      <c r="AB25" s="37"/>
      <c r="AC25" s="38" t="s">
        <v>116</v>
      </c>
      <c r="AD25" s="34"/>
      <c r="AE25" s="35" t="str">
        <f t="shared" si="10"/>
        <v>○</v>
      </c>
      <c r="AF25" s="36" t="str">
        <f t="shared" si="11"/>
        <v/>
      </c>
      <c r="AG25" s="37"/>
      <c r="AH25" s="33"/>
      <c r="AI25" s="34"/>
      <c r="AJ25" s="35" t="str">
        <f t="shared" si="12"/>
        <v/>
      </c>
      <c r="AK25" s="36" t="str">
        <f t="shared" si="13"/>
        <v/>
      </c>
      <c r="AL25" s="37"/>
      <c r="AM25" s="38" t="s">
        <v>116</v>
      </c>
      <c r="AN25" s="34"/>
      <c r="AO25" s="35" t="str">
        <f t="shared" si="14"/>
        <v>○</v>
      </c>
      <c r="AP25" s="36" t="str">
        <f t="shared" si="15"/>
        <v/>
      </c>
      <c r="AQ25" s="37"/>
      <c r="AR25" s="38" t="s">
        <v>116</v>
      </c>
      <c r="AS25" s="34"/>
      <c r="AT25" s="35" t="str">
        <f t="shared" si="16"/>
        <v>○</v>
      </c>
      <c r="AU25" s="36" t="str">
        <f t="shared" si="17"/>
        <v/>
      </c>
      <c r="AV25" s="37"/>
      <c r="AW25" s="33"/>
      <c r="AX25" s="34"/>
      <c r="AY25" s="35" t="str">
        <f t="shared" si="18"/>
        <v/>
      </c>
      <c r="AZ25" s="36" t="str">
        <f t="shared" si="19"/>
        <v/>
      </c>
      <c r="BA25" s="37"/>
      <c r="BB25" s="38" t="s">
        <v>104</v>
      </c>
      <c r="BC25" s="34"/>
      <c r="BD25" s="35" t="str">
        <f t="shared" si="20"/>
        <v>○</v>
      </c>
      <c r="BE25" s="36" t="str">
        <f t="shared" si="21"/>
        <v/>
      </c>
      <c r="BF25" s="37"/>
      <c r="BG25" s="38" t="s">
        <v>116</v>
      </c>
      <c r="BH25" s="34"/>
      <c r="BI25" s="35" t="str">
        <f t="shared" si="22"/>
        <v>○</v>
      </c>
      <c r="BJ25" s="36" t="str">
        <f t="shared" si="23"/>
        <v/>
      </c>
      <c r="BK25" s="37"/>
      <c r="BL25" s="33"/>
      <c r="BM25" s="34"/>
      <c r="BN25" s="35" t="str">
        <f t="shared" si="24"/>
        <v/>
      </c>
      <c r="BO25" s="36" t="str">
        <f t="shared" si="25"/>
        <v/>
      </c>
      <c r="BP25" s="37"/>
      <c r="BQ25" s="33"/>
      <c r="BR25" s="34"/>
      <c r="BS25" s="35" t="str">
        <f t="shared" si="26"/>
        <v/>
      </c>
      <c r="BT25" s="36" t="str">
        <f t="shared" si="27"/>
        <v/>
      </c>
      <c r="BU25" s="37"/>
      <c r="BV25" s="33"/>
      <c r="BW25" s="34"/>
      <c r="BX25" s="35" t="str">
        <f t="shared" si="28"/>
        <v/>
      </c>
      <c r="BY25" s="36" t="str">
        <f t="shared" si="29"/>
        <v/>
      </c>
      <c r="BZ25" s="37"/>
      <c r="CA25" s="33"/>
      <c r="CB25" s="34"/>
      <c r="CC25" s="35" t="str">
        <f t="shared" si="30"/>
        <v/>
      </c>
      <c r="CD25" s="36" t="str">
        <f t="shared" si="31"/>
        <v/>
      </c>
      <c r="CE25" s="37"/>
      <c r="CF25" s="33"/>
      <c r="CG25" s="34"/>
      <c r="CH25" s="35" t="str">
        <f t="shared" si="32"/>
        <v/>
      </c>
      <c r="CI25" s="36" t="str">
        <f t="shared" si="33"/>
        <v/>
      </c>
      <c r="CJ25" s="37"/>
      <c r="CK25" s="33"/>
      <c r="CL25" s="34"/>
      <c r="CM25" s="35" t="str">
        <f t="shared" si="34"/>
        <v/>
      </c>
      <c r="CN25" s="36" t="str">
        <f t="shared" si="35"/>
        <v/>
      </c>
      <c r="CO25" s="37"/>
      <c r="CP25" s="33"/>
      <c r="CQ25" s="34"/>
      <c r="CR25" s="35" t="str">
        <f t="shared" si="36"/>
        <v/>
      </c>
      <c r="CS25" s="36" t="str">
        <f t="shared" si="37"/>
        <v/>
      </c>
      <c r="CT25" s="37"/>
      <c r="CU25" s="33"/>
      <c r="CV25" s="34"/>
      <c r="CW25" s="35" t="str">
        <f t="shared" si="38"/>
        <v/>
      </c>
      <c r="CX25" s="36" t="str">
        <f t="shared" si="39"/>
        <v/>
      </c>
      <c r="CY25" s="37"/>
      <c r="CZ25" s="33"/>
      <c r="DA25" s="34"/>
      <c r="DB25" s="35" t="str">
        <f t="shared" si="40"/>
        <v/>
      </c>
      <c r="DC25" s="36" t="str">
        <f t="shared" si="41"/>
        <v/>
      </c>
      <c r="DD25" s="37"/>
      <c r="DE25" s="33"/>
      <c r="DF25" s="34"/>
      <c r="DG25" s="35" t="str">
        <f t="shared" si="42"/>
        <v/>
      </c>
      <c r="DH25" s="36" t="str">
        <f t="shared" si="43"/>
        <v/>
      </c>
      <c r="DI25" s="37"/>
      <c r="DJ25" s="33"/>
      <c r="DK25" s="34"/>
      <c r="DL25" s="35" t="str">
        <f t="shared" si="44"/>
        <v/>
      </c>
      <c r="DM25" s="36" t="str">
        <f t="shared" si="45"/>
        <v/>
      </c>
      <c r="DN25" s="37"/>
      <c r="DO25" s="33"/>
      <c r="DP25" s="34"/>
      <c r="DQ25" s="35" t="str">
        <f t="shared" si="46"/>
        <v/>
      </c>
      <c r="DR25" s="36" t="str">
        <f t="shared" si="47"/>
        <v/>
      </c>
      <c r="DS25" s="37"/>
      <c r="DT25" s="33"/>
      <c r="DU25" s="34"/>
      <c r="DV25" s="35" t="str">
        <f t="shared" si="48"/>
        <v/>
      </c>
      <c r="DW25" s="36" t="str">
        <f t="shared" si="49"/>
        <v/>
      </c>
      <c r="DX25" s="37"/>
      <c r="DY25" s="33"/>
      <c r="DZ25" s="34"/>
      <c r="EA25" s="35" t="str">
        <f t="shared" si="50"/>
        <v/>
      </c>
      <c r="EB25" s="36" t="str">
        <f t="shared" si="51"/>
        <v/>
      </c>
      <c r="EC25" s="37"/>
      <c r="ED25" s="33"/>
      <c r="EE25" s="34"/>
      <c r="EF25" s="35" t="str">
        <f t="shared" si="52"/>
        <v/>
      </c>
      <c r="EG25" s="36" t="str">
        <f t="shared" si="53"/>
        <v/>
      </c>
      <c r="EH25" s="37"/>
      <c r="EI25" s="33"/>
      <c r="EJ25" s="34"/>
      <c r="EK25" s="35" t="str">
        <f t="shared" si="54"/>
        <v/>
      </c>
      <c r="EL25" s="36" t="str">
        <f t="shared" si="55"/>
        <v/>
      </c>
      <c r="EM25" s="37"/>
      <c r="EN25" s="33"/>
      <c r="EO25" s="34"/>
      <c r="EP25" s="35" t="str">
        <f t="shared" si="56"/>
        <v/>
      </c>
      <c r="EQ25" s="36" t="str">
        <f t="shared" si="57"/>
        <v/>
      </c>
      <c r="ER25" s="37"/>
      <c r="ES25" s="33"/>
      <c r="ET25" s="34"/>
      <c r="EU25" s="35" t="str">
        <f t="shared" si="58"/>
        <v/>
      </c>
      <c r="EV25" s="36" t="str">
        <f t="shared" si="59"/>
        <v/>
      </c>
      <c r="EW25" s="37"/>
    </row>
    <row r="26" spans="1:153" ht="19.5" customHeight="1">
      <c r="A26" s="32">
        <f>IF(DAY(DATE(対象年度,1,23))&lt;&gt;23,"",23)</f>
        <v>23</v>
      </c>
      <c r="B26" s="32" t="str">
        <f>IF(DAY(DATE(対象年度,1,23))&lt;&gt;23,"",CHOOSE(WEEKDAY(DATE(対象年度,1,23),2),"月","火","水","木","金","土","日"))</f>
        <v>金</v>
      </c>
      <c r="C26" s="32" t="str">
        <f>IF(DAY(DATE(対象年度,1,23))&lt;&gt;23,"",IF(ISNUMBER(MATCH(DATE(対象年度,1,23),祝日リスト,0)),"祝",""))</f>
        <v/>
      </c>
      <c r="D26" s="38" t="s">
        <v>104</v>
      </c>
      <c r="E26" s="34"/>
      <c r="F26" s="35" t="str">
        <f t="shared" si="0"/>
        <v>○</v>
      </c>
      <c r="G26" s="36" t="str">
        <f t="shared" si="1"/>
        <v/>
      </c>
      <c r="H26" s="37"/>
      <c r="I26" s="38" t="s">
        <v>116</v>
      </c>
      <c r="J26" s="34"/>
      <c r="K26" s="35" t="str">
        <f t="shared" si="2"/>
        <v>○</v>
      </c>
      <c r="L26" s="36" t="str">
        <f t="shared" si="3"/>
        <v/>
      </c>
      <c r="M26" s="37"/>
      <c r="N26" s="38" t="s">
        <v>116</v>
      </c>
      <c r="O26" s="34"/>
      <c r="P26" s="35" t="str">
        <f t="shared" si="4"/>
        <v>○</v>
      </c>
      <c r="Q26" s="36" t="str">
        <f t="shared" si="5"/>
        <v/>
      </c>
      <c r="R26" s="37"/>
      <c r="S26" s="38" t="s">
        <v>116</v>
      </c>
      <c r="T26" s="34"/>
      <c r="U26" s="35" t="str">
        <f t="shared" si="6"/>
        <v>○</v>
      </c>
      <c r="V26" s="36" t="str">
        <f t="shared" si="7"/>
        <v/>
      </c>
      <c r="W26" s="37"/>
      <c r="X26" s="38" t="s">
        <v>116</v>
      </c>
      <c r="Y26" s="34"/>
      <c r="Z26" s="35" t="str">
        <f t="shared" si="8"/>
        <v>○</v>
      </c>
      <c r="AA26" s="36" t="str">
        <f t="shared" si="9"/>
        <v/>
      </c>
      <c r="AB26" s="37"/>
      <c r="AC26" s="38" t="s">
        <v>116</v>
      </c>
      <c r="AD26" s="34"/>
      <c r="AE26" s="35" t="str">
        <f t="shared" si="10"/>
        <v>○</v>
      </c>
      <c r="AF26" s="36" t="str">
        <f t="shared" si="11"/>
        <v/>
      </c>
      <c r="AG26" s="37"/>
      <c r="AH26" s="38" t="s">
        <v>117</v>
      </c>
      <c r="AI26" s="34"/>
      <c r="AJ26" s="35" t="str">
        <f t="shared" si="12"/>
        <v>○</v>
      </c>
      <c r="AK26" s="36" t="str">
        <f t="shared" si="13"/>
        <v/>
      </c>
      <c r="AL26" s="37"/>
      <c r="AM26" s="38" t="s">
        <v>116</v>
      </c>
      <c r="AN26" s="34"/>
      <c r="AO26" s="35" t="str">
        <f t="shared" si="14"/>
        <v>○</v>
      </c>
      <c r="AP26" s="36" t="str">
        <f t="shared" si="15"/>
        <v/>
      </c>
      <c r="AQ26" s="37"/>
      <c r="AR26" s="38" t="s">
        <v>116</v>
      </c>
      <c r="AS26" s="34"/>
      <c r="AT26" s="35" t="str">
        <f t="shared" si="16"/>
        <v>○</v>
      </c>
      <c r="AU26" s="36" t="str">
        <f t="shared" si="17"/>
        <v/>
      </c>
      <c r="AV26" s="37"/>
      <c r="AW26" s="33"/>
      <c r="AX26" s="34"/>
      <c r="AY26" s="35" t="str">
        <f t="shared" si="18"/>
        <v/>
      </c>
      <c r="AZ26" s="36" t="str">
        <f t="shared" si="19"/>
        <v/>
      </c>
      <c r="BA26" s="37"/>
      <c r="BB26" s="38" t="s">
        <v>104</v>
      </c>
      <c r="BC26" s="34"/>
      <c r="BD26" s="35" t="str">
        <f t="shared" si="20"/>
        <v>○</v>
      </c>
      <c r="BE26" s="36" t="str">
        <f t="shared" si="21"/>
        <v/>
      </c>
      <c r="BF26" s="37"/>
      <c r="BG26" s="38" t="s">
        <v>116</v>
      </c>
      <c r="BH26" s="34"/>
      <c r="BI26" s="35" t="str">
        <f t="shared" si="22"/>
        <v>○</v>
      </c>
      <c r="BJ26" s="36" t="str">
        <f t="shared" si="23"/>
        <v/>
      </c>
      <c r="BK26" s="37"/>
      <c r="BL26" s="33"/>
      <c r="BM26" s="34"/>
      <c r="BN26" s="35" t="str">
        <f t="shared" si="24"/>
        <v/>
      </c>
      <c r="BO26" s="36" t="str">
        <f t="shared" si="25"/>
        <v/>
      </c>
      <c r="BP26" s="37"/>
      <c r="BQ26" s="33"/>
      <c r="BR26" s="34"/>
      <c r="BS26" s="35" t="str">
        <f t="shared" si="26"/>
        <v/>
      </c>
      <c r="BT26" s="36" t="str">
        <f t="shared" si="27"/>
        <v/>
      </c>
      <c r="BU26" s="37"/>
      <c r="BV26" s="33"/>
      <c r="BW26" s="34"/>
      <c r="BX26" s="35" t="str">
        <f t="shared" si="28"/>
        <v/>
      </c>
      <c r="BY26" s="36" t="str">
        <f t="shared" si="29"/>
        <v/>
      </c>
      <c r="BZ26" s="37"/>
      <c r="CA26" s="33"/>
      <c r="CB26" s="34"/>
      <c r="CC26" s="35" t="str">
        <f t="shared" si="30"/>
        <v/>
      </c>
      <c r="CD26" s="36" t="str">
        <f t="shared" si="31"/>
        <v/>
      </c>
      <c r="CE26" s="37"/>
      <c r="CF26" s="33"/>
      <c r="CG26" s="34"/>
      <c r="CH26" s="35" t="str">
        <f t="shared" si="32"/>
        <v/>
      </c>
      <c r="CI26" s="36" t="str">
        <f t="shared" si="33"/>
        <v/>
      </c>
      <c r="CJ26" s="37"/>
      <c r="CK26" s="33"/>
      <c r="CL26" s="34"/>
      <c r="CM26" s="35" t="str">
        <f t="shared" si="34"/>
        <v/>
      </c>
      <c r="CN26" s="36" t="str">
        <f t="shared" si="35"/>
        <v/>
      </c>
      <c r="CO26" s="37"/>
      <c r="CP26" s="33"/>
      <c r="CQ26" s="34"/>
      <c r="CR26" s="35" t="str">
        <f t="shared" si="36"/>
        <v/>
      </c>
      <c r="CS26" s="36" t="str">
        <f t="shared" si="37"/>
        <v/>
      </c>
      <c r="CT26" s="37"/>
      <c r="CU26" s="33"/>
      <c r="CV26" s="34"/>
      <c r="CW26" s="35" t="str">
        <f t="shared" si="38"/>
        <v/>
      </c>
      <c r="CX26" s="36" t="str">
        <f t="shared" si="39"/>
        <v/>
      </c>
      <c r="CY26" s="37"/>
      <c r="CZ26" s="33"/>
      <c r="DA26" s="34"/>
      <c r="DB26" s="35" t="str">
        <f t="shared" si="40"/>
        <v/>
      </c>
      <c r="DC26" s="36" t="str">
        <f t="shared" si="41"/>
        <v/>
      </c>
      <c r="DD26" s="37"/>
      <c r="DE26" s="33"/>
      <c r="DF26" s="34"/>
      <c r="DG26" s="35" t="str">
        <f t="shared" si="42"/>
        <v/>
      </c>
      <c r="DH26" s="36" t="str">
        <f t="shared" si="43"/>
        <v/>
      </c>
      <c r="DI26" s="37"/>
      <c r="DJ26" s="33"/>
      <c r="DK26" s="34"/>
      <c r="DL26" s="35" t="str">
        <f t="shared" si="44"/>
        <v/>
      </c>
      <c r="DM26" s="36" t="str">
        <f t="shared" si="45"/>
        <v/>
      </c>
      <c r="DN26" s="37"/>
      <c r="DO26" s="33"/>
      <c r="DP26" s="34"/>
      <c r="DQ26" s="35" t="str">
        <f t="shared" si="46"/>
        <v/>
      </c>
      <c r="DR26" s="36" t="str">
        <f t="shared" si="47"/>
        <v/>
      </c>
      <c r="DS26" s="37"/>
      <c r="DT26" s="33"/>
      <c r="DU26" s="34"/>
      <c r="DV26" s="35" t="str">
        <f t="shared" si="48"/>
        <v/>
      </c>
      <c r="DW26" s="36" t="str">
        <f t="shared" si="49"/>
        <v/>
      </c>
      <c r="DX26" s="37"/>
      <c r="DY26" s="33"/>
      <c r="DZ26" s="34"/>
      <c r="EA26" s="35" t="str">
        <f t="shared" si="50"/>
        <v/>
      </c>
      <c r="EB26" s="36" t="str">
        <f t="shared" si="51"/>
        <v/>
      </c>
      <c r="EC26" s="37"/>
      <c r="ED26" s="33"/>
      <c r="EE26" s="34"/>
      <c r="EF26" s="35" t="str">
        <f t="shared" si="52"/>
        <v/>
      </c>
      <c r="EG26" s="36" t="str">
        <f t="shared" si="53"/>
        <v/>
      </c>
      <c r="EH26" s="37"/>
      <c r="EI26" s="33"/>
      <c r="EJ26" s="34"/>
      <c r="EK26" s="35" t="str">
        <f t="shared" si="54"/>
        <v/>
      </c>
      <c r="EL26" s="36" t="str">
        <f t="shared" si="55"/>
        <v/>
      </c>
      <c r="EM26" s="37"/>
      <c r="EN26" s="33"/>
      <c r="EO26" s="34"/>
      <c r="EP26" s="35" t="str">
        <f t="shared" si="56"/>
        <v/>
      </c>
      <c r="EQ26" s="36" t="str">
        <f t="shared" si="57"/>
        <v/>
      </c>
      <c r="ER26" s="37"/>
      <c r="ES26" s="33"/>
      <c r="ET26" s="34"/>
      <c r="EU26" s="35" t="str">
        <f t="shared" si="58"/>
        <v/>
      </c>
      <c r="EV26" s="36" t="str">
        <f t="shared" si="59"/>
        <v/>
      </c>
      <c r="EW26" s="37"/>
    </row>
    <row r="27" spans="1:153" ht="19.5" customHeight="1">
      <c r="A27" s="32">
        <f>IF(DAY(DATE(対象年度,1,24))&lt;&gt;24,"",24)</f>
        <v>24</v>
      </c>
      <c r="B27" s="32" t="str">
        <f>IF(DAY(DATE(対象年度,1,24))&lt;&gt;24,"",CHOOSE(WEEKDAY(DATE(対象年度,1,24),2),"月","火","水","木","金","土","日"))</f>
        <v>土</v>
      </c>
      <c r="C27" s="32" t="str">
        <f>IF(DAY(DATE(対象年度,1,24))&lt;&gt;24,"",IF(ISNUMBER(MATCH(DATE(対象年度,1,24),祝日リスト,0)),"祝",""))</f>
        <v/>
      </c>
      <c r="D27" s="33"/>
      <c r="E27" s="34"/>
      <c r="F27" s="35" t="str">
        <f t="shared" si="0"/>
        <v/>
      </c>
      <c r="G27" s="36" t="str">
        <f t="shared" si="1"/>
        <v/>
      </c>
      <c r="H27" s="37"/>
      <c r="I27" s="38" t="s">
        <v>116</v>
      </c>
      <c r="J27" s="34"/>
      <c r="K27" s="35" t="str">
        <f t="shared" si="2"/>
        <v>○</v>
      </c>
      <c r="L27" s="36" t="str">
        <f t="shared" si="3"/>
        <v/>
      </c>
      <c r="M27" s="37"/>
      <c r="N27" s="38" t="s">
        <v>116</v>
      </c>
      <c r="O27" s="34"/>
      <c r="P27" s="35" t="str">
        <f t="shared" si="4"/>
        <v>○</v>
      </c>
      <c r="Q27" s="36" t="str">
        <f t="shared" si="5"/>
        <v/>
      </c>
      <c r="R27" s="37"/>
      <c r="S27" s="38" t="s">
        <v>116</v>
      </c>
      <c r="T27" s="34"/>
      <c r="U27" s="35" t="str">
        <f t="shared" si="6"/>
        <v>○</v>
      </c>
      <c r="V27" s="36" t="str">
        <f t="shared" si="7"/>
        <v/>
      </c>
      <c r="W27" s="37"/>
      <c r="X27" s="38" t="s">
        <v>116</v>
      </c>
      <c r="Y27" s="34"/>
      <c r="Z27" s="35" t="str">
        <f t="shared" si="8"/>
        <v>○</v>
      </c>
      <c r="AA27" s="36" t="str">
        <f t="shared" si="9"/>
        <v/>
      </c>
      <c r="AB27" s="37"/>
      <c r="AC27" s="38" t="s">
        <v>116</v>
      </c>
      <c r="AD27" s="34"/>
      <c r="AE27" s="35" t="str">
        <f t="shared" si="10"/>
        <v>○</v>
      </c>
      <c r="AF27" s="36" t="str">
        <f t="shared" si="11"/>
        <v/>
      </c>
      <c r="AG27" s="37"/>
      <c r="AH27" s="33"/>
      <c r="AI27" s="34"/>
      <c r="AJ27" s="35" t="str">
        <f t="shared" si="12"/>
        <v/>
      </c>
      <c r="AK27" s="36" t="str">
        <f t="shared" si="13"/>
        <v/>
      </c>
      <c r="AL27" s="37"/>
      <c r="AM27" s="38" t="s">
        <v>116</v>
      </c>
      <c r="AN27" s="34"/>
      <c r="AO27" s="35" t="str">
        <f t="shared" si="14"/>
        <v>○</v>
      </c>
      <c r="AP27" s="36" t="str">
        <f t="shared" si="15"/>
        <v/>
      </c>
      <c r="AQ27" s="37"/>
      <c r="AR27" s="38" t="s">
        <v>116</v>
      </c>
      <c r="AS27" s="34"/>
      <c r="AT27" s="35" t="str">
        <f t="shared" si="16"/>
        <v>○</v>
      </c>
      <c r="AU27" s="36" t="str">
        <f t="shared" si="17"/>
        <v/>
      </c>
      <c r="AV27" s="37"/>
      <c r="AW27" s="33"/>
      <c r="AX27" s="34"/>
      <c r="AY27" s="35" t="str">
        <f t="shared" si="18"/>
        <v/>
      </c>
      <c r="AZ27" s="36" t="str">
        <f t="shared" si="19"/>
        <v/>
      </c>
      <c r="BA27" s="37"/>
      <c r="BB27" s="33"/>
      <c r="BC27" s="34"/>
      <c r="BD27" s="35" t="str">
        <f t="shared" si="20"/>
        <v/>
      </c>
      <c r="BE27" s="36" t="str">
        <f t="shared" si="21"/>
        <v/>
      </c>
      <c r="BF27" s="37"/>
      <c r="BG27" s="38" t="s">
        <v>116</v>
      </c>
      <c r="BH27" s="34"/>
      <c r="BI27" s="35" t="str">
        <f t="shared" si="22"/>
        <v>○</v>
      </c>
      <c r="BJ27" s="36" t="str">
        <f t="shared" si="23"/>
        <v/>
      </c>
      <c r="BK27" s="37"/>
      <c r="BL27" s="33"/>
      <c r="BM27" s="34"/>
      <c r="BN27" s="35" t="str">
        <f t="shared" si="24"/>
        <v/>
      </c>
      <c r="BO27" s="36" t="str">
        <f t="shared" si="25"/>
        <v/>
      </c>
      <c r="BP27" s="37"/>
      <c r="BQ27" s="33"/>
      <c r="BR27" s="34"/>
      <c r="BS27" s="35" t="str">
        <f t="shared" si="26"/>
        <v/>
      </c>
      <c r="BT27" s="36" t="str">
        <f t="shared" si="27"/>
        <v/>
      </c>
      <c r="BU27" s="37"/>
      <c r="BV27" s="33"/>
      <c r="BW27" s="34"/>
      <c r="BX27" s="35" t="str">
        <f t="shared" si="28"/>
        <v/>
      </c>
      <c r="BY27" s="36" t="str">
        <f t="shared" si="29"/>
        <v/>
      </c>
      <c r="BZ27" s="37"/>
      <c r="CA27" s="33"/>
      <c r="CB27" s="34"/>
      <c r="CC27" s="35" t="str">
        <f t="shared" si="30"/>
        <v/>
      </c>
      <c r="CD27" s="36" t="str">
        <f t="shared" si="31"/>
        <v/>
      </c>
      <c r="CE27" s="37"/>
      <c r="CF27" s="33"/>
      <c r="CG27" s="34"/>
      <c r="CH27" s="35" t="str">
        <f t="shared" si="32"/>
        <v/>
      </c>
      <c r="CI27" s="36" t="str">
        <f t="shared" si="33"/>
        <v/>
      </c>
      <c r="CJ27" s="37"/>
      <c r="CK27" s="33"/>
      <c r="CL27" s="34"/>
      <c r="CM27" s="35" t="str">
        <f t="shared" si="34"/>
        <v/>
      </c>
      <c r="CN27" s="36" t="str">
        <f t="shared" si="35"/>
        <v/>
      </c>
      <c r="CO27" s="37"/>
      <c r="CP27" s="33"/>
      <c r="CQ27" s="34"/>
      <c r="CR27" s="35" t="str">
        <f t="shared" si="36"/>
        <v/>
      </c>
      <c r="CS27" s="36" t="str">
        <f t="shared" si="37"/>
        <v/>
      </c>
      <c r="CT27" s="37"/>
      <c r="CU27" s="33"/>
      <c r="CV27" s="34"/>
      <c r="CW27" s="35" t="str">
        <f t="shared" si="38"/>
        <v/>
      </c>
      <c r="CX27" s="36" t="str">
        <f t="shared" si="39"/>
        <v/>
      </c>
      <c r="CY27" s="37"/>
      <c r="CZ27" s="33"/>
      <c r="DA27" s="34"/>
      <c r="DB27" s="35" t="str">
        <f t="shared" si="40"/>
        <v/>
      </c>
      <c r="DC27" s="36" t="str">
        <f t="shared" si="41"/>
        <v/>
      </c>
      <c r="DD27" s="37"/>
      <c r="DE27" s="33"/>
      <c r="DF27" s="34"/>
      <c r="DG27" s="35" t="str">
        <f t="shared" si="42"/>
        <v/>
      </c>
      <c r="DH27" s="36" t="str">
        <f t="shared" si="43"/>
        <v/>
      </c>
      <c r="DI27" s="37"/>
      <c r="DJ27" s="33"/>
      <c r="DK27" s="34"/>
      <c r="DL27" s="35" t="str">
        <f t="shared" si="44"/>
        <v/>
      </c>
      <c r="DM27" s="36" t="str">
        <f t="shared" si="45"/>
        <v/>
      </c>
      <c r="DN27" s="37"/>
      <c r="DO27" s="33"/>
      <c r="DP27" s="34"/>
      <c r="DQ27" s="35" t="str">
        <f t="shared" si="46"/>
        <v/>
      </c>
      <c r="DR27" s="36" t="str">
        <f t="shared" si="47"/>
        <v/>
      </c>
      <c r="DS27" s="37"/>
      <c r="DT27" s="33"/>
      <c r="DU27" s="34"/>
      <c r="DV27" s="35" t="str">
        <f t="shared" si="48"/>
        <v/>
      </c>
      <c r="DW27" s="36" t="str">
        <f t="shared" si="49"/>
        <v/>
      </c>
      <c r="DX27" s="37"/>
      <c r="DY27" s="33"/>
      <c r="DZ27" s="34"/>
      <c r="EA27" s="35" t="str">
        <f t="shared" si="50"/>
        <v/>
      </c>
      <c r="EB27" s="36" t="str">
        <f t="shared" si="51"/>
        <v/>
      </c>
      <c r="EC27" s="37"/>
      <c r="ED27" s="33"/>
      <c r="EE27" s="34"/>
      <c r="EF27" s="35" t="str">
        <f t="shared" si="52"/>
        <v/>
      </c>
      <c r="EG27" s="36" t="str">
        <f t="shared" si="53"/>
        <v/>
      </c>
      <c r="EH27" s="37"/>
      <c r="EI27" s="33"/>
      <c r="EJ27" s="34"/>
      <c r="EK27" s="35" t="str">
        <f t="shared" si="54"/>
        <v/>
      </c>
      <c r="EL27" s="36" t="str">
        <f t="shared" si="55"/>
        <v/>
      </c>
      <c r="EM27" s="37"/>
      <c r="EN27" s="33"/>
      <c r="EO27" s="34"/>
      <c r="EP27" s="35" t="str">
        <f t="shared" si="56"/>
        <v/>
      </c>
      <c r="EQ27" s="36" t="str">
        <f t="shared" si="57"/>
        <v/>
      </c>
      <c r="ER27" s="37"/>
      <c r="ES27" s="33"/>
      <c r="ET27" s="34"/>
      <c r="EU27" s="35" t="str">
        <f t="shared" si="58"/>
        <v/>
      </c>
      <c r="EV27" s="36" t="str">
        <f t="shared" si="59"/>
        <v/>
      </c>
      <c r="EW27" s="37"/>
    </row>
    <row r="28" spans="1:153" ht="19.5" customHeight="1">
      <c r="A28" s="32">
        <f>IF(DAY(DATE(対象年度,1,25))&lt;&gt;25,"",25)</f>
        <v>25</v>
      </c>
      <c r="B28" s="32" t="str">
        <f>IF(DAY(DATE(対象年度,1,25))&lt;&gt;25,"",CHOOSE(WEEKDAY(DATE(対象年度,1,25),2),"月","火","水","木","金","土","日"))</f>
        <v>日</v>
      </c>
      <c r="C28" s="32" t="str">
        <f>IF(DAY(DATE(対象年度,1,25))&lt;&gt;25,"",IF(ISNUMBER(MATCH(DATE(対象年度,1,25),祝日リスト,0)),"祝",""))</f>
        <v/>
      </c>
      <c r="D28" s="33"/>
      <c r="E28" s="34"/>
      <c r="F28" s="35" t="str">
        <f t="shared" si="0"/>
        <v/>
      </c>
      <c r="G28" s="36" t="str">
        <f t="shared" si="1"/>
        <v/>
      </c>
      <c r="H28" s="37"/>
      <c r="I28" s="33"/>
      <c r="J28" s="34"/>
      <c r="K28" s="35" t="str">
        <f t="shared" si="2"/>
        <v/>
      </c>
      <c r="L28" s="36" t="str">
        <f t="shared" si="3"/>
        <v/>
      </c>
      <c r="M28" s="37"/>
      <c r="N28" s="33"/>
      <c r="O28" s="34"/>
      <c r="P28" s="35" t="str">
        <f t="shared" si="4"/>
        <v/>
      </c>
      <c r="Q28" s="36" t="str">
        <f t="shared" si="5"/>
        <v/>
      </c>
      <c r="R28" s="37"/>
      <c r="S28" s="33"/>
      <c r="T28" s="34"/>
      <c r="U28" s="35" t="str">
        <f t="shared" si="6"/>
        <v/>
      </c>
      <c r="V28" s="36" t="str">
        <f t="shared" si="7"/>
        <v/>
      </c>
      <c r="W28" s="37"/>
      <c r="X28" s="33"/>
      <c r="Y28" s="34"/>
      <c r="Z28" s="35" t="str">
        <f t="shared" si="8"/>
        <v/>
      </c>
      <c r="AA28" s="36" t="str">
        <f t="shared" si="9"/>
        <v/>
      </c>
      <c r="AB28" s="37"/>
      <c r="AC28" s="33"/>
      <c r="AD28" s="34"/>
      <c r="AE28" s="35" t="str">
        <f t="shared" si="10"/>
        <v/>
      </c>
      <c r="AF28" s="36" t="str">
        <f t="shared" si="11"/>
        <v/>
      </c>
      <c r="AG28" s="37"/>
      <c r="AH28" s="33"/>
      <c r="AI28" s="34"/>
      <c r="AJ28" s="35" t="str">
        <f t="shared" si="12"/>
        <v/>
      </c>
      <c r="AK28" s="36" t="str">
        <f t="shared" si="13"/>
        <v/>
      </c>
      <c r="AL28" s="37"/>
      <c r="AM28" s="33"/>
      <c r="AN28" s="34"/>
      <c r="AO28" s="35" t="str">
        <f t="shared" si="14"/>
        <v/>
      </c>
      <c r="AP28" s="36" t="str">
        <f t="shared" si="15"/>
        <v/>
      </c>
      <c r="AQ28" s="37"/>
      <c r="AR28" s="33"/>
      <c r="AS28" s="34"/>
      <c r="AT28" s="35" t="str">
        <f t="shared" si="16"/>
        <v/>
      </c>
      <c r="AU28" s="36" t="str">
        <f t="shared" si="17"/>
        <v/>
      </c>
      <c r="AV28" s="37"/>
      <c r="AW28" s="33"/>
      <c r="AX28" s="34"/>
      <c r="AY28" s="35" t="str">
        <f t="shared" si="18"/>
        <v/>
      </c>
      <c r="AZ28" s="36" t="str">
        <f t="shared" si="19"/>
        <v/>
      </c>
      <c r="BA28" s="37"/>
      <c r="BB28" s="33"/>
      <c r="BC28" s="34"/>
      <c r="BD28" s="35" t="str">
        <f t="shared" si="20"/>
        <v/>
      </c>
      <c r="BE28" s="36" t="str">
        <f t="shared" si="21"/>
        <v/>
      </c>
      <c r="BF28" s="37"/>
      <c r="BG28" s="33"/>
      <c r="BH28" s="34"/>
      <c r="BI28" s="35" t="str">
        <f t="shared" si="22"/>
        <v/>
      </c>
      <c r="BJ28" s="36" t="str">
        <f t="shared" si="23"/>
        <v/>
      </c>
      <c r="BK28" s="37"/>
      <c r="BL28" s="33"/>
      <c r="BM28" s="34"/>
      <c r="BN28" s="35" t="str">
        <f t="shared" si="24"/>
        <v/>
      </c>
      <c r="BO28" s="36" t="str">
        <f t="shared" si="25"/>
        <v/>
      </c>
      <c r="BP28" s="37"/>
      <c r="BQ28" s="33"/>
      <c r="BR28" s="34"/>
      <c r="BS28" s="35" t="str">
        <f t="shared" si="26"/>
        <v/>
      </c>
      <c r="BT28" s="36" t="str">
        <f t="shared" si="27"/>
        <v/>
      </c>
      <c r="BU28" s="37"/>
      <c r="BV28" s="33"/>
      <c r="BW28" s="34"/>
      <c r="BX28" s="35" t="str">
        <f t="shared" si="28"/>
        <v/>
      </c>
      <c r="BY28" s="36" t="str">
        <f t="shared" si="29"/>
        <v/>
      </c>
      <c r="BZ28" s="37"/>
      <c r="CA28" s="33"/>
      <c r="CB28" s="34"/>
      <c r="CC28" s="35" t="str">
        <f t="shared" si="30"/>
        <v/>
      </c>
      <c r="CD28" s="36" t="str">
        <f t="shared" si="31"/>
        <v/>
      </c>
      <c r="CE28" s="37"/>
      <c r="CF28" s="33"/>
      <c r="CG28" s="34"/>
      <c r="CH28" s="35" t="str">
        <f t="shared" si="32"/>
        <v/>
      </c>
      <c r="CI28" s="36" t="str">
        <f t="shared" si="33"/>
        <v/>
      </c>
      <c r="CJ28" s="37"/>
      <c r="CK28" s="33"/>
      <c r="CL28" s="34"/>
      <c r="CM28" s="35" t="str">
        <f t="shared" si="34"/>
        <v/>
      </c>
      <c r="CN28" s="36" t="str">
        <f t="shared" si="35"/>
        <v/>
      </c>
      <c r="CO28" s="37"/>
      <c r="CP28" s="33"/>
      <c r="CQ28" s="34"/>
      <c r="CR28" s="35" t="str">
        <f t="shared" si="36"/>
        <v/>
      </c>
      <c r="CS28" s="36" t="str">
        <f t="shared" si="37"/>
        <v/>
      </c>
      <c r="CT28" s="37"/>
      <c r="CU28" s="33"/>
      <c r="CV28" s="34"/>
      <c r="CW28" s="35" t="str">
        <f t="shared" si="38"/>
        <v/>
      </c>
      <c r="CX28" s="36" t="str">
        <f t="shared" si="39"/>
        <v/>
      </c>
      <c r="CY28" s="37"/>
      <c r="CZ28" s="33"/>
      <c r="DA28" s="34"/>
      <c r="DB28" s="35" t="str">
        <f t="shared" si="40"/>
        <v/>
      </c>
      <c r="DC28" s="36" t="str">
        <f t="shared" si="41"/>
        <v/>
      </c>
      <c r="DD28" s="37"/>
      <c r="DE28" s="33"/>
      <c r="DF28" s="34"/>
      <c r="DG28" s="35" t="str">
        <f t="shared" si="42"/>
        <v/>
      </c>
      <c r="DH28" s="36" t="str">
        <f t="shared" si="43"/>
        <v/>
      </c>
      <c r="DI28" s="37"/>
      <c r="DJ28" s="33"/>
      <c r="DK28" s="34"/>
      <c r="DL28" s="35" t="str">
        <f t="shared" si="44"/>
        <v/>
      </c>
      <c r="DM28" s="36" t="str">
        <f t="shared" si="45"/>
        <v/>
      </c>
      <c r="DN28" s="37"/>
      <c r="DO28" s="33"/>
      <c r="DP28" s="34"/>
      <c r="DQ28" s="35" t="str">
        <f t="shared" si="46"/>
        <v/>
      </c>
      <c r="DR28" s="36" t="str">
        <f t="shared" si="47"/>
        <v/>
      </c>
      <c r="DS28" s="37"/>
      <c r="DT28" s="33"/>
      <c r="DU28" s="34"/>
      <c r="DV28" s="35" t="str">
        <f t="shared" si="48"/>
        <v/>
      </c>
      <c r="DW28" s="36" t="str">
        <f t="shared" si="49"/>
        <v/>
      </c>
      <c r="DX28" s="37"/>
      <c r="DY28" s="33"/>
      <c r="DZ28" s="34"/>
      <c r="EA28" s="35" t="str">
        <f t="shared" si="50"/>
        <v/>
      </c>
      <c r="EB28" s="36" t="str">
        <f t="shared" si="51"/>
        <v/>
      </c>
      <c r="EC28" s="37"/>
      <c r="ED28" s="33"/>
      <c r="EE28" s="34"/>
      <c r="EF28" s="35" t="str">
        <f t="shared" si="52"/>
        <v/>
      </c>
      <c r="EG28" s="36" t="str">
        <f t="shared" si="53"/>
        <v/>
      </c>
      <c r="EH28" s="37"/>
      <c r="EI28" s="33"/>
      <c r="EJ28" s="34"/>
      <c r="EK28" s="35" t="str">
        <f t="shared" si="54"/>
        <v/>
      </c>
      <c r="EL28" s="36" t="str">
        <f t="shared" si="55"/>
        <v/>
      </c>
      <c r="EM28" s="37"/>
      <c r="EN28" s="33"/>
      <c r="EO28" s="34"/>
      <c r="EP28" s="35" t="str">
        <f t="shared" si="56"/>
        <v/>
      </c>
      <c r="EQ28" s="36" t="str">
        <f t="shared" si="57"/>
        <v/>
      </c>
      <c r="ER28" s="37"/>
      <c r="ES28" s="33"/>
      <c r="ET28" s="34"/>
      <c r="EU28" s="35" t="str">
        <f t="shared" si="58"/>
        <v/>
      </c>
      <c r="EV28" s="36" t="str">
        <f t="shared" si="59"/>
        <v/>
      </c>
      <c r="EW28" s="37"/>
    </row>
    <row r="29" spans="1:153" ht="19.5" customHeight="1">
      <c r="A29" s="32">
        <f>IF(DAY(DATE(対象年度,1,26))&lt;&gt;26,"",26)</f>
        <v>26</v>
      </c>
      <c r="B29" s="32" t="str">
        <f>IF(DAY(DATE(対象年度,1,26))&lt;&gt;26,"",CHOOSE(WEEKDAY(DATE(対象年度,1,26),2),"月","火","水","木","金","土","日"))</f>
        <v>月</v>
      </c>
      <c r="C29" s="32" t="str">
        <f>IF(DAY(DATE(対象年度,1,26))&lt;&gt;26,"",IF(ISNUMBER(MATCH(DATE(対象年度,1,26),祝日リスト,0)),"祝",""))</f>
        <v/>
      </c>
      <c r="D29" s="38" t="s">
        <v>104</v>
      </c>
      <c r="E29" s="34"/>
      <c r="F29" s="35" t="str">
        <f t="shared" si="0"/>
        <v>○</v>
      </c>
      <c r="G29" s="36" t="str">
        <f t="shared" si="1"/>
        <v/>
      </c>
      <c r="H29" s="37"/>
      <c r="I29" s="38" t="s">
        <v>105</v>
      </c>
      <c r="J29" s="34"/>
      <c r="K29" s="35" t="str">
        <f t="shared" si="2"/>
        <v>○</v>
      </c>
      <c r="L29" s="36" t="str">
        <f t="shared" si="3"/>
        <v/>
      </c>
      <c r="M29" s="37"/>
      <c r="N29" s="38" t="s">
        <v>116</v>
      </c>
      <c r="O29" s="34"/>
      <c r="P29" s="35" t="str">
        <f t="shared" si="4"/>
        <v>○</v>
      </c>
      <c r="Q29" s="36" t="str">
        <f t="shared" si="5"/>
        <v/>
      </c>
      <c r="R29" s="37"/>
      <c r="S29" s="38" t="s">
        <v>116</v>
      </c>
      <c r="T29" s="34"/>
      <c r="U29" s="35" t="str">
        <f t="shared" si="6"/>
        <v>○</v>
      </c>
      <c r="V29" s="36" t="str">
        <f t="shared" si="7"/>
        <v/>
      </c>
      <c r="W29" s="37"/>
      <c r="X29" s="38" t="s">
        <v>116</v>
      </c>
      <c r="Y29" s="34"/>
      <c r="Z29" s="35" t="str">
        <f t="shared" si="8"/>
        <v>○</v>
      </c>
      <c r="AA29" s="36" t="str">
        <f t="shared" si="9"/>
        <v/>
      </c>
      <c r="AB29" s="37"/>
      <c r="AC29" s="38" t="s">
        <v>116</v>
      </c>
      <c r="AD29" s="34"/>
      <c r="AE29" s="35" t="str">
        <f t="shared" si="10"/>
        <v>○</v>
      </c>
      <c r="AF29" s="36" t="str">
        <f t="shared" si="11"/>
        <v/>
      </c>
      <c r="AG29" s="37"/>
      <c r="AH29" s="38" t="s">
        <v>117</v>
      </c>
      <c r="AI29" s="34"/>
      <c r="AJ29" s="35" t="str">
        <f t="shared" si="12"/>
        <v>○</v>
      </c>
      <c r="AK29" s="36" t="str">
        <f t="shared" si="13"/>
        <v/>
      </c>
      <c r="AL29" s="37"/>
      <c r="AM29" s="38" t="s">
        <v>116</v>
      </c>
      <c r="AN29" s="34"/>
      <c r="AO29" s="35" t="str">
        <f t="shared" si="14"/>
        <v>○</v>
      </c>
      <c r="AP29" s="36" t="str">
        <f t="shared" si="15"/>
        <v/>
      </c>
      <c r="AQ29" s="37"/>
      <c r="AR29" s="38" t="s">
        <v>116</v>
      </c>
      <c r="AS29" s="34"/>
      <c r="AT29" s="35" t="str">
        <f t="shared" si="16"/>
        <v>○</v>
      </c>
      <c r="AU29" s="36" t="str">
        <f t="shared" si="17"/>
        <v/>
      </c>
      <c r="AV29" s="37"/>
      <c r="AW29" s="33"/>
      <c r="AX29" s="34"/>
      <c r="AY29" s="35" t="str">
        <f t="shared" si="18"/>
        <v/>
      </c>
      <c r="AZ29" s="36" t="str">
        <f t="shared" si="19"/>
        <v/>
      </c>
      <c r="BA29" s="37"/>
      <c r="BB29" s="38" t="s">
        <v>104</v>
      </c>
      <c r="BC29" s="34"/>
      <c r="BD29" s="35" t="str">
        <f t="shared" si="20"/>
        <v>○</v>
      </c>
      <c r="BE29" s="36" t="str">
        <f t="shared" si="21"/>
        <v/>
      </c>
      <c r="BF29" s="37"/>
      <c r="BG29" s="38" t="s">
        <v>116</v>
      </c>
      <c r="BH29" s="34"/>
      <c r="BI29" s="35" t="str">
        <f t="shared" si="22"/>
        <v>○</v>
      </c>
      <c r="BJ29" s="36" t="str">
        <f t="shared" si="23"/>
        <v/>
      </c>
      <c r="BK29" s="37"/>
      <c r="BL29" s="33"/>
      <c r="BM29" s="34"/>
      <c r="BN29" s="35" t="str">
        <f t="shared" si="24"/>
        <v/>
      </c>
      <c r="BO29" s="36" t="str">
        <f t="shared" si="25"/>
        <v/>
      </c>
      <c r="BP29" s="37"/>
      <c r="BQ29" s="33"/>
      <c r="BR29" s="34"/>
      <c r="BS29" s="35" t="str">
        <f t="shared" si="26"/>
        <v/>
      </c>
      <c r="BT29" s="36" t="str">
        <f t="shared" si="27"/>
        <v/>
      </c>
      <c r="BU29" s="37"/>
      <c r="BV29" s="33"/>
      <c r="BW29" s="34"/>
      <c r="BX29" s="35" t="str">
        <f t="shared" si="28"/>
        <v/>
      </c>
      <c r="BY29" s="36" t="str">
        <f t="shared" si="29"/>
        <v/>
      </c>
      <c r="BZ29" s="37"/>
      <c r="CA29" s="33"/>
      <c r="CB29" s="34"/>
      <c r="CC29" s="35" t="str">
        <f t="shared" si="30"/>
        <v/>
      </c>
      <c r="CD29" s="36" t="str">
        <f t="shared" si="31"/>
        <v/>
      </c>
      <c r="CE29" s="37"/>
      <c r="CF29" s="33"/>
      <c r="CG29" s="34"/>
      <c r="CH29" s="35" t="str">
        <f t="shared" si="32"/>
        <v/>
      </c>
      <c r="CI29" s="36" t="str">
        <f t="shared" si="33"/>
        <v/>
      </c>
      <c r="CJ29" s="37"/>
      <c r="CK29" s="33"/>
      <c r="CL29" s="34"/>
      <c r="CM29" s="35" t="str">
        <f t="shared" si="34"/>
        <v/>
      </c>
      <c r="CN29" s="36" t="str">
        <f t="shared" si="35"/>
        <v/>
      </c>
      <c r="CO29" s="37"/>
      <c r="CP29" s="33"/>
      <c r="CQ29" s="34"/>
      <c r="CR29" s="35" t="str">
        <f t="shared" si="36"/>
        <v/>
      </c>
      <c r="CS29" s="36" t="str">
        <f t="shared" si="37"/>
        <v/>
      </c>
      <c r="CT29" s="37"/>
      <c r="CU29" s="33"/>
      <c r="CV29" s="34"/>
      <c r="CW29" s="35" t="str">
        <f t="shared" si="38"/>
        <v/>
      </c>
      <c r="CX29" s="36" t="str">
        <f t="shared" si="39"/>
        <v/>
      </c>
      <c r="CY29" s="37"/>
      <c r="CZ29" s="33"/>
      <c r="DA29" s="34"/>
      <c r="DB29" s="35" t="str">
        <f t="shared" si="40"/>
        <v/>
      </c>
      <c r="DC29" s="36" t="str">
        <f t="shared" si="41"/>
        <v/>
      </c>
      <c r="DD29" s="37"/>
      <c r="DE29" s="33"/>
      <c r="DF29" s="34"/>
      <c r="DG29" s="35" t="str">
        <f t="shared" si="42"/>
        <v/>
      </c>
      <c r="DH29" s="36" t="str">
        <f t="shared" si="43"/>
        <v/>
      </c>
      <c r="DI29" s="37"/>
      <c r="DJ29" s="33"/>
      <c r="DK29" s="34"/>
      <c r="DL29" s="35" t="str">
        <f t="shared" si="44"/>
        <v/>
      </c>
      <c r="DM29" s="36" t="str">
        <f t="shared" si="45"/>
        <v/>
      </c>
      <c r="DN29" s="37"/>
      <c r="DO29" s="33"/>
      <c r="DP29" s="34"/>
      <c r="DQ29" s="35" t="str">
        <f t="shared" si="46"/>
        <v/>
      </c>
      <c r="DR29" s="36" t="str">
        <f t="shared" si="47"/>
        <v/>
      </c>
      <c r="DS29" s="37"/>
      <c r="DT29" s="33"/>
      <c r="DU29" s="34"/>
      <c r="DV29" s="35" t="str">
        <f t="shared" si="48"/>
        <v/>
      </c>
      <c r="DW29" s="36" t="str">
        <f t="shared" si="49"/>
        <v/>
      </c>
      <c r="DX29" s="37"/>
      <c r="DY29" s="33"/>
      <c r="DZ29" s="34"/>
      <c r="EA29" s="35" t="str">
        <f t="shared" si="50"/>
        <v/>
      </c>
      <c r="EB29" s="36" t="str">
        <f t="shared" si="51"/>
        <v/>
      </c>
      <c r="EC29" s="37"/>
      <c r="ED29" s="33"/>
      <c r="EE29" s="34"/>
      <c r="EF29" s="35" t="str">
        <f t="shared" si="52"/>
        <v/>
      </c>
      <c r="EG29" s="36" t="str">
        <f t="shared" si="53"/>
        <v/>
      </c>
      <c r="EH29" s="37"/>
      <c r="EI29" s="33"/>
      <c r="EJ29" s="34"/>
      <c r="EK29" s="35" t="str">
        <f t="shared" si="54"/>
        <v/>
      </c>
      <c r="EL29" s="36" t="str">
        <f t="shared" si="55"/>
        <v/>
      </c>
      <c r="EM29" s="37"/>
      <c r="EN29" s="33"/>
      <c r="EO29" s="34"/>
      <c r="EP29" s="35" t="str">
        <f t="shared" si="56"/>
        <v/>
      </c>
      <c r="EQ29" s="36" t="str">
        <f t="shared" si="57"/>
        <v/>
      </c>
      <c r="ER29" s="37"/>
      <c r="ES29" s="33"/>
      <c r="ET29" s="34"/>
      <c r="EU29" s="35" t="str">
        <f t="shared" si="58"/>
        <v/>
      </c>
      <c r="EV29" s="36" t="str">
        <f t="shared" si="59"/>
        <v/>
      </c>
      <c r="EW29" s="37"/>
    </row>
    <row r="30" spans="1:153" ht="19.5" customHeight="1">
      <c r="A30" s="32">
        <f>IF(DAY(DATE(対象年度,1,27))&lt;&gt;27,"",27)</f>
        <v>27</v>
      </c>
      <c r="B30" s="32" t="str">
        <f>IF(DAY(DATE(対象年度,1,27))&lt;&gt;27,"",CHOOSE(WEEKDAY(DATE(対象年度,1,27),2),"月","火","水","木","金","土","日"))</f>
        <v>火</v>
      </c>
      <c r="C30" s="32" t="str">
        <f>IF(DAY(DATE(対象年度,1,27))&lt;&gt;27,"",IF(ISNUMBER(MATCH(DATE(対象年度,1,27),祝日リスト,0)),"祝",""))</f>
        <v/>
      </c>
      <c r="D30" s="38" t="s">
        <v>104</v>
      </c>
      <c r="E30" s="34"/>
      <c r="F30" s="35" t="str">
        <f t="shared" si="0"/>
        <v>○</v>
      </c>
      <c r="G30" s="36" t="str">
        <f t="shared" si="1"/>
        <v/>
      </c>
      <c r="H30" s="37"/>
      <c r="I30" s="38" t="s">
        <v>116</v>
      </c>
      <c r="J30" s="34"/>
      <c r="K30" s="35" t="str">
        <f t="shared" si="2"/>
        <v>○</v>
      </c>
      <c r="L30" s="36" t="str">
        <f t="shared" si="3"/>
        <v/>
      </c>
      <c r="M30" s="37"/>
      <c r="N30" s="38" t="s">
        <v>116</v>
      </c>
      <c r="O30" s="34"/>
      <c r="P30" s="35" t="str">
        <f t="shared" si="4"/>
        <v>○</v>
      </c>
      <c r="Q30" s="36" t="str">
        <f t="shared" si="5"/>
        <v/>
      </c>
      <c r="R30" s="37"/>
      <c r="S30" s="38" t="s">
        <v>116</v>
      </c>
      <c r="T30" s="34"/>
      <c r="U30" s="35" t="str">
        <f t="shared" si="6"/>
        <v>○</v>
      </c>
      <c r="V30" s="36" t="str">
        <f t="shared" si="7"/>
        <v/>
      </c>
      <c r="W30" s="37"/>
      <c r="X30" s="38" t="s">
        <v>116</v>
      </c>
      <c r="Y30" s="34"/>
      <c r="Z30" s="35" t="str">
        <f t="shared" si="8"/>
        <v>○</v>
      </c>
      <c r="AA30" s="36" t="str">
        <f t="shared" si="9"/>
        <v/>
      </c>
      <c r="AB30" s="37"/>
      <c r="AC30" s="38" t="s">
        <v>116</v>
      </c>
      <c r="AD30" s="34"/>
      <c r="AE30" s="35" t="str">
        <f t="shared" si="10"/>
        <v>○</v>
      </c>
      <c r="AF30" s="36" t="str">
        <f t="shared" si="11"/>
        <v/>
      </c>
      <c r="AG30" s="37"/>
      <c r="AH30" s="33"/>
      <c r="AI30" s="34"/>
      <c r="AJ30" s="35" t="str">
        <f t="shared" si="12"/>
        <v/>
      </c>
      <c r="AK30" s="36" t="str">
        <f t="shared" si="13"/>
        <v/>
      </c>
      <c r="AL30" s="37"/>
      <c r="AM30" s="38" t="s">
        <v>116</v>
      </c>
      <c r="AN30" s="34"/>
      <c r="AO30" s="35" t="str">
        <f t="shared" si="14"/>
        <v>○</v>
      </c>
      <c r="AP30" s="36" t="str">
        <f t="shared" si="15"/>
        <v/>
      </c>
      <c r="AQ30" s="37"/>
      <c r="AR30" s="38" t="s">
        <v>105</v>
      </c>
      <c r="AS30" s="34"/>
      <c r="AT30" s="35" t="str">
        <f t="shared" si="16"/>
        <v>○</v>
      </c>
      <c r="AU30" s="36" t="str">
        <f t="shared" si="17"/>
        <v/>
      </c>
      <c r="AV30" s="37"/>
      <c r="AW30" s="33"/>
      <c r="AX30" s="34"/>
      <c r="AY30" s="35" t="str">
        <f t="shared" si="18"/>
        <v/>
      </c>
      <c r="AZ30" s="36" t="str">
        <f t="shared" si="19"/>
        <v/>
      </c>
      <c r="BA30" s="37"/>
      <c r="BB30" s="38" t="s">
        <v>104</v>
      </c>
      <c r="BC30" s="34"/>
      <c r="BD30" s="35" t="str">
        <f t="shared" si="20"/>
        <v>○</v>
      </c>
      <c r="BE30" s="36" t="str">
        <f t="shared" si="21"/>
        <v/>
      </c>
      <c r="BF30" s="37"/>
      <c r="BG30" s="38" t="s">
        <v>116</v>
      </c>
      <c r="BH30" s="34"/>
      <c r="BI30" s="35" t="str">
        <f t="shared" si="22"/>
        <v>○</v>
      </c>
      <c r="BJ30" s="36" t="str">
        <f t="shared" si="23"/>
        <v/>
      </c>
      <c r="BK30" s="37"/>
      <c r="BL30" s="33"/>
      <c r="BM30" s="34"/>
      <c r="BN30" s="35" t="str">
        <f t="shared" si="24"/>
        <v/>
      </c>
      <c r="BO30" s="36" t="str">
        <f t="shared" si="25"/>
        <v/>
      </c>
      <c r="BP30" s="37"/>
      <c r="BQ30" s="33"/>
      <c r="BR30" s="34"/>
      <c r="BS30" s="35" t="str">
        <f t="shared" si="26"/>
        <v/>
      </c>
      <c r="BT30" s="36" t="str">
        <f t="shared" si="27"/>
        <v/>
      </c>
      <c r="BU30" s="37"/>
      <c r="BV30" s="33"/>
      <c r="BW30" s="34"/>
      <c r="BX30" s="35" t="str">
        <f t="shared" si="28"/>
        <v/>
      </c>
      <c r="BY30" s="36" t="str">
        <f t="shared" si="29"/>
        <v/>
      </c>
      <c r="BZ30" s="37"/>
      <c r="CA30" s="33"/>
      <c r="CB30" s="34"/>
      <c r="CC30" s="35" t="str">
        <f t="shared" si="30"/>
        <v/>
      </c>
      <c r="CD30" s="36" t="str">
        <f t="shared" si="31"/>
        <v/>
      </c>
      <c r="CE30" s="37"/>
      <c r="CF30" s="33"/>
      <c r="CG30" s="34"/>
      <c r="CH30" s="35" t="str">
        <f t="shared" si="32"/>
        <v/>
      </c>
      <c r="CI30" s="36" t="str">
        <f t="shared" si="33"/>
        <v/>
      </c>
      <c r="CJ30" s="37"/>
      <c r="CK30" s="33"/>
      <c r="CL30" s="34"/>
      <c r="CM30" s="35" t="str">
        <f t="shared" si="34"/>
        <v/>
      </c>
      <c r="CN30" s="36" t="str">
        <f t="shared" si="35"/>
        <v/>
      </c>
      <c r="CO30" s="37"/>
      <c r="CP30" s="33"/>
      <c r="CQ30" s="34"/>
      <c r="CR30" s="35" t="str">
        <f t="shared" si="36"/>
        <v/>
      </c>
      <c r="CS30" s="36" t="str">
        <f t="shared" si="37"/>
        <v/>
      </c>
      <c r="CT30" s="37"/>
      <c r="CU30" s="33"/>
      <c r="CV30" s="34"/>
      <c r="CW30" s="35" t="str">
        <f t="shared" si="38"/>
        <v/>
      </c>
      <c r="CX30" s="36" t="str">
        <f t="shared" si="39"/>
        <v/>
      </c>
      <c r="CY30" s="37"/>
      <c r="CZ30" s="33"/>
      <c r="DA30" s="34"/>
      <c r="DB30" s="35" t="str">
        <f t="shared" si="40"/>
        <v/>
      </c>
      <c r="DC30" s="36" t="str">
        <f t="shared" si="41"/>
        <v/>
      </c>
      <c r="DD30" s="37"/>
      <c r="DE30" s="33"/>
      <c r="DF30" s="34"/>
      <c r="DG30" s="35" t="str">
        <f t="shared" si="42"/>
        <v/>
      </c>
      <c r="DH30" s="36" t="str">
        <f t="shared" si="43"/>
        <v/>
      </c>
      <c r="DI30" s="37"/>
      <c r="DJ30" s="33"/>
      <c r="DK30" s="34"/>
      <c r="DL30" s="35" t="str">
        <f t="shared" si="44"/>
        <v/>
      </c>
      <c r="DM30" s="36" t="str">
        <f t="shared" si="45"/>
        <v/>
      </c>
      <c r="DN30" s="37"/>
      <c r="DO30" s="33"/>
      <c r="DP30" s="34"/>
      <c r="DQ30" s="35" t="str">
        <f t="shared" si="46"/>
        <v/>
      </c>
      <c r="DR30" s="36" t="str">
        <f t="shared" si="47"/>
        <v/>
      </c>
      <c r="DS30" s="37"/>
      <c r="DT30" s="33"/>
      <c r="DU30" s="34"/>
      <c r="DV30" s="35" t="str">
        <f t="shared" si="48"/>
        <v/>
      </c>
      <c r="DW30" s="36" t="str">
        <f t="shared" si="49"/>
        <v/>
      </c>
      <c r="DX30" s="37"/>
      <c r="DY30" s="33"/>
      <c r="DZ30" s="34"/>
      <c r="EA30" s="35" t="str">
        <f t="shared" si="50"/>
        <v/>
      </c>
      <c r="EB30" s="36" t="str">
        <f t="shared" si="51"/>
        <v/>
      </c>
      <c r="EC30" s="37"/>
      <c r="ED30" s="33"/>
      <c r="EE30" s="34"/>
      <c r="EF30" s="35" t="str">
        <f t="shared" si="52"/>
        <v/>
      </c>
      <c r="EG30" s="36" t="str">
        <f t="shared" si="53"/>
        <v/>
      </c>
      <c r="EH30" s="37"/>
      <c r="EI30" s="33"/>
      <c r="EJ30" s="34"/>
      <c r="EK30" s="35" t="str">
        <f t="shared" si="54"/>
        <v/>
      </c>
      <c r="EL30" s="36" t="str">
        <f t="shared" si="55"/>
        <v/>
      </c>
      <c r="EM30" s="37"/>
      <c r="EN30" s="33"/>
      <c r="EO30" s="34"/>
      <c r="EP30" s="35" t="str">
        <f t="shared" si="56"/>
        <v/>
      </c>
      <c r="EQ30" s="36" t="str">
        <f t="shared" si="57"/>
        <v/>
      </c>
      <c r="ER30" s="37"/>
      <c r="ES30" s="33"/>
      <c r="ET30" s="34"/>
      <c r="EU30" s="35" t="str">
        <f t="shared" si="58"/>
        <v/>
      </c>
      <c r="EV30" s="36" t="str">
        <f t="shared" si="59"/>
        <v/>
      </c>
      <c r="EW30" s="37"/>
    </row>
    <row r="31" spans="1:153" ht="19.5" customHeight="1">
      <c r="A31" s="32">
        <f>IF(DAY(DATE(対象年度,1,28))&lt;&gt;28,"",28)</f>
        <v>28</v>
      </c>
      <c r="B31" s="32" t="str">
        <f>IF(DAY(DATE(対象年度,1,28))&lt;&gt;28,"",CHOOSE(WEEKDAY(DATE(対象年度,1,28),2),"月","火","水","木","金","土","日"))</f>
        <v>水</v>
      </c>
      <c r="C31" s="32" t="str">
        <f>IF(DAY(DATE(対象年度,1,28))&lt;&gt;28,"",IF(ISNUMBER(MATCH(DATE(対象年度,1,28),祝日リスト,0)),"祝",""))</f>
        <v/>
      </c>
      <c r="D31" s="38" t="s">
        <v>104</v>
      </c>
      <c r="E31" s="34"/>
      <c r="F31" s="35" t="str">
        <f t="shared" si="0"/>
        <v>○</v>
      </c>
      <c r="G31" s="36" t="str">
        <f t="shared" si="1"/>
        <v/>
      </c>
      <c r="H31" s="37"/>
      <c r="I31" s="38" t="s">
        <v>116</v>
      </c>
      <c r="J31" s="34"/>
      <c r="K31" s="35" t="str">
        <f t="shared" si="2"/>
        <v>○</v>
      </c>
      <c r="L31" s="36" t="str">
        <f t="shared" si="3"/>
        <v/>
      </c>
      <c r="M31" s="37"/>
      <c r="N31" s="38" t="s">
        <v>116</v>
      </c>
      <c r="O31" s="34"/>
      <c r="P31" s="35" t="str">
        <f t="shared" si="4"/>
        <v>○</v>
      </c>
      <c r="Q31" s="36" t="str">
        <f t="shared" si="5"/>
        <v/>
      </c>
      <c r="R31" s="37"/>
      <c r="S31" s="38" t="s">
        <v>116</v>
      </c>
      <c r="T31" s="34"/>
      <c r="U31" s="35" t="str">
        <f t="shared" si="6"/>
        <v>○</v>
      </c>
      <c r="V31" s="36" t="str">
        <f t="shared" si="7"/>
        <v/>
      </c>
      <c r="W31" s="37"/>
      <c r="X31" s="38" t="s">
        <v>116</v>
      </c>
      <c r="Y31" s="34"/>
      <c r="Z31" s="35" t="str">
        <f t="shared" si="8"/>
        <v>○</v>
      </c>
      <c r="AA31" s="36" t="str">
        <f t="shared" si="9"/>
        <v/>
      </c>
      <c r="AB31" s="37"/>
      <c r="AC31" s="38" t="s">
        <v>116</v>
      </c>
      <c r="AD31" s="34"/>
      <c r="AE31" s="35" t="str">
        <f t="shared" si="10"/>
        <v>○</v>
      </c>
      <c r="AF31" s="36" t="str">
        <f t="shared" si="11"/>
        <v/>
      </c>
      <c r="AG31" s="37"/>
      <c r="AH31" s="38" t="s">
        <v>117</v>
      </c>
      <c r="AI31" s="34"/>
      <c r="AJ31" s="35" t="str">
        <f t="shared" si="12"/>
        <v>○</v>
      </c>
      <c r="AK31" s="36" t="str">
        <f t="shared" si="13"/>
        <v/>
      </c>
      <c r="AL31" s="37"/>
      <c r="AM31" s="38" t="s">
        <v>116</v>
      </c>
      <c r="AN31" s="34"/>
      <c r="AO31" s="35" t="str">
        <f t="shared" si="14"/>
        <v>○</v>
      </c>
      <c r="AP31" s="36" t="str">
        <f t="shared" si="15"/>
        <v/>
      </c>
      <c r="AQ31" s="37"/>
      <c r="AR31" s="38" t="s">
        <v>116</v>
      </c>
      <c r="AS31" s="34"/>
      <c r="AT31" s="35" t="str">
        <f t="shared" si="16"/>
        <v>○</v>
      </c>
      <c r="AU31" s="36" t="str">
        <f t="shared" si="17"/>
        <v/>
      </c>
      <c r="AV31" s="37"/>
      <c r="AW31" s="33"/>
      <c r="AX31" s="34"/>
      <c r="AY31" s="35" t="str">
        <f t="shared" si="18"/>
        <v/>
      </c>
      <c r="AZ31" s="36" t="str">
        <f t="shared" si="19"/>
        <v/>
      </c>
      <c r="BA31" s="37"/>
      <c r="BB31" s="38" t="s">
        <v>104</v>
      </c>
      <c r="BC31" s="34"/>
      <c r="BD31" s="35" t="str">
        <f t="shared" si="20"/>
        <v>○</v>
      </c>
      <c r="BE31" s="36" t="str">
        <f t="shared" si="21"/>
        <v/>
      </c>
      <c r="BF31" s="37"/>
      <c r="BG31" s="38" t="s">
        <v>116</v>
      </c>
      <c r="BH31" s="34"/>
      <c r="BI31" s="35" t="str">
        <f t="shared" si="22"/>
        <v>○</v>
      </c>
      <c r="BJ31" s="36" t="str">
        <f t="shared" si="23"/>
        <v/>
      </c>
      <c r="BK31" s="37"/>
      <c r="BL31" s="33"/>
      <c r="BM31" s="34"/>
      <c r="BN31" s="35" t="str">
        <f t="shared" si="24"/>
        <v/>
      </c>
      <c r="BO31" s="36" t="str">
        <f t="shared" si="25"/>
        <v/>
      </c>
      <c r="BP31" s="37"/>
      <c r="BQ31" s="33"/>
      <c r="BR31" s="34"/>
      <c r="BS31" s="35" t="str">
        <f t="shared" si="26"/>
        <v/>
      </c>
      <c r="BT31" s="36" t="str">
        <f t="shared" si="27"/>
        <v/>
      </c>
      <c r="BU31" s="37"/>
      <c r="BV31" s="33"/>
      <c r="BW31" s="34"/>
      <c r="BX31" s="35" t="str">
        <f t="shared" si="28"/>
        <v/>
      </c>
      <c r="BY31" s="36" t="str">
        <f t="shared" si="29"/>
        <v/>
      </c>
      <c r="BZ31" s="37"/>
      <c r="CA31" s="33"/>
      <c r="CB31" s="34"/>
      <c r="CC31" s="35" t="str">
        <f t="shared" si="30"/>
        <v/>
      </c>
      <c r="CD31" s="36" t="str">
        <f t="shared" si="31"/>
        <v/>
      </c>
      <c r="CE31" s="37"/>
      <c r="CF31" s="33"/>
      <c r="CG31" s="34"/>
      <c r="CH31" s="35" t="str">
        <f t="shared" si="32"/>
        <v/>
      </c>
      <c r="CI31" s="36" t="str">
        <f t="shared" si="33"/>
        <v/>
      </c>
      <c r="CJ31" s="37"/>
      <c r="CK31" s="33"/>
      <c r="CL31" s="34"/>
      <c r="CM31" s="35" t="str">
        <f t="shared" si="34"/>
        <v/>
      </c>
      <c r="CN31" s="36" t="str">
        <f t="shared" si="35"/>
        <v/>
      </c>
      <c r="CO31" s="37"/>
      <c r="CP31" s="33"/>
      <c r="CQ31" s="34"/>
      <c r="CR31" s="35" t="str">
        <f t="shared" si="36"/>
        <v/>
      </c>
      <c r="CS31" s="36" t="str">
        <f t="shared" si="37"/>
        <v/>
      </c>
      <c r="CT31" s="37"/>
      <c r="CU31" s="33"/>
      <c r="CV31" s="34"/>
      <c r="CW31" s="35" t="str">
        <f t="shared" si="38"/>
        <v/>
      </c>
      <c r="CX31" s="36" t="str">
        <f t="shared" si="39"/>
        <v/>
      </c>
      <c r="CY31" s="37"/>
      <c r="CZ31" s="33"/>
      <c r="DA31" s="34"/>
      <c r="DB31" s="35" t="str">
        <f t="shared" si="40"/>
        <v/>
      </c>
      <c r="DC31" s="36" t="str">
        <f t="shared" si="41"/>
        <v/>
      </c>
      <c r="DD31" s="37"/>
      <c r="DE31" s="33"/>
      <c r="DF31" s="34"/>
      <c r="DG31" s="35" t="str">
        <f t="shared" si="42"/>
        <v/>
      </c>
      <c r="DH31" s="36" t="str">
        <f t="shared" si="43"/>
        <v/>
      </c>
      <c r="DI31" s="37"/>
      <c r="DJ31" s="33"/>
      <c r="DK31" s="34"/>
      <c r="DL31" s="35" t="str">
        <f t="shared" si="44"/>
        <v/>
      </c>
      <c r="DM31" s="36" t="str">
        <f t="shared" si="45"/>
        <v/>
      </c>
      <c r="DN31" s="37"/>
      <c r="DO31" s="33"/>
      <c r="DP31" s="34"/>
      <c r="DQ31" s="35" t="str">
        <f t="shared" si="46"/>
        <v/>
      </c>
      <c r="DR31" s="36" t="str">
        <f t="shared" si="47"/>
        <v/>
      </c>
      <c r="DS31" s="37"/>
      <c r="DT31" s="33"/>
      <c r="DU31" s="34"/>
      <c r="DV31" s="35" t="str">
        <f t="shared" si="48"/>
        <v/>
      </c>
      <c r="DW31" s="36" t="str">
        <f t="shared" si="49"/>
        <v/>
      </c>
      <c r="DX31" s="37"/>
      <c r="DY31" s="33"/>
      <c r="DZ31" s="34"/>
      <c r="EA31" s="35" t="str">
        <f t="shared" si="50"/>
        <v/>
      </c>
      <c r="EB31" s="36" t="str">
        <f t="shared" si="51"/>
        <v/>
      </c>
      <c r="EC31" s="37"/>
      <c r="ED31" s="33"/>
      <c r="EE31" s="34"/>
      <c r="EF31" s="35" t="str">
        <f t="shared" si="52"/>
        <v/>
      </c>
      <c r="EG31" s="36" t="str">
        <f t="shared" si="53"/>
        <v/>
      </c>
      <c r="EH31" s="37"/>
      <c r="EI31" s="33"/>
      <c r="EJ31" s="34"/>
      <c r="EK31" s="35" t="str">
        <f t="shared" si="54"/>
        <v/>
      </c>
      <c r="EL31" s="36" t="str">
        <f t="shared" si="55"/>
        <v/>
      </c>
      <c r="EM31" s="37"/>
      <c r="EN31" s="33"/>
      <c r="EO31" s="34"/>
      <c r="EP31" s="35" t="str">
        <f t="shared" si="56"/>
        <v/>
      </c>
      <c r="EQ31" s="36" t="str">
        <f t="shared" si="57"/>
        <v/>
      </c>
      <c r="ER31" s="37"/>
      <c r="ES31" s="33"/>
      <c r="ET31" s="34"/>
      <c r="EU31" s="35" t="str">
        <f t="shared" si="58"/>
        <v/>
      </c>
      <c r="EV31" s="36" t="str">
        <f t="shared" si="59"/>
        <v/>
      </c>
      <c r="EW31" s="37"/>
    </row>
    <row r="32" spans="1:153" ht="19.5" customHeight="1">
      <c r="A32" s="32">
        <f>IF(DAY(DATE(対象年度,1,29))&lt;&gt;29,"",29)</f>
        <v>29</v>
      </c>
      <c r="B32" s="32" t="str">
        <f>IF(DAY(DATE(対象年度,1,29))&lt;&gt;29,"",CHOOSE(WEEKDAY(DATE(対象年度,1,29),2),"月","火","水","木","金","土","日"))</f>
        <v>木</v>
      </c>
      <c r="C32" s="32" t="str">
        <f>IF(DAY(DATE(対象年度,1,29))&lt;&gt;29,"",IF(ISNUMBER(MATCH(DATE(対象年度,1,29),祝日リスト,0)),"祝",""))</f>
        <v/>
      </c>
      <c r="D32" s="38" t="s">
        <v>104</v>
      </c>
      <c r="E32" s="34"/>
      <c r="F32" s="35" t="str">
        <f t="shared" si="0"/>
        <v>○</v>
      </c>
      <c r="G32" s="36" t="str">
        <f t="shared" si="1"/>
        <v/>
      </c>
      <c r="H32" s="37"/>
      <c r="I32" s="38" t="s">
        <v>116</v>
      </c>
      <c r="J32" s="34"/>
      <c r="K32" s="35" t="str">
        <f t="shared" si="2"/>
        <v>○</v>
      </c>
      <c r="L32" s="36" t="str">
        <f t="shared" si="3"/>
        <v/>
      </c>
      <c r="M32" s="37"/>
      <c r="N32" s="38" t="s">
        <v>116</v>
      </c>
      <c r="O32" s="34"/>
      <c r="P32" s="35" t="str">
        <f t="shared" si="4"/>
        <v>○</v>
      </c>
      <c r="Q32" s="36" t="str">
        <f t="shared" si="5"/>
        <v/>
      </c>
      <c r="R32" s="37"/>
      <c r="S32" s="38" t="s">
        <v>116</v>
      </c>
      <c r="T32" s="34"/>
      <c r="U32" s="35" t="str">
        <f t="shared" si="6"/>
        <v>○</v>
      </c>
      <c r="V32" s="36" t="str">
        <f t="shared" si="7"/>
        <v/>
      </c>
      <c r="W32" s="37"/>
      <c r="X32" s="38" t="s">
        <v>116</v>
      </c>
      <c r="Y32" s="34"/>
      <c r="Z32" s="35" t="str">
        <f t="shared" si="8"/>
        <v>○</v>
      </c>
      <c r="AA32" s="36" t="str">
        <f t="shared" si="9"/>
        <v/>
      </c>
      <c r="AB32" s="37"/>
      <c r="AC32" s="38" t="s">
        <v>116</v>
      </c>
      <c r="AD32" s="34"/>
      <c r="AE32" s="35" t="str">
        <f t="shared" si="10"/>
        <v>○</v>
      </c>
      <c r="AF32" s="36" t="str">
        <f t="shared" si="11"/>
        <v/>
      </c>
      <c r="AG32" s="37"/>
      <c r="AH32" s="38" t="s">
        <v>117</v>
      </c>
      <c r="AI32" s="34"/>
      <c r="AJ32" s="35" t="str">
        <f t="shared" si="12"/>
        <v>○</v>
      </c>
      <c r="AK32" s="36" t="str">
        <f t="shared" si="13"/>
        <v/>
      </c>
      <c r="AL32" s="37"/>
      <c r="AM32" s="38" t="s">
        <v>118</v>
      </c>
      <c r="AN32" s="34"/>
      <c r="AO32" s="35" t="str">
        <f t="shared" si="14"/>
        <v>○</v>
      </c>
      <c r="AP32" s="36" t="str">
        <f t="shared" si="15"/>
        <v/>
      </c>
      <c r="AQ32" s="37"/>
      <c r="AR32" s="38" t="s">
        <v>116</v>
      </c>
      <c r="AS32" s="34"/>
      <c r="AT32" s="35" t="str">
        <f t="shared" si="16"/>
        <v>○</v>
      </c>
      <c r="AU32" s="36" t="str">
        <f t="shared" si="17"/>
        <v/>
      </c>
      <c r="AV32" s="37"/>
      <c r="AW32" s="33"/>
      <c r="AX32" s="34"/>
      <c r="AY32" s="35" t="str">
        <f t="shared" si="18"/>
        <v/>
      </c>
      <c r="AZ32" s="36" t="str">
        <f t="shared" si="19"/>
        <v/>
      </c>
      <c r="BA32" s="37"/>
      <c r="BB32" s="38" t="s">
        <v>104</v>
      </c>
      <c r="BC32" s="34"/>
      <c r="BD32" s="35" t="str">
        <f t="shared" si="20"/>
        <v>○</v>
      </c>
      <c r="BE32" s="36" t="str">
        <f t="shared" si="21"/>
        <v/>
      </c>
      <c r="BF32" s="37"/>
      <c r="BG32" s="38" t="s">
        <v>116</v>
      </c>
      <c r="BH32" s="34"/>
      <c r="BI32" s="35" t="str">
        <f t="shared" si="22"/>
        <v>○</v>
      </c>
      <c r="BJ32" s="36" t="str">
        <f t="shared" si="23"/>
        <v/>
      </c>
      <c r="BK32" s="37"/>
      <c r="BL32" s="33"/>
      <c r="BM32" s="34"/>
      <c r="BN32" s="35" t="str">
        <f t="shared" si="24"/>
        <v/>
      </c>
      <c r="BO32" s="36" t="str">
        <f t="shared" si="25"/>
        <v/>
      </c>
      <c r="BP32" s="37"/>
      <c r="BQ32" s="33"/>
      <c r="BR32" s="34"/>
      <c r="BS32" s="35" t="str">
        <f t="shared" si="26"/>
        <v/>
      </c>
      <c r="BT32" s="36" t="str">
        <f t="shared" si="27"/>
        <v/>
      </c>
      <c r="BU32" s="37"/>
      <c r="BV32" s="33"/>
      <c r="BW32" s="34"/>
      <c r="BX32" s="35" t="str">
        <f t="shared" si="28"/>
        <v/>
      </c>
      <c r="BY32" s="36" t="str">
        <f t="shared" si="29"/>
        <v/>
      </c>
      <c r="BZ32" s="37"/>
      <c r="CA32" s="33"/>
      <c r="CB32" s="34"/>
      <c r="CC32" s="35" t="str">
        <f t="shared" si="30"/>
        <v/>
      </c>
      <c r="CD32" s="36" t="str">
        <f t="shared" si="31"/>
        <v/>
      </c>
      <c r="CE32" s="37"/>
      <c r="CF32" s="33"/>
      <c r="CG32" s="34"/>
      <c r="CH32" s="35" t="str">
        <f t="shared" si="32"/>
        <v/>
      </c>
      <c r="CI32" s="36" t="str">
        <f t="shared" si="33"/>
        <v/>
      </c>
      <c r="CJ32" s="37"/>
      <c r="CK32" s="33"/>
      <c r="CL32" s="34"/>
      <c r="CM32" s="35" t="str">
        <f t="shared" si="34"/>
        <v/>
      </c>
      <c r="CN32" s="36" t="str">
        <f t="shared" si="35"/>
        <v/>
      </c>
      <c r="CO32" s="37"/>
      <c r="CP32" s="33"/>
      <c r="CQ32" s="34"/>
      <c r="CR32" s="35" t="str">
        <f t="shared" si="36"/>
        <v/>
      </c>
      <c r="CS32" s="36" t="str">
        <f t="shared" si="37"/>
        <v/>
      </c>
      <c r="CT32" s="37"/>
      <c r="CU32" s="33"/>
      <c r="CV32" s="34"/>
      <c r="CW32" s="35" t="str">
        <f t="shared" si="38"/>
        <v/>
      </c>
      <c r="CX32" s="36" t="str">
        <f t="shared" si="39"/>
        <v/>
      </c>
      <c r="CY32" s="37"/>
      <c r="CZ32" s="33"/>
      <c r="DA32" s="34"/>
      <c r="DB32" s="35" t="str">
        <f t="shared" si="40"/>
        <v/>
      </c>
      <c r="DC32" s="36" t="str">
        <f t="shared" si="41"/>
        <v/>
      </c>
      <c r="DD32" s="37"/>
      <c r="DE32" s="33"/>
      <c r="DF32" s="34"/>
      <c r="DG32" s="35" t="str">
        <f t="shared" si="42"/>
        <v/>
      </c>
      <c r="DH32" s="36" t="str">
        <f t="shared" si="43"/>
        <v/>
      </c>
      <c r="DI32" s="37"/>
      <c r="DJ32" s="33"/>
      <c r="DK32" s="34"/>
      <c r="DL32" s="35" t="str">
        <f t="shared" si="44"/>
        <v/>
      </c>
      <c r="DM32" s="36" t="str">
        <f t="shared" si="45"/>
        <v/>
      </c>
      <c r="DN32" s="37"/>
      <c r="DO32" s="33"/>
      <c r="DP32" s="34"/>
      <c r="DQ32" s="35" t="str">
        <f t="shared" si="46"/>
        <v/>
      </c>
      <c r="DR32" s="36" t="str">
        <f t="shared" si="47"/>
        <v/>
      </c>
      <c r="DS32" s="37"/>
      <c r="DT32" s="33"/>
      <c r="DU32" s="34"/>
      <c r="DV32" s="35" t="str">
        <f t="shared" si="48"/>
        <v/>
      </c>
      <c r="DW32" s="36" t="str">
        <f t="shared" si="49"/>
        <v/>
      </c>
      <c r="DX32" s="37"/>
      <c r="DY32" s="33"/>
      <c r="DZ32" s="34"/>
      <c r="EA32" s="35" t="str">
        <f t="shared" si="50"/>
        <v/>
      </c>
      <c r="EB32" s="36" t="str">
        <f t="shared" si="51"/>
        <v/>
      </c>
      <c r="EC32" s="37"/>
      <c r="ED32" s="33"/>
      <c r="EE32" s="34"/>
      <c r="EF32" s="35" t="str">
        <f t="shared" si="52"/>
        <v/>
      </c>
      <c r="EG32" s="36" t="str">
        <f t="shared" si="53"/>
        <v/>
      </c>
      <c r="EH32" s="37"/>
      <c r="EI32" s="33"/>
      <c r="EJ32" s="34"/>
      <c r="EK32" s="35" t="str">
        <f t="shared" si="54"/>
        <v/>
      </c>
      <c r="EL32" s="36" t="str">
        <f t="shared" si="55"/>
        <v/>
      </c>
      <c r="EM32" s="37"/>
      <c r="EN32" s="33"/>
      <c r="EO32" s="34"/>
      <c r="EP32" s="35" t="str">
        <f t="shared" si="56"/>
        <v/>
      </c>
      <c r="EQ32" s="36" t="str">
        <f t="shared" si="57"/>
        <v/>
      </c>
      <c r="ER32" s="37"/>
      <c r="ES32" s="33"/>
      <c r="ET32" s="34"/>
      <c r="EU32" s="35" t="str">
        <f t="shared" si="58"/>
        <v/>
      </c>
      <c r="EV32" s="36" t="str">
        <f t="shared" si="59"/>
        <v/>
      </c>
      <c r="EW32" s="37"/>
    </row>
    <row r="33" spans="1:153" ht="19.5" customHeight="1">
      <c r="A33" s="32">
        <f>IF(DAY(DATE(対象年度,1,30))&lt;&gt;30,"",30)</f>
        <v>30</v>
      </c>
      <c r="B33" s="32" t="str">
        <f>IF(DAY(DATE(対象年度,1,30))&lt;&gt;30,"",CHOOSE(WEEKDAY(DATE(対象年度,1,30),2),"月","火","水","木","金","土","日"))</f>
        <v>金</v>
      </c>
      <c r="C33" s="32" t="str">
        <f>IF(DAY(DATE(対象年度,1,30))&lt;&gt;30,"",IF(ISNUMBER(MATCH(DATE(対象年度,1,30),祝日リスト,0)),"祝",""))</f>
        <v/>
      </c>
      <c r="D33" s="38" t="s">
        <v>104</v>
      </c>
      <c r="E33" s="34"/>
      <c r="F33" s="35" t="str">
        <f t="shared" si="0"/>
        <v>○</v>
      </c>
      <c r="G33" s="36" t="str">
        <f t="shared" si="1"/>
        <v/>
      </c>
      <c r="H33" s="37"/>
      <c r="I33" s="38" t="s">
        <v>116</v>
      </c>
      <c r="J33" s="34"/>
      <c r="K33" s="35" t="str">
        <f t="shared" si="2"/>
        <v>○</v>
      </c>
      <c r="L33" s="36" t="str">
        <f t="shared" si="3"/>
        <v/>
      </c>
      <c r="M33" s="37"/>
      <c r="N33" s="38" t="s">
        <v>116</v>
      </c>
      <c r="O33" s="34"/>
      <c r="P33" s="35" t="str">
        <f t="shared" si="4"/>
        <v>○</v>
      </c>
      <c r="Q33" s="36" t="str">
        <f t="shared" si="5"/>
        <v/>
      </c>
      <c r="R33" s="37"/>
      <c r="S33" s="38" t="s">
        <v>116</v>
      </c>
      <c r="T33" s="34"/>
      <c r="U33" s="35" t="str">
        <f t="shared" si="6"/>
        <v>○</v>
      </c>
      <c r="V33" s="36" t="str">
        <f t="shared" si="7"/>
        <v/>
      </c>
      <c r="W33" s="37"/>
      <c r="X33" s="38" t="s">
        <v>116</v>
      </c>
      <c r="Y33" s="34"/>
      <c r="Z33" s="35" t="str">
        <f t="shared" si="8"/>
        <v>○</v>
      </c>
      <c r="AA33" s="36" t="str">
        <f t="shared" si="9"/>
        <v/>
      </c>
      <c r="AB33" s="37"/>
      <c r="AC33" s="38" t="s">
        <v>116</v>
      </c>
      <c r="AD33" s="34"/>
      <c r="AE33" s="35" t="str">
        <f t="shared" si="10"/>
        <v>○</v>
      </c>
      <c r="AF33" s="36" t="str">
        <f t="shared" si="11"/>
        <v/>
      </c>
      <c r="AG33" s="37"/>
      <c r="AH33" s="38" t="s">
        <v>117</v>
      </c>
      <c r="AI33" s="34"/>
      <c r="AJ33" s="35" t="str">
        <f t="shared" si="12"/>
        <v>○</v>
      </c>
      <c r="AK33" s="36" t="str">
        <f t="shared" si="13"/>
        <v/>
      </c>
      <c r="AL33" s="37"/>
      <c r="AM33" s="38" t="s">
        <v>116</v>
      </c>
      <c r="AN33" s="34"/>
      <c r="AO33" s="35" t="str">
        <f t="shared" si="14"/>
        <v>○</v>
      </c>
      <c r="AP33" s="36" t="str">
        <f t="shared" si="15"/>
        <v/>
      </c>
      <c r="AQ33" s="37"/>
      <c r="AR33" s="38" t="s">
        <v>116</v>
      </c>
      <c r="AS33" s="34"/>
      <c r="AT33" s="35" t="str">
        <f t="shared" si="16"/>
        <v>○</v>
      </c>
      <c r="AU33" s="36" t="str">
        <f t="shared" si="17"/>
        <v/>
      </c>
      <c r="AV33" s="37"/>
      <c r="AW33" s="33"/>
      <c r="AX33" s="34"/>
      <c r="AY33" s="35" t="str">
        <f t="shared" si="18"/>
        <v/>
      </c>
      <c r="AZ33" s="36" t="str">
        <f t="shared" si="19"/>
        <v/>
      </c>
      <c r="BA33" s="37"/>
      <c r="BB33" s="38" t="s">
        <v>104</v>
      </c>
      <c r="BC33" s="34"/>
      <c r="BD33" s="35" t="str">
        <f t="shared" si="20"/>
        <v>○</v>
      </c>
      <c r="BE33" s="36" t="str">
        <f t="shared" si="21"/>
        <v/>
      </c>
      <c r="BF33" s="37"/>
      <c r="BG33" s="38" t="s">
        <v>116</v>
      </c>
      <c r="BH33" s="34"/>
      <c r="BI33" s="35" t="str">
        <f t="shared" si="22"/>
        <v>○</v>
      </c>
      <c r="BJ33" s="36" t="str">
        <f t="shared" si="23"/>
        <v/>
      </c>
      <c r="BK33" s="37"/>
      <c r="BL33" s="33"/>
      <c r="BM33" s="34"/>
      <c r="BN33" s="35" t="str">
        <f t="shared" si="24"/>
        <v/>
      </c>
      <c r="BO33" s="36" t="str">
        <f t="shared" si="25"/>
        <v/>
      </c>
      <c r="BP33" s="37"/>
      <c r="BQ33" s="33"/>
      <c r="BR33" s="34"/>
      <c r="BS33" s="35" t="str">
        <f t="shared" si="26"/>
        <v/>
      </c>
      <c r="BT33" s="36" t="str">
        <f t="shared" si="27"/>
        <v/>
      </c>
      <c r="BU33" s="37"/>
      <c r="BV33" s="33"/>
      <c r="BW33" s="34"/>
      <c r="BX33" s="35" t="str">
        <f t="shared" si="28"/>
        <v/>
      </c>
      <c r="BY33" s="36" t="str">
        <f t="shared" si="29"/>
        <v/>
      </c>
      <c r="BZ33" s="37"/>
      <c r="CA33" s="33"/>
      <c r="CB33" s="34"/>
      <c r="CC33" s="35" t="str">
        <f t="shared" si="30"/>
        <v/>
      </c>
      <c r="CD33" s="36" t="str">
        <f t="shared" si="31"/>
        <v/>
      </c>
      <c r="CE33" s="37"/>
      <c r="CF33" s="33"/>
      <c r="CG33" s="34"/>
      <c r="CH33" s="35" t="str">
        <f t="shared" si="32"/>
        <v/>
      </c>
      <c r="CI33" s="36" t="str">
        <f t="shared" si="33"/>
        <v/>
      </c>
      <c r="CJ33" s="37"/>
      <c r="CK33" s="33"/>
      <c r="CL33" s="34"/>
      <c r="CM33" s="35" t="str">
        <f t="shared" si="34"/>
        <v/>
      </c>
      <c r="CN33" s="36" t="str">
        <f t="shared" si="35"/>
        <v/>
      </c>
      <c r="CO33" s="37"/>
      <c r="CP33" s="33"/>
      <c r="CQ33" s="34"/>
      <c r="CR33" s="35" t="str">
        <f t="shared" si="36"/>
        <v/>
      </c>
      <c r="CS33" s="36" t="str">
        <f t="shared" si="37"/>
        <v/>
      </c>
      <c r="CT33" s="37"/>
      <c r="CU33" s="33"/>
      <c r="CV33" s="34"/>
      <c r="CW33" s="35" t="str">
        <f t="shared" si="38"/>
        <v/>
      </c>
      <c r="CX33" s="36" t="str">
        <f t="shared" si="39"/>
        <v/>
      </c>
      <c r="CY33" s="37"/>
      <c r="CZ33" s="33"/>
      <c r="DA33" s="34"/>
      <c r="DB33" s="35" t="str">
        <f t="shared" si="40"/>
        <v/>
      </c>
      <c r="DC33" s="36" t="str">
        <f t="shared" si="41"/>
        <v/>
      </c>
      <c r="DD33" s="37"/>
      <c r="DE33" s="33"/>
      <c r="DF33" s="34"/>
      <c r="DG33" s="35" t="str">
        <f t="shared" si="42"/>
        <v/>
      </c>
      <c r="DH33" s="36" t="str">
        <f t="shared" si="43"/>
        <v/>
      </c>
      <c r="DI33" s="37"/>
      <c r="DJ33" s="33"/>
      <c r="DK33" s="34"/>
      <c r="DL33" s="35" t="str">
        <f t="shared" si="44"/>
        <v/>
      </c>
      <c r="DM33" s="36" t="str">
        <f t="shared" si="45"/>
        <v/>
      </c>
      <c r="DN33" s="37"/>
      <c r="DO33" s="33"/>
      <c r="DP33" s="34"/>
      <c r="DQ33" s="35" t="str">
        <f t="shared" si="46"/>
        <v/>
      </c>
      <c r="DR33" s="36" t="str">
        <f t="shared" si="47"/>
        <v/>
      </c>
      <c r="DS33" s="37"/>
      <c r="DT33" s="33"/>
      <c r="DU33" s="34"/>
      <c r="DV33" s="35" t="str">
        <f t="shared" si="48"/>
        <v/>
      </c>
      <c r="DW33" s="36" t="str">
        <f t="shared" si="49"/>
        <v/>
      </c>
      <c r="DX33" s="37"/>
      <c r="DY33" s="33"/>
      <c r="DZ33" s="34"/>
      <c r="EA33" s="35" t="str">
        <f t="shared" si="50"/>
        <v/>
      </c>
      <c r="EB33" s="36" t="str">
        <f t="shared" si="51"/>
        <v/>
      </c>
      <c r="EC33" s="37"/>
      <c r="ED33" s="33"/>
      <c r="EE33" s="34"/>
      <c r="EF33" s="35" t="str">
        <f t="shared" si="52"/>
        <v/>
      </c>
      <c r="EG33" s="36" t="str">
        <f t="shared" si="53"/>
        <v/>
      </c>
      <c r="EH33" s="37"/>
      <c r="EI33" s="33"/>
      <c r="EJ33" s="34"/>
      <c r="EK33" s="35" t="str">
        <f t="shared" si="54"/>
        <v/>
      </c>
      <c r="EL33" s="36" t="str">
        <f t="shared" si="55"/>
        <v/>
      </c>
      <c r="EM33" s="37"/>
      <c r="EN33" s="33"/>
      <c r="EO33" s="34"/>
      <c r="EP33" s="35" t="str">
        <f t="shared" si="56"/>
        <v/>
      </c>
      <c r="EQ33" s="36" t="str">
        <f t="shared" si="57"/>
        <v/>
      </c>
      <c r="ER33" s="37"/>
      <c r="ES33" s="33"/>
      <c r="ET33" s="34"/>
      <c r="EU33" s="35" t="str">
        <f t="shared" si="58"/>
        <v/>
      </c>
      <c r="EV33" s="36" t="str">
        <f t="shared" si="59"/>
        <v/>
      </c>
      <c r="EW33" s="37"/>
    </row>
    <row r="34" spans="1:153" ht="19.5" customHeight="1">
      <c r="A34" s="39">
        <f>IF(DAY(DATE(対象年度,1,31))&lt;&gt;31,"",31)</f>
        <v>31</v>
      </c>
      <c r="B34" s="39" t="str">
        <f>IF(DAY(DATE(対象年度,1,31))&lt;&gt;31,"",CHOOSE(WEEKDAY(DATE(対象年度,1,31),2),"月","火","水","木","金","土","日"))</f>
        <v>土</v>
      </c>
      <c r="C34" s="39" t="str">
        <f>IF(DAY(DATE(対象年度,1,31))&lt;&gt;31,"",IF(ISNUMBER(MATCH(DATE(対象年度,1,31),祝日リスト,0)),"祝",""))</f>
        <v/>
      </c>
      <c r="D34" s="40"/>
      <c r="E34" s="41"/>
      <c r="F34" s="42" t="str">
        <f t="shared" si="0"/>
        <v/>
      </c>
      <c r="G34" s="43" t="str">
        <f t="shared" si="1"/>
        <v/>
      </c>
      <c r="H34" s="44"/>
      <c r="I34" s="45" t="s">
        <v>119</v>
      </c>
      <c r="J34" s="41"/>
      <c r="K34" s="42" t="str">
        <f t="shared" si="2"/>
        <v>○</v>
      </c>
      <c r="L34" s="43" t="str">
        <f t="shared" si="3"/>
        <v/>
      </c>
      <c r="M34" s="44"/>
      <c r="N34" s="45" t="s">
        <v>116</v>
      </c>
      <c r="O34" s="41"/>
      <c r="P34" s="42" t="str">
        <f t="shared" si="4"/>
        <v>○</v>
      </c>
      <c r="Q34" s="43" t="str">
        <f t="shared" si="5"/>
        <v/>
      </c>
      <c r="R34" s="44"/>
      <c r="S34" s="45" t="s">
        <v>116</v>
      </c>
      <c r="T34" s="41"/>
      <c r="U34" s="42" t="str">
        <f t="shared" si="6"/>
        <v>○</v>
      </c>
      <c r="V34" s="43" t="str">
        <f t="shared" si="7"/>
        <v/>
      </c>
      <c r="W34" s="44"/>
      <c r="X34" s="45" t="s">
        <v>116</v>
      </c>
      <c r="Y34" s="41"/>
      <c r="Z34" s="42" t="str">
        <f t="shared" si="8"/>
        <v>○</v>
      </c>
      <c r="AA34" s="43" t="str">
        <f t="shared" si="9"/>
        <v/>
      </c>
      <c r="AB34" s="44"/>
      <c r="AC34" s="45" t="s">
        <v>116</v>
      </c>
      <c r="AD34" s="41"/>
      <c r="AE34" s="42" t="str">
        <f t="shared" si="10"/>
        <v>○</v>
      </c>
      <c r="AF34" s="43" t="str">
        <f t="shared" si="11"/>
        <v/>
      </c>
      <c r="AG34" s="44"/>
      <c r="AH34" s="40"/>
      <c r="AI34" s="41"/>
      <c r="AJ34" s="42" t="str">
        <f t="shared" si="12"/>
        <v/>
      </c>
      <c r="AK34" s="43" t="str">
        <f t="shared" si="13"/>
        <v/>
      </c>
      <c r="AL34" s="44"/>
      <c r="AM34" s="45" t="s">
        <v>119</v>
      </c>
      <c r="AN34" s="41"/>
      <c r="AO34" s="42" t="str">
        <f t="shared" si="14"/>
        <v>○</v>
      </c>
      <c r="AP34" s="43" t="str">
        <f t="shared" si="15"/>
        <v/>
      </c>
      <c r="AQ34" s="44"/>
      <c r="AR34" s="45" t="s">
        <v>116</v>
      </c>
      <c r="AS34" s="41"/>
      <c r="AT34" s="42" t="str">
        <f t="shared" si="16"/>
        <v>○</v>
      </c>
      <c r="AU34" s="43" t="str">
        <f t="shared" si="17"/>
        <v/>
      </c>
      <c r="AV34" s="44"/>
      <c r="AW34" s="40"/>
      <c r="AX34" s="41"/>
      <c r="AY34" s="42" t="str">
        <f t="shared" si="18"/>
        <v/>
      </c>
      <c r="AZ34" s="43" t="str">
        <f t="shared" si="19"/>
        <v/>
      </c>
      <c r="BA34" s="44"/>
      <c r="BB34" s="40"/>
      <c r="BC34" s="41"/>
      <c r="BD34" s="42" t="str">
        <f t="shared" si="20"/>
        <v/>
      </c>
      <c r="BE34" s="43" t="str">
        <f t="shared" si="21"/>
        <v/>
      </c>
      <c r="BF34" s="44"/>
      <c r="BG34" s="45" t="s">
        <v>116</v>
      </c>
      <c r="BH34" s="41"/>
      <c r="BI34" s="42" t="str">
        <f t="shared" si="22"/>
        <v>○</v>
      </c>
      <c r="BJ34" s="43" t="str">
        <f t="shared" si="23"/>
        <v/>
      </c>
      <c r="BK34" s="44"/>
      <c r="BL34" s="40"/>
      <c r="BM34" s="41"/>
      <c r="BN34" s="42" t="str">
        <f t="shared" si="24"/>
        <v/>
      </c>
      <c r="BO34" s="43" t="str">
        <f t="shared" si="25"/>
        <v/>
      </c>
      <c r="BP34" s="44"/>
      <c r="BQ34" s="40"/>
      <c r="BR34" s="41"/>
      <c r="BS34" s="42" t="str">
        <f t="shared" si="26"/>
        <v/>
      </c>
      <c r="BT34" s="43" t="str">
        <f t="shared" si="27"/>
        <v/>
      </c>
      <c r="BU34" s="44"/>
      <c r="BV34" s="40"/>
      <c r="BW34" s="41"/>
      <c r="BX34" s="42" t="str">
        <f t="shared" si="28"/>
        <v/>
      </c>
      <c r="BY34" s="43" t="str">
        <f t="shared" si="29"/>
        <v/>
      </c>
      <c r="BZ34" s="44"/>
      <c r="CA34" s="40"/>
      <c r="CB34" s="41"/>
      <c r="CC34" s="42" t="str">
        <f t="shared" si="30"/>
        <v/>
      </c>
      <c r="CD34" s="43" t="str">
        <f t="shared" si="31"/>
        <v/>
      </c>
      <c r="CE34" s="44"/>
      <c r="CF34" s="40"/>
      <c r="CG34" s="41"/>
      <c r="CH34" s="42" t="str">
        <f t="shared" si="32"/>
        <v/>
      </c>
      <c r="CI34" s="43" t="str">
        <f t="shared" si="33"/>
        <v/>
      </c>
      <c r="CJ34" s="44"/>
      <c r="CK34" s="40"/>
      <c r="CL34" s="41"/>
      <c r="CM34" s="42" t="str">
        <f t="shared" si="34"/>
        <v/>
      </c>
      <c r="CN34" s="43" t="str">
        <f t="shared" si="35"/>
        <v/>
      </c>
      <c r="CO34" s="44"/>
      <c r="CP34" s="40"/>
      <c r="CQ34" s="41"/>
      <c r="CR34" s="42" t="str">
        <f t="shared" si="36"/>
        <v/>
      </c>
      <c r="CS34" s="43" t="str">
        <f t="shared" si="37"/>
        <v/>
      </c>
      <c r="CT34" s="44"/>
      <c r="CU34" s="40"/>
      <c r="CV34" s="41"/>
      <c r="CW34" s="42" t="str">
        <f t="shared" si="38"/>
        <v/>
      </c>
      <c r="CX34" s="43" t="str">
        <f t="shared" si="39"/>
        <v/>
      </c>
      <c r="CY34" s="44"/>
      <c r="CZ34" s="40"/>
      <c r="DA34" s="41"/>
      <c r="DB34" s="42" t="str">
        <f t="shared" si="40"/>
        <v/>
      </c>
      <c r="DC34" s="43" t="str">
        <f t="shared" si="41"/>
        <v/>
      </c>
      <c r="DD34" s="44"/>
      <c r="DE34" s="40"/>
      <c r="DF34" s="41"/>
      <c r="DG34" s="42" t="str">
        <f t="shared" si="42"/>
        <v/>
      </c>
      <c r="DH34" s="43" t="str">
        <f t="shared" si="43"/>
        <v/>
      </c>
      <c r="DI34" s="44"/>
      <c r="DJ34" s="40"/>
      <c r="DK34" s="41"/>
      <c r="DL34" s="42" t="str">
        <f t="shared" si="44"/>
        <v/>
      </c>
      <c r="DM34" s="43" t="str">
        <f t="shared" si="45"/>
        <v/>
      </c>
      <c r="DN34" s="44"/>
      <c r="DO34" s="40"/>
      <c r="DP34" s="41"/>
      <c r="DQ34" s="42" t="str">
        <f t="shared" si="46"/>
        <v/>
      </c>
      <c r="DR34" s="43" t="str">
        <f t="shared" si="47"/>
        <v/>
      </c>
      <c r="DS34" s="44"/>
      <c r="DT34" s="40"/>
      <c r="DU34" s="41"/>
      <c r="DV34" s="42" t="str">
        <f t="shared" si="48"/>
        <v/>
      </c>
      <c r="DW34" s="43" t="str">
        <f t="shared" si="49"/>
        <v/>
      </c>
      <c r="DX34" s="44"/>
      <c r="DY34" s="40"/>
      <c r="DZ34" s="41"/>
      <c r="EA34" s="42" t="str">
        <f t="shared" si="50"/>
        <v/>
      </c>
      <c r="EB34" s="43" t="str">
        <f t="shared" si="51"/>
        <v/>
      </c>
      <c r="EC34" s="44"/>
      <c r="ED34" s="40"/>
      <c r="EE34" s="41"/>
      <c r="EF34" s="42" t="str">
        <f t="shared" si="52"/>
        <v/>
      </c>
      <c r="EG34" s="43" t="str">
        <f t="shared" si="53"/>
        <v/>
      </c>
      <c r="EH34" s="44"/>
      <c r="EI34" s="40"/>
      <c r="EJ34" s="41"/>
      <c r="EK34" s="42" t="str">
        <f t="shared" si="54"/>
        <v/>
      </c>
      <c r="EL34" s="43" t="str">
        <f t="shared" si="55"/>
        <v/>
      </c>
      <c r="EM34" s="44"/>
      <c r="EN34" s="40"/>
      <c r="EO34" s="41"/>
      <c r="EP34" s="42" t="str">
        <f t="shared" si="56"/>
        <v/>
      </c>
      <c r="EQ34" s="43" t="str">
        <f t="shared" si="57"/>
        <v/>
      </c>
      <c r="ER34" s="44"/>
      <c r="ES34" s="40"/>
      <c r="ET34" s="41"/>
      <c r="EU34" s="42" t="str">
        <f t="shared" si="58"/>
        <v/>
      </c>
      <c r="EV34" s="43" t="str">
        <f t="shared" si="59"/>
        <v/>
      </c>
      <c r="EW34" s="44"/>
    </row>
    <row r="35" spans="1:153" ht="21.75" customHeight="1">
      <c r="A35" s="98" t="s">
        <v>120</v>
      </c>
      <c r="B35" s="98"/>
      <c r="C35" s="98"/>
      <c r="D35" s="99">
        <f>COUNTIF(F4:F34,"○")</f>
        <v>8</v>
      </c>
      <c r="E35" s="99"/>
      <c r="F35" s="99"/>
      <c r="G35" s="99"/>
      <c r="H35" s="99"/>
      <c r="I35" s="99">
        <f>COUNTIF(K4:K34,"○")</f>
        <v>10</v>
      </c>
      <c r="J35" s="99"/>
      <c r="K35" s="99"/>
      <c r="L35" s="99"/>
      <c r="M35" s="99"/>
      <c r="N35" s="99">
        <f>COUNTIF(P4:P34,"○")</f>
        <v>10</v>
      </c>
      <c r="O35" s="99"/>
      <c r="P35" s="99"/>
      <c r="Q35" s="99"/>
      <c r="R35" s="99"/>
      <c r="S35" s="99">
        <f>COUNTIF(U4:U34,"○")</f>
        <v>10</v>
      </c>
      <c r="T35" s="99"/>
      <c r="U35" s="99"/>
      <c r="V35" s="99"/>
      <c r="W35" s="99"/>
      <c r="X35" s="99">
        <f>COUNTIF(Z4:Z34,"○")</f>
        <v>10</v>
      </c>
      <c r="Y35" s="99"/>
      <c r="Z35" s="99"/>
      <c r="AA35" s="99"/>
      <c r="AB35" s="99"/>
      <c r="AC35" s="99">
        <f>COUNTIF(AE4:AE34,"○")</f>
        <v>10</v>
      </c>
      <c r="AD35" s="99"/>
      <c r="AE35" s="99"/>
      <c r="AF35" s="99"/>
      <c r="AG35" s="99"/>
      <c r="AH35" s="99">
        <f>COUNTIF(AJ4:AJ34,"○")</f>
        <v>5</v>
      </c>
      <c r="AI35" s="99"/>
      <c r="AJ35" s="99"/>
      <c r="AK35" s="99"/>
      <c r="AL35" s="99"/>
      <c r="AM35" s="99">
        <f>COUNTIF(AO4:AO34,"○")</f>
        <v>10</v>
      </c>
      <c r="AN35" s="99"/>
      <c r="AO35" s="99"/>
      <c r="AP35" s="99"/>
      <c r="AQ35" s="99"/>
      <c r="AR35" s="99">
        <f>COUNTIF(AT4:AT34,"○")</f>
        <v>10</v>
      </c>
      <c r="AS35" s="99"/>
      <c r="AT35" s="99"/>
      <c r="AU35" s="99"/>
      <c r="AV35" s="99"/>
      <c r="AW35" s="99">
        <f>COUNTIF(AY4:AY34,"○")</f>
        <v>0</v>
      </c>
      <c r="AX35" s="99"/>
      <c r="AY35" s="99"/>
      <c r="AZ35" s="99"/>
      <c r="BA35" s="99"/>
      <c r="BB35" s="99">
        <f>COUNTIF(BD4:BD34,"○")</f>
        <v>8</v>
      </c>
      <c r="BC35" s="99"/>
      <c r="BD35" s="99"/>
      <c r="BE35" s="99"/>
      <c r="BF35" s="99"/>
      <c r="BG35" s="99">
        <f>COUNTIF(BI4:BI34,"○")</f>
        <v>10</v>
      </c>
      <c r="BH35" s="99"/>
      <c r="BI35" s="99"/>
      <c r="BJ35" s="99"/>
      <c r="BK35" s="99"/>
      <c r="BL35" s="99">
        <f>COUNTIF(BN4:BN34,"○")</f>
        <v>0</v>
      </c>
      <c r="BM35" s="99"/>
      <c r="BN35" s="99"/>
      <c r="BO35" s="99"/>
      <c r="BP35" s="99"/>
      <c r="BQ35" s="99">
        <f>COUNTIF(BS4:BS34,"○")</f>
        <v>0</v>
      </c>
      <c r="BR35" s="99"/>
      <c r="BS35" s="99"/>
      <c r="BT35" s="99"/>
      <c r="BU35" s="99"/>
      <c r="BV35" s="99">
        <f>COUNTIF(BX4:BX34,"○")</f>
        <v>0</v>
      </c>
      <c r="BW35" s="99"/>
      <c r="BX35" s="99"/>
      <c r="BY35" s="99"/>
      <c r="BZ35" s="99"/>
      <c r="CA35" s="99">
        <f>COUNTIF(CC4:CC34,"○")</f>
        <v>0</v>
      </c>
      <c r="CB35" s="99"/>
      <c r="CC35" s="99"/>
      <c r="CD35" s="99"/>
      <c r="CE35" s="99"/>
      <c r="CF35" s="99">
        <f>COUNTIF(CH4:CH34,"○")</f>
        <v>0</v>
      </c>
      <c r="CG35" s="99"/>
      <c r="CH35" s="99"/>
      <c r="CI35" s="99"/>
      <c r="CJ35" s="99"/>
      <c r="CK35" s="99">
        <f>COUNTIF(CM4:CM34,"○")</f>
        <v>0</v>
      </c>
      <c r="CL35" s="99"/>
      <c r="CM35" s="99"/>
      <c r="CN35" s="99"/>
      <c r="CO35" s="99"/>
      <c r="CP35" s="99">
        <f>COUNTIF(CR4:CR34,"○")</f>
        <v>0</v>
      </c>
      <c r="CQ35" s="99"/>
      <c r="CR35" s="99"/>
      <c r="CS35" s="99"/>
      <c r="CT35" s="99"/>
      <c r="CU35" s="99">
        <f>COUNTIF(CW4:CW34,"○")</f>
        <v>0</v>
      </c>
      <c r="CV35" s="99"/>
      <c r="CW35" s="99"/>
      <c r="CX35" s="99"/>
      <c r="CY35" s="99"/>
      <c r="CZ35" s="99">
        <f>COUNTIF(DB4:DB34,"○")</f>
        <v>0</v>
      </c>
      <c r="DA35" s="99"/>
      <c r="DB35" s="99"/>
      <c r="DC35" s="99"/>
      <c r="DD35" s="99"/>
      <c r="DE35" s="99">
        <f>COUNTIF(DG4:DG34,"○")</f>
        <v>0</v>
      </c>
      <c r="DF35" s="99"/>
      <c r="DG35" s="99"/>
      <c r="DH35" s="99"/>
      <c r="DI35" s="99"/>
      <c r="DJ35" s="99">
        <f>COUNTIF(DL4:DL34,"○")</f>
        <v>0</v>
      </c>
      <c r="DK35" s="99"/>
      <c r="DL35" s="99"/>
      <c r="DM35" s="99"/>
      <c r="DN35" s="99"/>
      <c r="DO35" s="99">
        <f>COUNTIF(DQ4:DQ34,"○")</f>
        <v>0</v>
      </c>
      <c r="DP35" s="99"/>
      <c r="DQ35" s="99"/>
      <c r="DR35" s="99"/>
      <c r="DS35" s="99"/>
      <c r="DT35" s="99">
        <f>COUNTIF(DV4:DV34,"○")</f>
        <v>0</v>
      </c>
      <c r="DU35" s="99"/>
      <c r="DV35" s="99"/>
      <c r="DW35" s="99"/>
      <c r="DX35" s="99"/>
      <c r="DY35" s="99">
        <f>COUNTIF(EA4:EA34,"○")</f>
        <v>0</v>
      </c>
      <c r="DZ35" s="99"/>
      <c r="EA35" s="99"/>
      <c r="EB35" s="99"/>
      <c r="EC35" s="99"/>
      <c r="ED35" s="99">
        <f>COUNTIF(EF4:EF34,"○")</f>
        <v>0</v>
      </c>
      <c r="EE35" s="99"/>
      <c r="EF35" s="99"/>
      <c r="EG35" s="99"/>
      <c r="EH35" s="99"/>
      <c r="EI35" s="99">
        <f>COUNTIF(EK4:EK34,"○")</f>
        <v>0</v>
      </c>
      <c r="EJ35" s="99"/>
      <c r="EK35" s="99"/>
      <c r="EL35" s="99"/>
      <c r="EM35" s="99"/>
      <c r="EN35" s="99">
        <f>COUNTIF(EP4:EP34,"○")</f>
        <v>0</v>
      </c>
      <c r="EO35" s="99"/>
      <c r="EP35" s="99"/>
      <c r="EQ35" s="99"/>
      <c r="ER35" s="99"/>
      <c r="ES35" s="99">
        <f>COUNTIF(EU4:EU34,"○")</f>
        <v>0</v>
      </c>
      <c r="ET35" s="99"/>
      <c r="EU35" s="99"/>
      <c r="EV35" s="99"/>
      <c r="EW35" s="99"/>
    </row>
    <row r="36" spans="1:153" ht="21.75" customHeight="1">
      <c r="A36" s="100" t="s">
        <v>121</v>
      </c>
      <c r="B36" s="100"/>
      <c r="C36" s="100"/>
      <c r="D36" s="101">
        <f>COUNTIF(G4:G34,"○")</f>
        <v>0</v>
      </c>
      <c r="E36" s="101"/>
      <c r="F36" s="101"/>
      <c r="G36" s="101"/>
      <c r="H36" s="101"/>
      <c r="I36" s="101">
        <f>COUNTIF(L4:L34,"○")</f>
        <v>0</v>
      </c>
      <c r="J36" s="101"/>
      <c r="K36" s="101"/>
      <c r="L36" s="101"/>
      <c r="M36" s="101"/>
      <c r="N36" s="101">
        <f>COUNTIF(Q4:Q34,"○")</f>
        <v>0</v>
      </c>
      <c r="O36" s="101"/>
      <c r="P36" s="101"/>
      <c r="Q36" s="101"/>
      <c r="R36" s="101"/>
      <c r="S36" s="101">
        <f>COUNTIF(V4:V34,"○")</f>
        <v>0</v>
      </c>
      <c r="T36" s="101"/>
      <c r="U36" s="101"/>
      <c r="V36" s="101"/>
      <c r="W36" s="101"/>
      <c r="X36" s="101">
        <f>COUNTIF(AA4:AA34,"○")</f>
        <v>0</v>
      </c>
      <c r="Y36" s="101"/>
      <c r="Z36" s="101"/>
      <c r="AA36" s="101"/>
      <c r="AB36" s="101"/>
      <c r="AC36" s="101">
        <f>COUNTIF(AF4:AF34,"○")</f>
        <v>0</v>
      </c>
      <c r="AD36" s="101"/>
      <c r="AE36" s="101"/>
      <c r="AF36" s="101"/>
      <c r="AG36" s="101"/>
      <c r="AH36" s="101">
        <f>COUNTIF(AK4:AK34,"○")</f>
        <v>0</v>
      </c>
      <c r="AI36" s="101"/>
      <c r="AJ36" s="101"/>
      <c r="AK36" s="101"/>
      <c r="AL36" s="101"/>
      <c r="AM36" s="101">
        <f>COUNTIF(AP4:AP34,"○")</f>
        <v>0</v>
      </c>
      <c r="AN36" s="101"/>
      <c r="AO36" s="101"/>
      <c r="AP36" s="101"/>
      <c r="AQ36" s="101"/>
      <c r="AR36" s="101">
        <f>COUNTIF(AU4:AU34,"○")</f>
        <v>0</v>
      </c>
      <c r="AS36" s="101"/>
      <c r="AT36" s="101"/>
      <c r="AU36" s="101"/>
      <c r="AV36" s="101"/>
      <c r="AW36" s="101">
        <f>COUNTIF(AZ4:AZ34,"○")</f>
        <v>0</v>
      </c>
      <c r="AX36" s="101"/>
      <c r="AY36" s="101"/>
      <c r="AZ36" s="101"/>
      <c r="BA36" s="101"/>
      <c r="BB36" s="101">
        <f>COUNTIF(BE4:BE34,"○")</f>
        <v>0</v>
      </c>
      <c r="BC36" s="101"/>
      <c r="BD36" s="101"/>
      <c r="BE36" s="101"/>
      <c r="BF36" s="101"/>
      <c r="BG36" s="101">
        <f>COUNTIF(BJ4:BJ34,"○")</f>
        <v>0</v>
      </c>
      <c r="BH36" s="101"/>
      <c r="BI36" s="101"/>
      <c r="BJ36" s="101"/>
      <c r="BK36" s="101"/>
      <c r="BL36" s="101">
        <f>COUNTIF(BO4:BO34,"○")</f>
        <v>0</v>
      </c>
      <c r="BM36" s="101"/>
      <c r="BN36" s="101"/>
      <c r="BO36" s="101"/>
      <c r="BP36" s="101"/>
      <c r="BQ36" s="101">
        <f>COUNTIF(BT4:BT34,"○")</f>
        <v>0</v>
      </c>
      <c r="BR36" s="101"/>
      <c r="BS36" s="101"/>
      <c r="BT36" s="101"/>
      <c r="BU36" s="101"/>
      <c r="BV36" s="101">
        <f>COUNTIF(BY4:BY34,"○")</f>
        <v>0</v>
      </c>
      <c r="BW36" s="101"/>
      <c r="BX36" s="101"/>
      <c r="BY36" s="101"/>
      <c r="BZ36" s="101"/>
      <c r="CA36" s="101">
        <f>COUNTIF(CD4:CD34,"○")</f>
        <v>0</v>
      </c>
      <c r="CB36" s="101"/>
      <c r="CC36" s="101"/>
      <c r="CD36" s="101"/>
      <c r="CE36" s="101"/>
      <c r="CF36" s="101">
        <f>COUNTIF(CI4:CI34,"○")</f>
        <v>0</v>
      </c>
      <c r="CG36" s="101"/>
      <c r="CH36" s="101"/>
      <c r="CI36" s="101"/>
      <c r="CJ36" s="101"/>
      <c r="CK36" s="101">
        <f>COUNTIF(CN4:CN34,"○")</f>
        <v>0</v>
      </c>
      <c r="CL36" s="101"/>
      <c r="CM36" s="101"/>
      <c r="CN36" s="101"/>
      <c r="CO36" s="101"/>
      <c r="CP36" s="101">
        <f>COUNTIF(CS4:CS34,"○")</f>
        <v>0</v>
      </c>
      <c r="CQ36" s="101"/>
      <c r="CR36" s="101"/>
      <c r="CS36" s="101"/>
      <c r="CT36" s="101"/>
      <c r="CU36" s="101">
        <f>COUNTIF(CX4:CX34,"○")</f>
        <v>0</v>
      </c>
      <c r="CV36" s="101"/>
      <c r="CW36" s="101"/>
      <c r="CX36" s="101"/>
      <c r="CY36" s="101"/>
      <c r="CZ36" s="101">
        <f>COUNTIF(DC4:DC34,"○")</f>
        <v>0</v>
      </c>
      <c r="DA36" s="101"/>
      <c r="DB36" s="101"/>
      <c r="DC36" s="101"/>
      <c r="DD36" s="101"/>
      <c r="DE36" s="101">
        <f>COUNTIF(DH4:DH34,"○")</f>
        <v>0</v>
      </c>
      <c r="DF36" s="101"/>
      <c r="DG36" s="101"/>
      <c r="DH36" s="101"/>
      <c r="DI36" s="101"/>
      <c r="DJ36" s="101">
        <f>COUNTIF(DM4:DM34,"○")</f>
        <v>0</v>
      </c>
      <c r="DK36" s="101"/>
      <c r="DL36" s="101"/>
      <c r="DM36" s="101"/>
      <c r="DN36" s="101"/>
      <c r="DO36" s="101">
        <f>COUNTIF(DR4:DR34,"○")</f>
        <v>0</v>
      </c>
      <c r="DP36" s="101"/>
      <c r="DQ36" s="101"/>
      <c r="DR36" s="101"/>
      <c r="DS36" s="101"/>
      <c r="DT36" s="101">
        <f>COUNTIF(DW4:DW34,"○")</f>
        <v>0</v>
      </c>
      <c r="DU36" s="101"/>
      <c r="DV36" s="101"/>
      <c r="DW36" s="101"/>
      <c r="DX36" s="101"/>
      <c r="DY36" s="101">
        <f>COUNTIF(EB4:EB34,"○")</f>
        <v>0</v>
      </c>
      <c r="DZ36" s="101"/>
      <c r="EA36" s="101"/>
      <c r="EB36" s="101"/>
      <c r="EC36" s="101"/>
      <c r="ED36" s="101">
        <f>COUNTIF(EG4:EG34,"○")</f>
        <v>0</v>
      </c>
      <c r="EE36" s="101"/>
      <c r="EF36" s="101"/>
      <c r="EG36" s="101"/>
      <c r="EH36" s="101"/>
      <c r="EI36" s="101">
        <f>COUNTIF(EL4:EL34,"○")</f>
        <v>0</v>
      </c>
      <c r="EJ36" s="101"/>
      <c r="EK36" s="101"/>
      <c r="EL36" s="101"/>
      <c r="EM36" s="101"/>
      <c r="EN36" s="101">
        <f>COUNTIF(EQ4:EQ34,"○")</f>
        <v>0</v>
      </c>
      <c r="EO36" s="101"/>
      <c r="EP36" s="101"/>
      <c r="EQ36" s="101"/>
      <c r="ER36" s="101"/>
      <c r="ES36" s="101">
        <f>COUNTIF(EV4:EV34,"○")</f>
        <v>0</v>
      </c>
      <c r="ET36" s="101"/>
      <c r="EU36" s="101"/>
      <c r="EV36" s="101"/>
      <c r="EW36" s="101"/>
    </row>
    <row r="37" spans="1:153" ht="21.75" customHeight="1">
      <c r="A37" s="102" t="s">
        <v>122</v>
      </c>
      <c r="B37" s="102"/>
      <c r="C37" s="102"/>
      <c r="D37" s="103">
        <f>D35+D36</f>
        <v>8</v>
      </c>
      <c r="E37" s="103"/>
      <c r="F37" s="103"/>
      <c r="G37" s="103"/>
      <c r="H37" s="103"/>
      <c r="I37" s="103">
        <f>I35+I36</f>
        <v>10</v>
      </c>
      <c r="J37" s="103"/>
      <c r="K37" s="103"/>
      <c r="L37" s="103"/>
      <c r="M37" s="103"/>
      <c r="N37" s="103">
        <f>N35+N36</f>
        <v>10</v>
      </c>
      <c r="O37" s="103"/>
      <c r="P37" s="103"/>
      <c r="Q37" s="103"/>
      <c r="R37" s="103"/>
      <c r="S37" s="103">
        <f>S35+S36</f>
        <v>10</v>
      </c>
      <c r="T37" s="103"/>
      <c r="U37" s="103"/>
      <c r="V37" s="103"/>
      <c r="W37" s="103"/>
      <c r="X37" s="103">
        <f>X35+X36</f>
        <v>10</v>
      </c>
      <c r="Y37" s="103"/>
      <c r="Z37" s="103"/>
      <c r="AA37" s="103"/>
      <c r="AB37" s="103"/>
      <c r="AC37" s="103">
        <f>AC35+AC36</f>
        <v>10</v>
      </c>
      <c r="AD37" s="103"/>
      <c r="AE37" s="103"/>
      <c r="AF37" s="103"/>
      <c r="AG37" s="103"/>
      <c r="AH37" s="103">
        <f>AH35+AH36</f>
        <v>5</v>
      </c>
      <c r="AI37" s="103"/>
      <c r="AJ37" s="103"/>
      <c r="AK37" s="103"/>
      <c r="AL37" s="103"/>
      <c r="AM37" s="103">
        <f>AM35+AM36</f>
        <v>10</v>
      </c>
      <c r="AN37" s="103"/>
      <c r="AO37" s="103"/>
      <c r="AP37" s="103"/>
      <c r="AQ37" s="103"/>
      <c r="AR37" s="103">
        <f>AR35+AR36</f>
        <v>10</v>
      </c>
      <c r="AS37" s="103"/>
      <c r="AT37" s="103"/>
      <c r="AU37" s="103"/>
      <c r="AV37" s="103"/>
      <c r="AW37" s="103">
        <f>AW35+AW36</f>
        <v>0</v>
      </c>
      <c r="AX37" s="103"/>
      <c r="AY37" s="103"/>
      <c r="AZ37" s="103"/>
      <c r="BA37" s="103"/>
      <c r="BB37" s="103">
        <f>BB35+BB36</f>
        <v>8</v>
      </c>
      <c r="BC37" s="103"/>
      <c r="BD37" s="103"/>
      <c r="BE37" s="103"/>
      <c r="BF37" s="103"/>
      <c r="BG37" s="103">
        <f>BG35+BG36</f>
        <v>10</v>
      </c>
      <c r="BH37" s="103"/>
      <c r="BI37" s="103"/>
      <c r="BJ37" s="103"/>
      <c r="BK37" s="103"/>
      <c r="BL37" s="103">
        <f>BL35+BL36</f>
        <v>0</v>
      </c>
      <c r="BM37" s="103"/>
      <c r="BN37" s="103"/>
      <c r="BO37" s="103"/>
      <c r="BP37" s="103"/>
      <c r="BQ37" s="103">
        <f>BQ35+BQ36</f>
        <v>0</v>
      </c>
      <c r="BR37" s="103"/>
      <c r="BS37" s="103"/>
      <c r="BT37" s="103"/>
      <c r="BU37" s="103"/>
      <c r="BV37" s="103">
        <f>BV35+BV36</f>
        <v>0</v>
      </c>
      <c r="BW37" s="103"/>
      <c r="BX37" s="103"/>
      <c r="BY37" s="103"/>
      <c r="BZ37" s="103"/>
      <c r="CA37" s="103">
        <f>CA35+CA36</f>
        <v>0</v>
      </c>
      <c r="CB37" s="103"/>
      <c r="CC37" s="103"/>
      <c r="CD37" s="103"/>
      <c r="CE37" s="103"/>
      <c r="CF37" s="103">
        <f>CF35+CF36</f>
        <v>0</v>
      </c>
      <c r="CG37" s="103"/>
      <c r="CH37" s="103"/>
      <c r="CI37" s="103"/>
      <c r="CJ37" s="103"/>
      <c r="CK37" s="103">
        <f>CK35+CK36</f>
        <v>0</v>
      </c>
      <c r="CL37" s="103"/>
      <c r="CM37" s="103"/>
      <c r="CN37" s="103"/>
      <c r="CO37" s="103"/>
      <c r="CP37" s="103">
        <f>CP35+CP36</f>
        <v>0</v>
      </c>
      <c r="CQ37" s="103"/>
      <c r="CR37" s="103"/>
      <c r="CS37" s="103"/>
      <c r="CT37" s="103"/>
      <c r="CU37" s="103">
        <f>CU35+CU36</f>
        <v>0</v>
      </c>
      <c r="CV37" s="103"/>
      <c r="CW37" s="103"/>
      <c r="CX37" s="103"/>
      <c r="CY37" s="103"/>
      <c r="CZ37" s="103">
        <f>CZ35+CZ36</f>
        <v>0</v>
      </c>
      <c r="DA37" s="103"/>
      <c r="DB37" s="103"/>
      <c r="DC37" s="103"/>
      <c r="DD37" s="103"/>
      <c r="DE37" s="103">
        <f>DE35+DE36</f>
        <v>0</v>
      </c>
      <c r="DF37" s="103"/>
      <c r="DG37" s="103"/>
      <c r="DH37" s="103"/>
      <c r="DI37" s="103"/>
      <c r="DJ37" s="103">
        <f>DJ35+DJ36</f>
        <v>0</v>
      </c>
      <c r="DK37" s="103"/>
      <c r="DL37" s="103"/>
      <c r="DM37" s="103"/>
      <c r="DN37" s="103"/>
      <c r="DO37" s="103">
        <f>DO35+DO36</f>
        <v>0</v>
      </c>
      <c r="DP37" s="103"/>
      <c r="DQ37" s="103"/>
      <c r="DR37" s="103"/>
      <c r="DS37" s="103"/>
      <c r="DT37" s="103">
        <f>DT35+DT36</f>
        <v>0</v>
      </c>
      <c r="DU37" s="103"/>
      <c r="DV37" s="103"/>
      <c r="DW37" s="103"/>
      <c r="DX37" s="103"/>
      <c r="DY37" s="103">
        <f>DY35+DY36</f>
        <v>0</v>
      </c>
      <c r="DZ37" s="103"/>
      <c r="EA37" s="103"/>
      <c r="EB37" s="103"/>
      <c r="EC37" s="103"/>
      <c r="ED37" s="103">
        <f>ED35+ED36</f>
        <v>0</v>
      </c>
      <c r="EE37" s="103"/>
      <c r="EF37" s="103"/>
      <c r="EG37" s="103"/>
      <c r="EH37" s="103"/>
      <c r="EI37" s="103">
        <f>EI35+EI36</f>
        <v>0</v>
      </c>
      <c r="EJ37" s="103"/>
      <c r="EK37" s="103"/>
      <c r="EL37" s="103"/>
      <c r="EM37" s="103"/>
      <c r="EN37" s="103">
        <f>EN35+EN36</f>
        <v>0</v>
      </c>
      <c r="EO37" s="103"/>
      <c r="EP37" s="103"/>
      <c r="EQ37" s="103"/>
      <c r="ER37" s="103"/>
      <c r="ES37" s="103">
        <f>ES35+ES36</f>
        <v>0</v>
      </c>
      <c r="ET37" s="103"/>
      <c r="EU37" s="103"/>
      <c r="EV37" s="103"/>
      <c r="EW37" s="103"/>
    </row>
    <row r="38" spans="1:153" ht="21.75" customHeight="1">
      <c r="A38" s="104" t="s">
        <v>123</v>
      </c>
      <c r="B38" s="104"/>
      <c r="C38" s="104"/>
      <c r="D38" s="105">
        <f>SUM(H4:H34)</f>
        <v>0</v>
      </c>
      <c r="E38" s="105"/>
      <c r="F38" s="105"/>
      <c r="G38" s="105"/>
      <c r="H38" s="105"/>
      <c r="I38" s="105">
        <f>SUM(M4:M34)</f>
        <v>0</v>
      </c>
      <c r="J38" s="105"/>
      <c r="K38" s="105"/>
      <c r="L38" s="105"/>
      <c r="M38" s="105"/>
      <c r="N38" s="105">
        <f>SUM(R4:R34)</f>
        <v>0</v>
      </c>
      <c r="O38" s="105"/>
      <c r="P38" s="105"/>
      <c r="Q38" s="105"/>
      <c r="R38" s="105"/>
      <c r="S38" s="105">
        <f>SUM(W4:W34)</f>
        <v>0</v>
      </c>
      <c r="T38" s="105"/>
      <c r="U38" s="105"/>
      <c r="V38" s="105"/>
      <c r="W38" s="105"/>
      <c r="X38" s="105">
        <f>SUM(AB4:AB34)</f>
        <v>0</v>
      </c>
      <c r="Y38" s="105"/>
      <c r="Z38" s="105"/>
      <c r="AA38" s="105"/>
      <c r="AB38" s="105"/>
      <c r="AC38" s="105">
        <f>SUM(AG4:AG34)</f>
        <v>0</v>
      </c>
      <c r="AD38" s="105"/>
      <c r="AE38" s="105"/>
      <c r="AF38" s="105"/>
      <c r="AG38" s="105"/>
      <c r="AH38" s="105">
        <f>SUM(AL4:AL34)</f>
        <v>0</v>
      </c>
      <c r="AI38" s="105"/>
      <c r="AJ38" s="105"/>
      <c r="AK38" s="105"/>
      <c r="AL38" s="105"/>
      <c r="AM38" s="105">
        <f>SUM(AQ4:AQ34)</f>
        <v>0</v>
      </c>
      <c r="AN38" s="105"/>
      <c r="AO38" s="105"/>
      <c r="AP38" s="105"/>
      <c r="AQ38" s="105"/>
      <c r="AR38" s="105">
        <f>SUM(AV4:AV34)</f>
        <v>0</v>
      </c>
      <c r="AS38" s="105"/>
      <c r="AT38" s="105"/>
      <c r="AU38" s="105"/>
      <c r="AV38" s="105"/>
      <c r="AW38" s="105">
        <f>SUM(BA4:BA34)</f>
        <v>0</v>
      </c>
      <c r="AX38" s="105"/>
      <c r="AY38" s="105"/>
      <c r="AZ38" s="105"/>
      <c r="BA38" s="105"/>
      <c r="BB38" s="105">
        <f>SUM(BF4:BF34)</f>
        <v>0</v>
      </c>
      <c r="BC38" s="105"/>
      <c r="BD38" s="105"/>
      <c r="BE38" s="105"/>
      <c r="BF38" s="105"/>
      <c r="BG38" s="105">
        <f>SUM(BK4:BK34)</f>
        <v>0</v>
      </c>
      <c r="BH38" s="105"/>
      <c r="BI38" s="105"/>
      <c r="BJ38" s="105"/>
      <c r="BK38" s="105"/>
      <c r="BL38" s="105">
        <f>SUM(BP4:BP34)</f>
        <v>0</v>
      </c>
      <c r="BM38" s="105"/>
      <c r="BN38" s="105"/>
      <c r="BO38" s="105"/>
      <c r="BP38" s="105"/>
      <c r="BQ38" s="105">
        <f>SUM(BU4:BU34)</f>
        <v>0</v>
      </c>
      <c r="BR38" s="105"/>
      <c r="BS38" s="105"/>
      <c r="BT38" s="105"/>
      <c r="BU38" s="105"/>
      <c r="BV38" s="105">
        <f>SUM(BZ4:BZ34)</f>
        <v>0</v>
      </c>
      <c r="BW38" s="105"/>
      <c r="BX38" s="105"/>
      <c r="BY38" s="105"/>
      <c r="BZ38" s="105"/>
      <c r="CA38" s="105">
        <f>SUM(CE4:CE34)</f>
        <v>0</v>
      </c>
      <c r="CB38" s="105"/>
      <c r="CC38" s="105"/>
      <c r="CD38" s="105"/>
      <c r="CE38" s="105"/>
      <c r="CF38" s="105">
        <f>SUM(CJ4:CJ34)</f>
        <v>0</v>
      </c>
      <c r="CG38" s="105"/>
      <c r="CH38" s="105"/>
      <c r="CI38" s="105"/>
      <c r="CJ38" s="105"/>
      <c r="CK38" s="105">
        <f>SUM(CO4:CO34)</f>
        <v>0</v>
      </c>
      <c r="CL38" s="105"/>
      <c r="CM38" s="105"/>
      <c r="CN38" s="105"/>
      <c r="CO38" s="105"/>
      <c r="CP38" s="105">
        <f>SUM(CT4:CT34)</f>
        <v>0</v>
      </c>
      <c r="CQ38" s="105"/>
      <c r="CR38" s="105"/>
      <c r="CS38" s="105"/>
      <c r="CT38" s="105"/>
      <c r="CU38" s="105">
        <f>SUM(CY4:CY34)</f>
        <v>0</v>
      </c>
      <c r="CV38" s="105"/>
      <c r="CW38" s="105"/>
      <c r="CX38" s="105"/>
      <c r="CY38" s="105"/>
      <c r="CZ38" s="105">
        <f>SUM(DD4:DD34)</f>
        <v>0</v>
      </c>
      <c r="DA38" s="105"/>
      <c r="DB38" s="105"/>
      <c r="DC38" s="105"/>
      <c r="DD38" s="105"/>
      <c r="DE38" s="105">
        <f>SUM(DI4:DI34)</f>
        <v>0</v>
      </c>
      <c r="DF38" s="105"/>
      <c r="DG38" s="105"/>
      <c r="DH38" s="105"/>
      <c r="DI38" s="105"/>
      <c r="DJ38" s="105">
        <f>SUM(DN4:DN34)</f>
        <v>0</v>
      </c>
      <c r="DK38" s="105"/>
      <c r="DL38" s="105"/>
      <c r="DM38" s="105"/>
      <c r="DN38" s="105"/>
      <c r="DO38" s="105">
        <f>SUM(DS4:DS34)</f>
        <v>0</v>
      </c>
      <c r="DP38" s="105"/>
      <c r="DQ38" s="105"/>
      <c r="DR38" s="105"/>
      <c r="DS38" s="105"/>
      <c r="DT38" s="105">
        <f>SUM(DX4:DX34)</f>
        <v>0</v>
      </c>
      <c r="DU38" s="105"/>
      <c r="DV38" s="105"/>
      <c r="DW38" s="105"/>
      <c r="DX38" s="105"/>
      <c r="DY38" s="105">
        <f>SUM(EC4:EC34)</f>
        <v>0</v>
      </c>
      <c r="DZ38" s="105"/>
      <c r="EA38" s="105"/>
      <c r="EB38" s="105"/>
      <c r="EC38" s="105"/>
      <c r="ED38" s="105">
        <f>SUM(EH4:EH34)</f>
        <v>0</v>
      </c>
      <c r="EE38" s="105"/>
      <c r="EF38" s="105"/>
      <c r="EG38" s="105"/>
      <c r="EH38" s="105"/>
      <c r="EI38" s="105">
        <f>SUM(EM4:EM34)</f>
        <v>0</v>
      </c>
      <c r="EJ38" s="105"/>
      <c r="EK38" s="105"/>
      <c r="EL38" s="105"/>
      <c r="EM38" s="105"/>
      <c r="EN38" s="105">
        <f>SUM(ER4:ER34)</f>
        <v>0</v>
      </c>
      <c r="EO38" s="105"/>
      <c r="EP38" s="105"/>
      <c r="EQ38" s="105"/>
      <c r="ER38" s="105"/>
      <c r="ES38" s="105">
        <f>SUM(EW4:EW34)</f>
        <v>0</v>
      </c>
      <c r="ET38" s="105"/>
      <c r="EU38" s="105"/>
      <c r="EV38" s="105"/>
      <c r="EW38" s="105"/>
    </row>
    <row r="39" spans="1:153" ht="21.75" customHeight="1">
      <c r="A39" s="106" t="s">
        <v>105</v>
      </c>
      <c r="B39" s="106"/>
      <c r="C39" s="106"/>
      <c r="D39" s="107">
        <f>COUNTIF(D4:D34,"有給")</f>
        <v>0</v>
      </c>
      <c r="E39" s="107"/>
      <c r="F39" s="107"/>
      <c r="G39" s="107"/>
      <c r="H39" s="107"/>
      <c r="I39" s="107">
        <f>COUNTIF(I4:I34,"有給")</f>
        <v>1</v>
      </c>
      <c r="J39" s="107"/>
      <c r="K39" s="107"/>
      <c r="L39" s="107"/>
      <c r="M39" s="107"/>
      <c r="N39" s="107">
        <f>COUNTIF(N4:N34,"有給")</f>
        <v>0</v>
      </c>
      <c r="O39" s="107"/>
      <c r="P39" s="107"/>
      <c r="Q39" s="107"/>
      <c r="R39" s="107"/>
      <c r="S39" s="107">
        <f>COUNTIF(S4:S34,"有給")</f>
        <v>0</v>
      </c>
      <c r="T39" s="107"/>
      <c r="U39" s="107"/>
      <c r="V39" s="107"/>
      <c r="W39" s="107"/>
      <c r="X39" s="107">
        <f>COUNTIF(X4:X34,"有給")</f>
        <v>0</v>
      </c>
      <c r="Y39" s="107"/>
      <c r="Z39" s="107"/>
      <c r="AA39" s="107"/>
      <c r="AB39" s="107"/>
      <c r="AC39" s="107">
        <f>COUNTIF(AC4:AC34,"有給")</f>
        <v>0</v>
      </c>
      <c r="AD39" s="107"/>
      <c r="AE39" s="107"/>
      <c r="AF39" s="107"/>
      <c r="AG39" s="107"/>
      <c r="AH39" s="107">
        <f>COUNTIF(AH4:AH34,"有給")</f>
        <v>0</v>
      </c>
      <c r="AI39" s="107"/>
      <c r="AJ39" s="107"/>
      <c r="AK39" s="107"/>
      <c r="AL39" s="107"/>
      <c r="AM39" s="107">
        <f>COUNTIF(AM4:AM34,"有給")</f>
        <v>1</v>
      </c>
      <c r="AN39" s="107"/>
      <c r="AO39" s="107"/>
      <c r="AP39" s="107"/>
      <c r="AQ39" s="107"/>
      <c r="AR39" s="107">
        <f>COUNTIF(AR4:AR34,"有給")</f>
        <v>1</v>
      </c>
      <c r="AS39" s="107"/>
      <c r="AT39" s="107"/>
      <c r="AU39" s="107"/>
      <c r="AV39" s="107"/>
      <c r="AW39" s="107">
        <f>COUNTIF(AW4:AW34,"有給")</f>
        <v>0</v>
      </c>
      <c r="AX39" s="107"/>
      <c r="AY39" s="107"/>
      <c r="AZ39" s="107"/>
      <c r="BA39" s="107"/>
      <c r="BB39" s="107">
        <f>COUNTIF(BB4:BB34,"有給")</f>
        <v>0</v>
      </c>
      <c r="BC39" s="107"/>
      <c r="BD39" s="107"/>
      <c r="BE39" s="107"/>
      <c r="BF39" s="107"/>
      <c r="BG39" s="107">
        <f>COUNTIF(BG4:BG34,"有給")</f>
        <v>0</v>
      </c>
      <c r="BH39" s="107"/>
      <c r="BI39" s="107"/>
      <c r="BJ39" s="107"/>
      <c r="BK39" s="107"/>
      <c r="BL39" s="107">
        <f>COUNTIF(BL4:BL34,"有給")</f>
        <v>0</v>
      </c>
      <c r="BM39" s="107"/>
      <c r="BN39" s="107"/>
      <c r="BO39" s="107"/>
      <c r="BP39" s="107"/>
      <c r="BQ39" s="107">
        <f>COUNTIF(BQ4:BQ34,"有給")</f>
        <v>0</v>
      </c>
      <c r="BR39" s="107"/>
      <c r="BS39" s="107"/>
      <c r="BT39" s="107"/>
      <c r="BU39" s="107"/>
      <c r="BV39" s="107">
        <f>COUNTIF(BV4:BV34,"有給")</f>
        <v>0</v>
      </c>
      <c r="BW39" s="107"/>
      <c r="BX39" s="107"/>
      <c r="BY39" s="107"/>
      <c r="BZ39" s="107"/>
      <c r="CA39" s="107">
        <f>COUNTIF(CA4:CA34,"有給")</f>
        <v>0</v>
      </c>
      <c r="CB39" s="107"/>
      <c r="CC39" s="107"/>
      <c r="CD39" s="107"/>
      <c r="CE39" s="107"/>
      <c r="CF39" s="107">
        <f>COUNTIF(CF4:CF34,"有給")</f>
        <v>0</v>
      </c>
      <c r="CG39" s="107"/>
      <c r="CH39" s="107"/>
      <c r="CI39" s="107"/>
      <c r="CJ39" s="107"/>
      <c r="CK39" s="107">
        <f>COUNTIF(CK4:CK34,"有給")</f>
        <v>0</v>
      </c>
      <c r="CL39" s="107"/>
      <c r="CM39" s="107"/>
      <c r="CN39" s="107"/>
      <c r="CO39" s="107"/>
      <c r="CP39" s="107">
        <f>COUNTIF(CP4:CP34,"有給")</f>
        <v>0</v>
      </c>
      <c r="CQ39" s="107"/>
      <c r="CR39" s="107"/>
      <c r="CS39" s="107"/>
      <c r="CT39" s="107"/>
      <c r="CU39" s="107">
        <f>COUNTIF(CU4:CU34,"有給")</f>
        <v>0</v>
      </c>
      <c r="CV39" s="107"/>
      <c r="CW39" s="107"/>
      <c r="CX39" s="107"/>
      <c r="CY39" s="107"/>
      <c r="CZ39" s="107">
        <f>COUNTIF(CZ4:CZ34,"有給")</f>
        <v>0</v>
      </c>
      <c r="DA39" s="107"/>
      <c r="DB39" s="107"/>
      <c r="DC39" s="107"/>
      <c r="DD39" s="107"/>
      <c r="DE39" s="107">
        <f>COUNTIF(DE4:DE34,"有給")</f>
        <v>0</v>
      </c>
      <c r="DF39" s="107"/>
      <c r="DG39" s="107"/>
      <c r="DH39" s="107"/>
      <c r="DI39" s="107"/>
      <c r="DJ39" s="107">
        <f>COUNTIF(DJ4:DJ34,"有給")</f>
        <v>0</v>
      </c>
      <c r="DK39" s="107"/>
      <c r="DL39" s="107"/>
      <c r="DM39" s="107"/>
      <c r="DN39" s="107"/>
      <c r="DO39" s="107">
        <f>COUNTIF(DO4:DO34,"有給")</f>
        <v>0</v>
      </c>
      <c r="DP39" s="107"/>
      <c r="DQ39" s="107"/>
      <c r="DR39" s="107"/>
      <c r="DS39" s="107"/>
      <c r="DT39" s="107">
        <f>COUNTIF(DT4:DT34,"有給")</f>
        <v>0</v>
      </c>
      <c r="DU39" s="107"/>
      <c r="DV39" s="107"/>
      <c r="DW39" s="107"/>
      <c r="DX39" s="107"/>
      <c r="DY39" s="107">
        <f>COUNTIF(DY4:DY34,"有給")</f>
        <v>0</v>
      </c>
      <c r="DZ39" s="107"/>
      <c r="EA39" s="107"/>
      <c r="EB39" s="107"/>
      <c r="EC39" s="107"/>
      <c r="ED39" s="107">
        <f>COUNTIF(ED4:ED34,"有給")</f>
        <v>0</v>
      </c>
      <c r="EE39" s="107"/>
      <c r="EF39" s="107"/>
      <c r="EG39" s="107"/>
      <c r="EH39" s="107"/>
      <c r="EI39" s="107">
        <f>COUNTIF(EI4:EI34,"有給")</f>
        <v>0</v>
      </c>
      <c r="EJ39" s="107"/>
      <c r="EK39" s="107"/>
      <c r="EL39" s="107"/>
      <c r="EM39" s="107"/>
      <c r="EN39" s="107">
        <f>COUNTIF(EN4:EN34,"有給")</f>
        <v>0</v>
      </c>
      <c r="EO39" s="107"/>
      <c r="EP39" s="107"/>
      <c r="EQ39" s="107"/>
      <c r="ER39" s="107"/>
      <c r="ES39" s="107">
        <f>COUNTIF(ES4:ES34,"有給")</f>
        <v>0</v>
      </c>
      <c r="ET39" s="107"/>
      <c r="EU39" s="107"/>
      <c r="EV39" s="107"/>
      <c r="EW39" s="107"/>
    </row>
    <row r="40" spans="1:153" ht="21.75" customHeight="1">
      <c r="A40" s="108" t="s">
        <v>106</v>
      </c>
      <c r="B40" s="108"/>
      <c r="C40" s="108"/>
      <c r="D40" s="109">
        <f>COUNTIF(D4:D34,"休業")</f>
        <v>0</v>
      </c>
      <c r="E40" s="109"/>
      <c r="F40" s="109"/>
      <c r="G40" s="109"/>
      <c r="H40" s="109"/>
      <c r="I40" s="109">
        <f>COUNTIF(I4:I34,"休業")</f>
        <v>0</v>
      </c>
      <c r="J40" s="109"/>
      <c r="K40" s="109"/>
      <c r="L40" s="109"/>
      <c r="M40" s="109"/>
      <c r="N40" s="109">
        <f>COUNTIF(N4:N34,"休業")</f>
        <v>0</v>
      </c>
      <c r="O40" s="109"/>
      <c r="P40" s="109"/>
      <c r="Q40" s="109"/>
      <c r="R40" s="109"/>
      <c r="S40" s="109">
        <f>COUNTIF(S4:S34,"休業")</f>
        <v>0</v>
      </c>
      <c r="T40" s="109"/>
      <c r="U40" s="109"/>
      <c r="V40" s="109"/>
      <c r="W40" s="109"/>
      <c r="X40" s="109">
        <f>COUNTIF(X4:X34,"休業")</f>
        <v>0</v>
      </c>
      <c r="Y40" s="109"/>
      <c r="Z40" s="109"/>
      <c r="AA40" s="109"/>
      <c r="AB40" s="109"/>
      <c r="AC40" s="109">
        <f>COUNTIF(AC4:AC34,"休業")</f>
        <v>0</v>
      </c>
      <c r="AD40" s="109"/>
      <c r="AE40" s="109"/>
      <c r="AF40" s="109"/>
      <c r="AG40" s="109"/>
      <c r="AH40" s="109">
        <f>COUNTIF(AH4:AH34,"休業")</f>
        <v>0</v>
      </c>
      <c r="AI40" s="109"/>
      <c r="AJ40" s="109"/>
      <c r="AK40" s="109"/>
      <c r="AL40" s="109"/>
      <c r="AM40" s="109">
        <f>COUNTIF(AM4:AM34,"休業")</f>
        <v>0</v>
      </c>
      <c r="AN40" s="109"/>
      <c r="AO40" s="109"/>
      <c r="AP40" s="109"/>
      <c r="AQ40" s="109"/>
      <c r="AR40" s="109">
        <f>COUNTIF(AR4:AR34,"休業")</f>
        <v>0</v>
      </c>
      <c r="AS40" s="109"/>
      <c r="AT40" s="109"/>
      <c r="AU40" s="109"/>
      <c r="AV40" s="109"/>
      <c r="AW40" s="109">
        <f>COUNTIF(AW4:AW34,"休業")</f>
        <v>0</v>
      </c>
      <c r="AX40" s="109"/>
      <c r="AY40" s="109"/>
      <c r="AZ40" s="109"/>
      <c r="BA40" s="109"/>
      <c r="BB40" s="109">
        <f>COUNTIF(BB4:BB34,"休業")</f>
        <v>0</v>
      </c>
      <c r="BC40" s="109"/>
      <c r="BD40" s="109"/>
      <c r="BE40" s="109"/>
      <c r="BF40" s="109"/>
      <c r="BG40" s="109">
        <f>COUNTIF(BG4:BG34,"休業")</f>
        <v>0</v>
      </c>
      <c r="BH40" s="109"/>
      <c r="BI40" s="109"/>
      <c r="BJ40" s="109"/>
      <c r="BK40" s="109"/>
      <c r="BL40" s="109">
        <f>COUNTIF(BL4:BL34,"休業")</f>
        <v>0</v>
      </c>
      <c r="BM40" s="109"/>
      <c r="BN40" s="109"/>
      <c r="BO40" s="109"/>
      <c r="BP40" s="109"/>
      <c r="BQ40" s="109">
        <f>COUNTIF(BQ4:BQ34,"休業")</f>
        <v>0</v>
      </c>
      <c r="BR40" s="109"/>
      <c r="BS40" s="109"/>
      <c r="BT40" s="109"/>
      <c r="BU40" s="109"/>
      <c r="BV40" s="109">
        <f>COUNTIF(BV4:BV34,"休業")</f>
        <v>0</v>
      </c>
      <c r="BW40" s="109"/>
      <c r="BX40" s="109"/>
      <c r="BY40" s="109"/>
      <c r="BZ40" s="109"/>
      <c r="CA40" s="109">
        <f>COUNTIF(CA4:CA34,"休業")</f>
        <v>0</v>
      </c>
      <c r="CB40" s="109"/>
      <c r="CC40" s="109"/>
      <c r="CD40" s="109"/>
      <c r="CE40" s="109"/>
      <c r="CF40" s="109">
        <f>COUNTIF(CF4:CF34,"休業")</f>
        <v>0</v>
      </c>
      <c r="CG40" s="109"/>
      <c r="CH40" s="109"/>
      <c r="CI40" s="109"/>
      <c r="CJ40" s="109"/>
      <c r="CK40" s="109">
        <f>COUNTIF(CK4:CK34,"休業")</f>
        <v>0</v>
      </c>
      <c r="CL40" s="109"/>
      <c r="CM40" s="109"/>
      <c r="CN40" s="109"/>
      <c r="CO40" s="109"/>
      <c r="CP40" s="109">
        <f>COUNTIF(CP4:CP34,"休業")</f>
        <v>0</v>
      </c>
      <c r="CQ40" s="109"/>
      <c r="CR40" s="109"/>
      <c r="CS40" s="109"/>
      <c r="CT40" s="109"/>
      <c r="CU40" s="109">
        <f>COUNTIF(CU4:CU34,"休業")</f>
        <v>0</v>
      </c>
      <c r="CV40" s="109"/>
      <c r="CW40" s="109"/>
      <c r="CX40" s="109"/>
      <c r="CY40" s="109"/>
      <c r="CZ40" s="109">
        <f>COUNTIF(CZ4:CZ34,"休業")</f>
        <v>0</v>
      </c>
      <c r="DA40" s="109"/>
      <c r="DB40" s="109"/>
      <c r="DC40" s="109"/>
      <c r="DD40" s="109"/>
      <c r="DE40" s="109">
        <f>COUNTIF(DE4:DE34,"休業")</f>
        <v>0</v>
      </c>
      <c r="DF40" s="109"/>
      <c r="DG40" s="109"/>
      <c r="DH40" s="109"/>
      <c r="DI40" s="109"/>
      <c r="DJ40" s="109">
        <f>COUNTIF(DJ4:DJ34,"休業")</f>
        <v>0</v>
      </c>
      <c r="DK40" s="109"/>
      <c r="DL40" s="109"/>
      <c r="DM40" s="109"/>
      <c r="DN40" s="109"/>
      <c r="DO40" s="109">
        <f>COUNTIF(DO4:DO34,"休業")</f>
        <v>0</v>
      </c>
      <c r="DP40" s="109"/>
      <c r="DQ40" s="109"/>
      <c r="DR40" s="109"/>
      <c r="DS40" s="109"/>
      <c r="DT40" s="109">
        <f>COUNTIF(DT4:DT34,"休業")</f>
        <v>0</v>
      </c>
      <c r="DU40" s="109"/>
      <c r="DV40" s="109"/>
      <c r="DW40" s="109"/>
      <c r="DX40" s="109"/>
      <c r="DY40" s="109">
        <f>COUNTIF(DY4:DY34,"休業")</f>
        <v>0</v>
      </c>
      <c r="DZ40" s="109"/>
      <c r="EA40" s="109"/>
      <c r="EB40" s="109"/>
      <c r="EC40" s="109"/>
      <c r="ED40" s="109">
        <f>COUNTIF(ED4:ED34,"休業")</f>
        <v>0</v>
      </c>
      <c r="EE40" s="109"/>
      <c r="EF40" s="109"/>
      <c r="EG40" s="109"/>
      <c r="EH40" s="109"/>
      <c r="EI40" s="109">
        <f>COUNTIF(EI4:EI34,"休業")</f>
        <v>0</v>
      </c>
      <c r="EJ40" s="109"/>
      <c r="EK40" s="109"/>
      <c r="EL40" s="109"/>
      <c r="EM40" s="109"/>
      <c r="EN40" s="109">
        <f>COUNTIF(EN4:EN34,"休業")</f>
        <v>0</v>
      </c>
      <c r="EO40" s="109"/>
      <c r="EP40" s="109"/>
      <c r="EQ40" s="109"/>
      <c r="ER40" s="109"/>
      <c r="ES40" s="109">
        <f>COUNTIF(ES4:ES34,"休業")</f>
        <v>0</v>
      </c>
      <c r="ET40" s="109"/>
      <c r="EU40" s="109"/>
      <c r="EV40" s="109"/>
      <c r="EW40" s="109"/>
    </row>
  </sheetData>
  <mergeCells count="217">
    <mergeCell ref="ED40:EH40"/>
    <mergeCell ref="EI40:EM40"/>
    <mergeCell ref="EN40:ER40"/>
    <mergeCell ref="ES40:EW40"/>
    <mergeCell ref="CK40:CO40"/>
    <mergeCell ref="CP40:CT40"/>
    <mergeCell ref="CU40:CY40"/>
    <mergeCell ref="CZ40:DD40"/>
    <mergeCell ref="DE40:DI40"/>
    <mergeCell ref="DJ40:DN40"/>
    <mergeCell ref="DO40:DS40"/>
    <mergeCell ref="DT40:DX40"/>
    <mergeCell ref="DY40:EC40"/>
    <mergeCell ref="DT39:DX39"/>
    <mergeCell ref="DY39:EC39"/>
    <mergeCell ref="ED39:EH39"/>
    <mergeCell ref="EI39:EM39"/>
    <mergeCell ref="EN39:ER39"/>
    <mergeCell ref="ES39:EW39"/>
    <mergeCell ref="A40:C40"/>
    <mergeCell ref="D40:H40"/>
    <mergeCell ref="I40:M40"/>
    <mergeCell ref="N40:R40"/>
    <mergeCell ref="S40:W40"/>
    <mergeCell ref="X40:AB40"/>
    <mergeCell ref="AC40:AG40"/>
    <mergeCell ref="AH40:AL40"/>
    <mergeCell ref="AM40:AQ40"/>
    <mergeCell ref="AR40:AV40"/>
    <mergeCell ref="AW40:BA40"/>
    <mergeCell ref="BB40:BF40"/>
    <mergeCell ref="BG40:BK40"/>
    <mergeCell ref="BL40:BP40"/>
    <mergeCell ref="BQ40:BU40"/>
    <mergeCell ref="BV40:BZ40"/>
    <mergeCell ref="CA40:CE40"/>
    <mergeCell ref="CF40:CJ40"/>
    <mergeCell ref="CA39:CE39"/>
    <mergeCell ref="CF39:CJ39"/>
    <mergeCell ref="CK39:CO39"/>
    <mergeCell ref="CP39:CT39"/>
    <mergeCell ref="CU39:CY39"/>
    <mergeCell ref="CZ39:DD39"/>
    <mergeCell ref="DE39:DI39"/>
    <mergeCell ref="DJ39:DN39"/>
    <mergeCell ref="DO39:DS39"/>
    <mergeCell ref="DJ38:DN38"/>
    <mergeCell ref="DO38:DS38"/>
    <mergeCell ref="DT38:DX38"/>
    <mergeCell ref="DY38:EC38"/>
    <mergeCell ref="ED38:EH38"/>
    <mergeCell ref="EI38:EM38"/>
    <mergeCell ref="EN38:ER38"/>
    <mergeCell ref="ES38:EW38"/>
    <mergeCell ref="A39:C39"/>
    <mergeCell ref="D39:H39"/>
    <mergeCell ref="I39:M39"/>
    <mergeCell ref="N39:R39"/>
    <mergeCell ref="S39:W39"/>
    <mergeCell ref="X39:AB39"/>
    <mergeCell ref="AC39:AG39"/>
    <mergeCell ref="AH39:AL39"/>
    <mergeCell ref="AM39:AQ39"/>
    <mergeCell ref="AR39:AV39"/>
    <mergeCell ref="AW39:BA39"/>
    <mergeCell ref="BB39:BF39"/>
    <mergeCell ref="BG39:BK39"/>
    <mergeCell ref="BL39:BP39"/>
    <mergeCell ref="BQ39:BU39"/>
    <mergeCell ref="BV39:BZ39"/>
    <mergeCell ref="ES37:EW37"/>
    <mergeCell ref="A38:C38"/>
    <mergeCell ref="D38:H38"/>
    <mergeCell ref="I38:M38"/>
    <mergeCell ref="N38:R38"/>
    <mergeCell ref="S38:W38"/>
    <mergeCell ref="X38:AB38"/>
    <mergeCell ref="AC38:AG38"/>
    <mergeCell ref="AH38:AL38"/>
    <mergeCell ref="AM38:AQ38"/>
    <mergeCell ref="AR38:AV38"/>
    <mergeCell ref="AW38:BA38"/>
    <mergeCell ref="BB38:BF38"/>
    <mergeCell ref="BG38:BK38"/>
    <mergeCell ref="BL38:BP38"/>
    <mergeCell ref="BQ38:BU38"/>
    <mergeCell ref="BV38:BZ38"/>
    <mergeCell ref="CA38:CE38"/>
    <mergeCell ref="CF38:CJ38"/>
    <mergeCell ref="CK38:CO38"/>
    <mergeCell ref="CP38:CT38"/>
    <mergeCell ref="CU38:CY38"/>
    <mergeCell ref="CZ38:DD38"/>
    <mergeCell ref="DE38:DI38"/>
    <mergeCell ref="CZ37:DD37"/>
    <mergeCell ref="DE37:DI37"/>
    <mergeCell ref="DJ37:DN37"/>
    <mergeCell ref="DO37:DS37"/>
    <mergeCell ref="DT37:DX37"/>
    <mergeCell ref="DY37:EC37"/>
    <mergeCell ref="ED37:EH37"/>
    <mergeCell ref="EI37:EM37"/>
    <mergeCell ref="EN37:ER37"/>
    <mergeCell ref="EI36:EM36"/>
    <mergeCell ref="EN36:ER36"/>
    <mergeCell ref="ES36:EW36"/>
    <mergeCell ref="A37:C37"/>
    <mergeCell ref="D37:H37"/>
    <mergeCell ref="I37:M37"/>
    <mergeCell ref="N37:R37"/>
    <mergeCell ref="S37:W37"/>
    <mergeCell ref="X37:AB37"/>
    <mergeCell ref="AC37:AG37"/>
    <mergeCell ref="AH37:AL37"/>
    <mergeCell ref="AM37:AQ37"/>
    <mergeCell ref="AR37:AV37"/>
    <mergeCell ref="AW37:BA37"/>
    <mergeCell ref="BB37:BF37"/>
    <mergeCell ref="BG37:BK37"/>
    <mergeCell ref="BL37:BP37"/>
    <mergeCell ref="BQ37:BU37"/>
    <mergeCell ref="BV37:BZ37"/>
    <mergeCell ref="CA37:CE37"/>
    <mergeCell ref="CF37:CJ37"/>
    <mergeCell ref="CK37:CO37"/>
    <mergeCell ref="CP37:CT37"/>
    <mergeCell ref="CU37:CY37"/>
    <mergeCell ref="CP36:CT36"/>
    <mergeCell ref="CU36:CY36"/>
    <mergeCell ref="CZ36:DD36"/>
    <mergeCell ref="DE36:DI36"/>
    <mergeCell ref="DJ36:DN36"/>
    <mergeCell ref="DO36:DS36"/>
    <mergeCell ref="DT36:DX36"/>
    <mergeCell ref="DY36:EC36"/>
    <mergeCell ref="ED36:EH36"/>
    <mergeCell ref="DY35:EC35"/>
    <mergeCell ref="ED35:EH35"/>
    <mergeCell ref="EI35:EM35"/>
    <mergeCell ref="EN35:ER35"/>
    <mergeCell ref="ES35:EW35"/>
    <mergeCell ref="A36:C36"/>
    <mergeCell ref="D36:H36"/>
    <mergeCell ref="I36:M36"/>
    <mergeCell ref="N36:R36"/>
    <mergeCell ref="S36:W36"/>
    <mergeCell ref="X36:AB36"/>
    <mergeCell ref="AC36:AG36"/>
    <mergeCell ref="AH36:AL36"/>
    <mergeCell ref="AM36:AQ36"/>
    <mergeCell ref="AR36:AV36"/>
    <mergeCell ref="AW36:BA36"/>
    <mergeCell ref="BB36:BF36"/>
    <mergeCell ref="BG36:BK36"/>
    <mergeCell ref="BL36:BP36"/>
    <mergeCell ref="BQ36:BU36"/>
    <mergeCell ref="BV36:BZ36"/>
    <mergeCell ref="CA36:CE36"/>
    <mergeCell ref="CF36:CJ36"/>
    <mergeCell ref="CK36:CO36"/>
    <mergeCell ref="CF35:CJ35"/>
    <mergeCell ref="CK35:CO35"/>
    <mergeCell ref="CP35:CT35"/>
    <mergeCell ref="CU35:CY35"/>
    <mergeCell ref="CZ35:DD35"/>
    <mergeCell ref="DE35:DI35"/>
    <mergeCell ref="DJ35:DN35"/>
    <mergeCell ref="DO35:DS35"/>
    <mergeCell ref="DT35:DX35"/>
    <mergeCell ref="DO2:DS2"/>
    <mergeCell ref="DT2:DX2"/>
    <mergeCell ref="DY2:EC2"/>
    <mergeCell ref="ED2:EH2"/>
    <mergeCell ref="EI2:EM2"/>
    <mergeCell ref="EN2:ER2"/>
    <mergeCell ref="ES2:EW2"/>
    <mergeCell ref="A35:C35"/>
    <mergeCell ref="D35:H35"/>
    <mergeCell ref="I35:M35"/>
    <mergeCell ref="N35:R35"/>
    <mergeCell ref="S35:W35"/>
    <mergeCell ref="X35:AB35"/>
    <mergeCell ref="AC35:AG35"/>
    <mergeCell ref="AH35:AL35"/>
    <mergeCell ref="AM35:AQ35"/>
    <mergeCell ref="AR35:AV35"/>
    <mergeCell ref="AW35:BA35"/>
    <mergeCell ref="BB35:BF35"/>
    <mergeCell ref="BG35:BK35"/>
    <mergeCell ref="BL35:BP35"/>
    <mergeCell ref="BQ35:BU35"/>
    <mergeCell ref="BV35:BZ35"/>
    <mergeCell ref="CA35:CE35"/>
    <mergeCell ref="A1:EW1"/>
    <mergeCell ref="D2:H2"/>
    <mergeCell ref="I2:M2"/>
    <mergeCell ref="N2:R2"/>
    <mergeCell ref="S2:W2"/>
    <mergeCell ref="X2:AB2"/>
    <mergeCell ref="AC2:AG2"/>
    <mergeCell ref="AH2:AL2"/>
    <mergeCell ref="AM2:AQ2"/>
    <mergeCell ref="AR2:AV2"/>
    <mergeCell ref="AW2:BA2"/>
    <mergeCell ref="BB2:BF2"/>
    <mergeCell ref="BG2:BK2"/>
    <mergeCell ref="BL2:BP2"/>
    <mergeCell ref="BQ2:BU2"/>
    <mergeCell ref="BV2:BZ2"/>
    <mergeCell ref="CA2:CE2"/>
    <mergeCell ref="CF2:CJ2"/>
    <mergeCell ref="CK2:CO2"/>
    <mergeCell ref="CP2:CT2"/>
    <mergeCell ref="CU2:CY2"/>
    <mergeCell ref="CZ2:DD2"/>
    <mergeCell ref="DE2:DI2"/>
    <mergeCell ref="DJ2:DN2"/>
  </mergeCells>
  <phoneticPr fontId="51"/>
  <conditionalFormatting sqref="A4:EW34">
    <cfRule type="expression" dxfId="820" priority="63">
      <formula>$B4="日"</formula>
    </cfRule>
    <cfRule type="expression" dxfId="819" priority="64">
      <formula>$B4="土"</formula>
    </cfRule>
    <cfRule type="expression" dxfId="818" priority="62">
      <formula>AND($A4&lt;&gt;"",ISNUMBER(MATCH(DATE(対象年度,1,$A4),祝日リスト,0)))</formula>
    </cfRule>
  </conditionalFormatting>
  <conditionalFormatting sqref="D4:D34">
    <cfRule type="expression" dxfId="817" priority="3">
      <formula>$D4="休業"</formula>
    </cfRule>
    <cfRule type="expression" dxfId="816" priority="2">
      <formula>$D4="有給"</formula>
    </cfRule>
  </conditionalFormatting>
  <conditionalFormatting sqref="I4:I34">
    <cfRule type="expression" dxfId="815" priority="4">
      <formula>$I4="有給"</formula>
    </cfRule>
    <cfRule type="expression" dxfId="814" priority="5">
      <formula>$I4="休業"</formula>
    </cfRule>
  </conditionalFormatting>
  <conditionalFormatting sqref="N4:N34">
    <cfRule type="expression" dxfId="813" priority="6">
      <formula>$N4="有給"</formula>
    </cfRule>
    <cfRule type="expression" dxfId="812" priority="7">
      <formula>$N4="休業"</formula>
    </cfRule>
  </conditionalFormatting>
  <conditionalFormatting sqref="S4:S34">
    <cfRule type="expression" dxfId="811" priority="8">
      <formula>$S4="有給"</formula>
    </cfRule>
    <cfRule type="expression" dxfId="810" priority="9">
      <formula>$S4="休業"</formula>
    </cfRule>
  </conditionalFormatting>
  <conditionalFormatting sqref="X4:X34">
    <cfRule type="expression" dxfId="809" priority="10">
      <formula>$X4="有給"</formula>
    </cfRule>
    <cfRule type="expression" dxfId="808" priority="11">
      <formula>$X4="休業"</formula>
    </cfRule>
  </conditionalFormatting>
  <conditionalFormatting sqref="AC4:AC34">
    <cfRule type="expression" dxfId="807" priority="12">
      <formula>$AC4="有給"</formula>
    </cfRule>
    <cfRule type="expression" dxfId="806" priority="13">
      <formula>$AC4="休業"</formula>
    </cfRule>
  </conditionalFormatting>
  <conditionalFormatting sqref="AH4:AH34">
    <cfRule type="expression" dxfId="805" priority="14">
      <formula>$AH4="有給"</formula>
    </cfRule>
    <cfRule type="expression" dxfId="804" priority="15">
      <formula>$AH4="休業"</formula>
    </cfRule>
  </conditionalFormatting>
  <conditionalFormatting sqref="AM4:AM34">
    <cfRule type="expression" dxfId="803" priority="17">
      <formula>$AM4="休業"</formula>
    </cfRule>
    <cfRule type="expression" dxfId="802" priority="16">
      <formula>$AM4="有給"</formula>
    </cfRule>
  </conditionalFormatting>
  <conditionalFormatting sqref="AR4:AR34">
    <cfRule type="expression" dxfId="801" priority="19">
      <formula>$AR4="休業"</formula>
    </cfRule>
    <cfRule type="expression" dxfId="800" priority="18">
      <formula>$AR4="有給"</formula>
    </cfRule>
  </conditionalFormatting>
  <conditionalFormatting sqref="AW4:AW34">
    <cfRule type="expression" dxfId="799" priority="20">
      <formula>$AW4="有給"</formula>
    </cfRule>
    <cfRule type="expression" dxfId="798" priority="21">
      <formula>$AW4="休業"</formula>
    </cfRule>
  </conditionalFormatting>
  <conditionalFormatting sqref="BB4:BB34">
    <cfRule type="expression" dxfId="797" priority="22">
      <formula>$BB4="有給"</formula>
    </cfRule>
    <cfRule type="expression" dxfId="796" priority="23">
      <formula>$BB4="休業"</formula>
    </cfRule>
  </conditionalFormatting>
  <conditionalFormatting sqref="BG4:BG34">
    <cfRule type="expression" dxfId="795" priority="24">
      <formula>$BG4="有給"</formula>
    </cfRule>
    <cfRule type="expression" dxfId="794" priority="25">
      <formula>$BG4="休業"</formula>
    </cfRule>
  </conditionalFormatting>
  <conditionalFormatting sqref="BL4:BL34">
    <cfRule type="expression" dxfId="793" priority="26">
      <formula>$BL4="有給"</formula>
    </cfRule>
    <cfRule type="expression" dxfId="792" priority="27">
      <formula>$BL4="休業"</formula>
    </cfRule>
  </conditionalFormatting>
  <conditionalFormatting sqref="BQ4:BQ34">
    <cfRule type="expression" dxfId="791" priority="28">
      <formula>$BQ4="有給"</formula>
    </cfRule>
    <cfRule type="expression" dxfId="790" priority="29">
      <formula>$BQ4="休業"</formula>
    </cfRule>
  </conditionalFormatting>
  <conditionalFormatting sqref="BV4:BV34">
    <cfRule type="expression" dxfId="789" priority="30">
      <formula>$BV4="有給"</formula>
    </cfRule>
    <cfRule type="expression" dxfId="788" priority="31">
      <formula>$BV4="休業"</formula>
    </cfRule>
  </conditionalFormatting>
  <conditionalFormatting sqref="CA4:CA34">
    <cfRule type="expression" dxfId="787" priority="33">
      <formula>$CA4="休業"</formula>
    </cfRule>
    <cfRule type="expression" dxfId="786" priority="32">
      <formula>$CA4="有給"</formula>
    </cfRule>
  </conditionalFormatting>
  <conditionalFormatting sqref="CF4:CF34">
    <cfRule type="expression" dxfId="785" priority="34">
      <formula>$CF4="有給"</formula>
    </cfRule>
    <cfRule type="expression" dxfId="784" priority="35">
      <formula>$CF4="休業"</formula>
    </cfRule>
  </conditionalFormatting>
  <conditionalFormatting sqref="CK4:CK34">
    <cfRule type="expression" dxfId="783" priority="37">
      <formula>$CK4="休業"</formula>
    </cfRule>
    <cfRule type="expression" dxfId="782" priority="36">
      <formula>$CK4="有給"</formula>
    </cfRule>
  </conditionalFormatting>
  <conditionalFormatting sqref="CP4:CP34">
    <cfRule type="expression" dxfId="781" priority="38">
      <formula>$CP4="有給"</formula>
    </cfRule>
    <cfRule type="expression" dxfId="780" priority="39">
      <formula>$CP4="休業"</formula>
    </cfRule>
  </conditionalFormatting>
  <conditionalFormatting sqref="CU4:CU34">
    <cfRule type="expression" dxfId="779" priority="40">
      <formula>$CU4="有給"</formula>
    </cfRule>
    <cfRule type="expression" dxfId="778" priority="41">
      <formula>$CU4="休業"</formula>
    </cfRule>
  </conditionalFormatting>
  <conditionalFormatting sqref="CZ4:CZ34">
    <cfRule type="expression" dxfId="777" priority="42">
      <formula>$CZ4="有給"</formula>
    </cfRule>
    <cfRule type="expression" dxfId="776" priority="43">
      <formula>$CZ4="休業"</formula>
    </cfRule>
  </conditionalFormatting>
  <conditionalFormatting sqref="DE4:DE34">
    <cfRule type="expression" dxfId="775" priority="44">
      <formula>$DE4="有給"</formula>
    </cfRule>
    <cfRule type="expression" dxfId="774" priority="45">
      <formula>$DE4="休業"</formula>
    </cfRule>
  </conditionalFormatting>
  <conditionalFormatting sqref="DJ4:DJ34">
    <cfRule type="expression" dxfId="773" priority="46">
      <formula>$DJ4="有給"</formula>
    </cfRule>
    <cfRule type="expression" dxfId="772" priority="47">
      <formula>$DJ4="休業"</formula>
    </cfRule>
  </conditionalFormatting>
  <conditionalFormatting sqref="DO4:DO34">
    <cfRule type="expression" dxfId="771" priority="48">
      <formula>$DO4="有給"</formula>
    </cfRule>
    <cfRule type="expression" dxfId="770" priority="49">
      <formula>$DO4="休業"</formula>
    </cfRule>
  </conditionalFormatting>
  <conditionalFormatting sqref="DT4:DT34">
    <cfRule type="expression" dxfId="769" priority="51">
      <formula>$DT4="休業"</formula>
    </cfRule>
    <cfRule type="expression" dxfId="768" priority="50">
      <formula>$DT4="有給"</formula>
    </cfRule>
  </conditionalFormatting>
  <conditionalFormatting sqref="DY4:DY34">
    <cfRule type="expression" dxfId="767" priority="52">
      <formula>$DY4="有給"</formula>
    </cfRule>
    <cfRule type="expression" dxfId="766" priority="53">
      <formula>$DY4="休業"</formula>
    </cfRule>
  </conditionalFormatting>
  <conditionalFormatting sqref="ED4:ED34">
    <cfRule type="expression" dxfId="765" priority="54">
      <formula>$ED4="有給"</formula>
    </cfRule>
    <cfRule type="expression" dxfId="764" priority="55">
      <formula>$ED4="休業"</formula>
    </cfRule>
  </conditionalFormatting>
  <conditionalFormatting sqref="EI4:EI34">
    <cfRule type="expression" dxfId="763" priority="56">
      <formula>$EI4="有給"</formula>
    </cfRule>
    <cfRule type="expression" dxfId="762" priority="57">
      <formula>$EI4="休業"</formula>
    </cfRule>
  </conditionalFormatting>
  <conditionalFormatting sqref="EN4:EN34">
    <cfRule type="expression" dxfId="761" priority="58">
      <formula>$EN4="有給"</formula>
    </cfRule>
    <cfRule type="expression" dxfId="760" priority="59">
      <formula>$EN4="休業"</formula>
    </cfRule>
  </conditionalFormatting>
  <conditionalFormatting sqref="ES4:ES34">
    <cfRule type="expression" dxfId="759" priority="60">
      <formula>$ES4="有給"</formula>
    </cfRule>
    <cfRule type="expression" dxfId="758" priority="61">
      <formula>$ES4="休業"</formula>
    </cfRule>
  </conditionalFormatting>
  <pageMargins left="0.31496062992125984" right="0.31496062992125984" top="0.98425196850393704" bottom="0.98425196850393704" header="0.51181102362204722" footer="0.51181102362204722"/>
  <pageSetup paperSize="8" scale="14" orientation="landscape" horizontalDpi="300" verticalDpi="300" r:id="rId1"/>
  <headerFooter>
    <oddFooter>&amp;C&amp;"ＭＳ Ｐゴシック,標準"制作：有限会社水越設備&amp;Rsp-mizukoshi.jp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00000000-0002-0000-0400-000000000000}">
          <x14:formula1>
            <xm:f>現場マスタ!$C$4:$C$43</xm:f>
          </x14:formula1>
          <x14:formula2>
            <xm:f>0</xm:f>
          </x14:formula2>
          <xm:sqref>D4:E34 I4:J34 N4:O34 S4:T34 X4:Y34 AC4:AD34 AH4:AI34 AM4:AN34 AR4:AS34 AW4:AX34 BB4:BC34 BG4:BH34 BL4:BM34 BQ4:BR34 BV4:BW34 CA4:CB34 CF4:CG34 CK4:CL34 CP4:CQ34 CU4:CV34 CZ4:DA34 DE4:DF34 DJ4:DK34 DO4:DP34 DT4:DU34 DY4:DZ34 ED4:EE34 EI4:EJ34 EN4:EO34 ES4:ET34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EW40"/>
  <sheetViews>
    <sheetView zoomScaleNormal="100" workbookViewId="0">
      <pane xSplit="3" ySplit="3" topLeftCell="D4" activePane="bottomRight" state="frozen"/>
      <selection sqref="A1:EW1"/>
      <selection pane="topRight" sqref="A1:EW1"/>
      <selection pane="bottomLeft" sqref="A1:EW1"/>
      <selection pane="bottomRight" sqref="A1:EW1"/>
    </sheetView>
  </sheetViews>
  <sheetFormatPr defaultColWidth="8.7109375" defaultRowHeight="15"/>
  <cols>
    <col min="1" max="1" width="5" customWidth="1"/>
    <col min="2" max="3" width="4" customWidth="1"/>
    <col min="4" max="5" width="13" customWidth="1"/>
    <col min="6" max="7" width="6" customWidth="1"/>
    <col min="8" max="8" width="7" customWidth="1"/>
    <col min="9" max="10" width="13" customWidth="1"/>
    <col min="11" max="12" width="6" customWidth="1"/>
    <col min="13" max="13" width="7" customWidth="1"/>
    <col min="14" max="15" width="13" customWidth="1"/>
    <col min="16" max="17" width="6" customWidth="1"/>
    <col min="18" max="18" width="7" customWidth="1"/>
    <col min="19" max="20" width="13" customWidth="1"/>
    <col min="21" max="22" width="6" customWidth="1"/>
    <col min="23" max="23" width="7" customWidth="1"/>
    <col min="24" max="25" width="13" customWidth="1"/>
    <col min="26" max="27" width="6" customWidth="1"/>
    <col min="28" max="28" width="7" customWidth="1"/>
    <col min="29" max="30" width="13" customWidth="1"/>
    <col min="31" max="32" width="6" customWidth="1"/>
    <col min="33" max="33" width="7" customWidth="1"/>
    <col min="34" max="35" width="13" customWidth="1"/>
    <col min="36" max="37" width="6" customWidth="1"/>
    <col min="38" max="38" width="7" customWidth="1"/>
    <col min="39" max="40" width="13" customWidth="1"/>
    <col min="41" max="42" width="6" customWidth="1"/>
    <col min="43" max="43" width="7" customWidth="1"/>
    <col min="44" max="45" width="13" customWidth="1"/>
    <col min="46" max="47" width="6" customWidth="1"/>
    <col min="48" max="48" width="7" customWidth="1"/>
    <col min="49" max="50" width="13" customWidth="1"/>
    <col min="51" max="52" width="6" customWidth="1"/>
    <col min="53" max="53" width="7" customWidth="1"/>
    <col min="54" max="55" width="13" customWidth="1"/>
    <col min="56" max="57" width="6" customWidth="1"/>
    <col min="58" max="58" width="7" customWidth="1"/>
    <col min="59" max="60" width="13" customWidth="1"/>
    <col min="61" max="62" width="6" customWidth="1"/>
    <col min="63" max="63" width="7" customWidth="1"/>
    <col min="64" max="65" width="13" customWidth="1"/>
    <col min="66" max="67" width="6" customWidth="1"/>
    <col min="68" max="68" width="7" customWidth="1"/>
    <col min="69" max="70" width="13" customWidth="1"/>
    <col min="71" max="72" width="6" customWidth="1"/>
    <col min="73" max="73" width="7" customWidth="1"/>
    <col min="74" max="75" width="13" customWidth="1"/>
    <col min="76" max="77" width="6" customWidth="1"/>
    <col min="78" max="78" width="7" customWidth="1"/>
    <col min="79" max="80" width="13" customWidth="1"/>
    <col min="81" max="82" width="6" customWidth="1"/>
    <col min="83" max="83" width="7" customWidth="1"/>
    <col min="84" max="85" width="13" customWidth="1"/>
    <col min="86" max="87" width="6" customWidth="1"/>
    <col min="88" max="88" width="7" customWidth="1"/>
    <col min="89" max="90" width="13" customWidth="1"/>
    <col min="91" max="92" width="6" customWidth="1"/>
    <col min="93" max="93" width="7" customWidth="1"/>
    <col min="94" max="95" width="13" customWidth="1"/>
    <col min="96" max="97" width="6" customWidth="1"/>
    <col min="98" max="98" width="7" customWidth="1"/>
    <col min="99" max="100" width="13" customWidth="1"/>
    <col min="101" max="102" width="6" customWidth="1"/>
    <col min="103" max="103" width="7" customWidth="1"/>
    <col min="104" max="105" width="13" customWidth="1"/>
    <col min="106" max="107" width="6" customWidth="1"/>
    <col min="108" max="108" width="7" customWidth="1"/>
    <col min="109" max="110" width="13" customWidth="1"/>
    <col min="111" max="112" width="6" customWidth="1"/>
    <col min="113" max="113" width="7" customWidth="1"/>
    <col min="114" max="115" width="13" customWidth="1"/>
    <col min="116" max="117" width="6" customWidth="1"/>
    <col min="118" max="118" width="7" customWidth="1"/>
    <col min="119" max="120" width="13" customWidth="1"/>
    <col min="121" max="122" width="6" customWidth="1"/>
    <col min="123" max="123" width="7" customWidth="1"/>
    <col min="124" max="125" width="13" customWidth="1"/>
    <col min="126" max="127" width="6" customWidth="1"/>
    <col min="128" max="128" width="7" customWidth="1"/>
    <col min="129" max="130" width="13" customWidth="1"/>
    <col min="131" max="132" width="6" customWidth="1"/>
    <col min="133" max="133" width="7" customWidth="1"/>
    <col min="134" max="135" width="13" customWidth="1"/>
    <col min="136" max="137" width="6" customWidth="1"/>
    <col min="138" max="138" width="7" customWidth="1"/>
    <col min="139" max="140" width="13" customWidth="1"/>
    <col min="141" max="142" width="6" customWidth="1"/>
    <col min="143" max="143" width="7" customWidth="1"/>
    <col min="144" max="145" width="13" customWidth="1"/>
    <col min="146" max="147" width="6" customWidth="1"/>
    <col min="148" max="148" width="7" customWidth="1"/>
    <col min="149" max="150" width="13" customWidth="1"/>
    <col min="151" max="152" width="6" customWidth="1"/>
    <col min="153" max="153" width="7" customWidth="1"/>
  </cols>
  <sheetData>
    <row r="1" spans="1:153" ht="36" customHeight="1">
      <c r="A1" s="96" t="str">
        <f>" "&amp;対象年度&amp;"年 2月分　出面表　"</f>
        <v xml:space="preserve"> 2026年 2月分　出面表　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Y1" s="96"/>
      <c r="BZ1" s="96"/>
      <c r="CA1" s="96"/>
      <c r="CB1" s="96"/>
      <c r="CC1" s="96"/>
      <c r="CD1" s="96"/>
      <c r="CE1" s="96"/>
      <c r="CF1" s="96"/>
      <c r="CG1" s="96"/>
      <c r="CH1" s="96"/>
      <c r="CI1" s="96"/>
      <c r="CJ1" s="96"/>
      <c r="CK1" s="96"/>
      <c r="CL1" s="96"/>
      <c r="CM1" s="96"/>
      <c r="CN1" s="96"/>
      <c r="CO1" s="96"/>
      <c r="CP1" s="96"/>
      <c r="CQ1" s="96"/>
      <c r="CR1" s="96"/>
      <c r="CS1" s="96"/>
      <c r="CT1" s="96"/>
      <c r="CU1" s="96"/>
      <c r="CV1" s="96"/>
      <c r="CW1" s="96"/>
      <c r="CX1" s="96"/>
      <c r="CY1" s="96"/>
      <c r="CZ1" s="96"/>
      <c r="DA1" s="96"/>
      <c r="DB1" s="96"/>
      <c r="DC1" s="96"/>
      <c r="DD1" s="96"/>
      <c r="DE1" s="96"/>
      <c r="DF1" s="96"/>
      <c r="DG1" s="96"/>
      <c r="DH1" s="96"/>
      <c r="DI1" s="96"/>
      <c r="DJ1" s="96"/>
      <c r="DK1" s="96"/>
      <c r="DL1" s="96"/>
      <c r="DM1" s="96"/>
      <c r="DN1" s="96"/>
      <c r="DO1" s="96"/>
      <c r="DP1" s="96"/>
      <c r="DQ1" s="96"/>
      <c r="DR1" s="96"/>
      <c r="DS1" s="96"/>
      <c r="DT1" s="96"/>
      <c r="DU1" s="96"/>
      <c r="DV1" s="96"/>
      <c r="DW1" s="96"/>
      <c r="DX1" s="96"/>
      <c r="DY1" s="96"/>
      <c r="DZ1" s="96"/>
      <c r="EA1" s="96"/>
      <c r="EB1" s="96"/>
      <c r="EC1" s="96"/>
      <c r="ED1" s="96"/>
      <c r="EE1" s="96"/>
      <c r="EF1" s="96"/>
      <c r="EG1" s="96"/>
      <c r="EH1" s="96"/>
      <c r="EI1" s="96"/>
      <c r="EJ1" s="96"/>
      <c r="EK1" s="96"/>
      <c r="EL1" s="96"/>
      <c r="EM1" s="96"/>
      <c r="EN1" s="96"/>
      <c r="EO1" s="96"/>
      <c r="EP1" s="96"/>
      <c r="EQ1" s="96"/>
      <c r="ER1" s="96"/>
      <c r="ES1" s="96"/>
      <c r="ET1" s="96"/>
      <c r="EU1" s="96"/>
      <c r="EV1" s="96"/>
      <c r="EW1" s="96"/>
    </row>
    <row r="2" spans="1:153" ht="25.5" customHeight="1">
      <c r="A2" s="21"/>
      <c r="B2" s="21"/>
      <c r="C2" s="21"/>
      <c r="D2" s="97" t="str">
        <f>IFERROR(IF(従業員マスタ!$C$4="","",対象年度&amp;"年2月　"&amp;従業員マスタ!$C$4),"")</f>
        <v>2026年2月　代表 太郎</v>
      </c>
      <c r="E2" s="97"/>
      <c r="F2" s="97"/>
      <c r="G2" s="97"/>
      <c r="H2" s="97"/>
      <c r="I2" s="97" t="str">
        <f>IFERROR(IF(従業員マスタ!$C$5="","",対象年度&amp;"年2月　"&amp;従業員マスタ!$C$5),"")</f>
        <v>2026年2月　専務 次郎</v>
      </c>
      <c r="J2" s="97"/>
      <c r="K2" s="97"/>
      <c r="L2" s="97"/>
      <c r="M2" s="97"/>
      <c r="N2" s="97" t="str">
        <f>IFERROR(IF(従業員マスタ!$C$6="","",対象年度&amp;"年2月　"&amp;従業員マスタ!$C$6),"")</f>
        <v>2026年2月　山田 一郎</v>
      </c>
      <c r="O2" s="97"/>
      <c r="P2" s="97"/>
      <c r="Q2" s="97"/>
      <c r="R2" s="97"/>
      <c r="S2" s="97" t="str">
        <f>IFERROR(IF(従業員マスタ!$C$7="","",対象年度&amp;"年2月　"&amp;従業員マスタ!$C$7),"")</f>
        <v>2026年2月　鈴木 二郎</v>
      </c>
      <c r="T2" s="97"/>
      <c r="U2" s="97"/>
      <c r="V2" s="97"/>
      <c r="W2" s="97"/>
      <c r="X2" s="97" t="str">
        <f>IFERROR(IF(従業員マスタ!$C$8="","",対象年度&amp;"年2月　"&amp;従業員マスタ!$C$8),"")</f>
        <v>2026年2月　佐藤 三郎</v>
      </c>
      <c r="Y2" s="97"/>
      <c r="Z2" s="97"/>
      <c r="AA2" s="97"/>
      <c r="AB2" s="97"/>
      <c r="AC2" s="97" t="str">
        <f>IFERROR(IF(従業員マスタ!$C$9="","",対象年度&amp;"年2月　"&amp;従業員マスタ!$C$9),"")</f>
        <v>2026年2月　高橋 四郎</v>
      </c>
      <c r="AD2" s="97"/>
      <c r="AE2" s="97"/>
      <c r="AF2" s="97"/>
      <c r="AG2" s="97"/>
      <c r="AH2" s="97" t="str">
        <f>IFERROR(IF(従業員マスタ!$C$10="","",対象年度&amp;"年2月　"&amp;従業員マスタ!$C$10),"")</f>
        <v>2026年2月　田中 五郎</v>
      </c>
      <c r="AI2" s="97"/>
      <c r="AJ2" s="97"/>
      <c r="AK2" s="97"/>
      <c r="AL2" s="97"/>
      <c r="AM2" s="97" t="str">
        <f>IFERROR(IF(従業員マスタ!$C$11="","",対象年度&amp;"年2月　"&amp;従業員マスタ!$C$11),"")</f>
        <v>2026年2月　伊藤 六郎</v>
      </c>
      <c r="AN2" s="97"/>
      <c r="AO2" s="97"/>
      <c r="AP2" s="97"/>
      <c r="AQ2" s="97"/>
      <c r="AR2" s="97" t="str">
        <f>IFERROR(IF(従業員マスタ!$C$12="","",対象年度&amp;"年2月　"&amp;従業員マスタ!$C$12),"")</f>
        <v>2026年2月　渡辺 七郎</v>
      </c>
      <c r="AS2" s="97"/>
      <c r="AT2" s="97"/>
      <c r="AU2" s="97"/>
      <c r="AV2" s="97"/>
      <c r="AW2" s="97" t="str">
        <f>IFERROR(IF(従業員マスタ!$C$13="","",対象年度&amp;"年2月　"&amp;従業員マスタ!$C$13),"")</f>
        <v>2026年2月　中村 八郎</v>
      </c>
      <c r="AX2" s="97"/>
      <c r="AY2" s="97"/>
      <c r="AZ2" s="97"/>
      <c r="BA2" s="97"/>
      <c r="BB2" s="97" t="str">
        <f>IFERROR(IF(従業員マスタ!$C$14="","",対象年度&amp;"年2月　"&amp;従業員マスタ!$C$14),"")</f>
        <v>2026年2月　小林 九郎</v>
      </c>
      <c r="BC2" s="97"/>
      <c r="BD2" s="97"/>
      <c r="BE2" s="97"/>
      <c r="BF2" s="97"/>
      <c r="BG2" s="97" t="str">
        <f>IFERROR(IF(従業員マスタ!$C$15="","",対象年度&amp;"年2月　"&amp;従業員マスタ!$C$15),"")</f>
        <v>2026年2月　加藤 十郎</v>
      </c>
      <c r="BH2" s="97"/>
      <c r="BI2" s="97"/>
      <c r="BJ2" s="97"/>
      <c r="BK2" s="97"/>
      <c r="BL2" s="97" t="str">
        <f>IFERROR(IF(従業員マスタ!$C$16="","",対象年度&amp;"年2月　"&amp;従業員マスタ!$C$16),"")</f>
        <v/>
      </c>
      <c r="BM2" s="97"/>
      <c r="BN2" s="97"/>
      <c r="BO2" s="97"/>
      <c r="BP2" s="97"/>
      <c r="BQ2" s="97" t="str">
        <f>IFERROR(IF(従業員マスタ!$C$17="","",対象年度&amp;"年2月　"&amp;従業員マスタ!$C$17),"")</f>
        <v/>
      </c>
      <c r="BR2" s="97"/>
      <c r="BS2" s="97"/>
      <c r="BT2" s="97"/>
      <c r="BU2" s="97"/>
      <c r="BV2" s="97" t="str">
        <f>IFERROR(IF(従業員マスタ!$C$18="","",対象年度&amp;"年2月　"&amp;従業員マスタ!$C$18),"")</f>
        <v/>
      </c>
      <c r="BW2" s="97"/>
      <c r="BX2" s="97"/>
      <c r="BY2" s="97"/>
      <c r="BZ2" s="97"/>
      <c r="CA2" s="97" t="str">
        <f>IFERROR(IF(従業員マスタ!$C$19="","",対象年度&amp;"年2月　"&amp;従業員マスタ!$C$19),"")</f>
        <v/>
      </c>
      <c r="CB2" s="97"/>
      <c r="CC2" s="97"/>
      <c r="CD2" s="97"/>
      <c r="CE2" s="97"/>
      <c r="CF2" s="97" t="str">
        <f>IFERROR(IF(従業員マスタ!$C$20="","",対象年度&amp;"年2月　"&amp;従業員マスタ!$C$20),"")</f>
        <v/>
      </c>
      <c r="CG2" s="97"/>
      <c r="CH2" s="97"/>
      <c r="CI2" s="97"/>
      <c r="CJ2" s="97"/>
      <c r="CK2" s="97" t="str">
        <f>IFERROR(IF(従業員マスタ!$C$21="","",対象年度&amp;"年2月　"&amp;従業員マスタ!$C$21),"")</f>
        <v/>
      </c>
      <c r="CL2" s="97"/>
      <c r="CM2" s="97"/>
      <c r="CN2" s="97"/>
      <c r="CO2" s="97"/>
      <c r="CP2" s="97" t="str">
        <f>IFERROR(IF(従業員マスタ!$C$22="","",対象年度&amp;"年2月　"&amp;従業員マスタ!$C$22),"")</f>
        <v/>
      </c>
      <c r="CQ2" s="97"/>
      <c r="CR2" s="97"/>
      <c r="CS2" s="97"/>
      <c r="CT2" s="97"/>
      <c r="CU2" s="97" t="str">
        <f>IFERROR(IF(従業員マスタ!$C$23="","",対象年度&amp;"年2月　"&amp;従業員マスタ!$C$23),"")</f>
        <v/>
      </c>
      <c r="CV2" s="97"/>
      <c r="CW2" s="97"/>
      <c r="CX2" s="97"/>
      <c r="CY2" s="97"/>
      <c r="CZ2" s="97" t="str">
        <f>IFERROR(IF(従業員マスタ!$C$24="","",対象年度&amp;"年2月　"&amp;従業員マスタ!$C$24),"")</f>
        <v/>
      </c>
      <c r="DA2" s="97"/>
      <c r="DB2" s="97"/>
      <c r="DC2" s="97"/>
      <c r="DD2" s="97"/>
      <c r="DE2" s="97" t="str">
        <f>IFERROR(IF(従業員マスタ!$C$25="","",対象年度&amp;"年2月　"&amp;従業員マスタ!$C$25),"")</f>
        <v/>
      </c>
      <c r="DF2" s="97"/>
      <c r="DG2" s="97"/>
      <c r="DH2" s="97"/>
      <c r="DI2" s="97"/>
      <c r="DJ2" s="97" t="str">
        <f>IFERROR(IF(従業員マスタ!$C$26="","",対象年度&amp;"年2月　"&amp;従業員マスタ!$C$26),"")</f>
        <v/>
      </c>
      <c r="DK2" s="97"/>
      <c r="DL2" s="97"/>
      <c r="DM2" s="97"/>
      <c r="DN2" s="97"/>
      <c r="DO2" s="97" t="str">
        <f>IFERROR(IF(従業員マスタ!$C$27="","",対象年度&amp;"年2月　"&amp;従業員マスタ!$C$27),"")</f>
        <v/>
      </c>
      <c r="DP2" s="97"/>
      <c r="DQ2" s="97"/>
      <c r="DR2" s="97"/>
      <c r="DS2" s="97"/>
      <c r="DT2" s="97" t="str">
        <f>IFERROR(IF(従業員マスタ!$C$28="","",対象年度&amp;"年2月　"&amp;従業員マスタ!$C$28),"")</f>
        <v/>
      </c>
      <c r="DU2" s="97"/>
      <c r="DV2" s="97"/>
      <c r="DW2" s="97"/>
      <c r="DX2" s="97"/>
      <c r="DY2" s="97" t="str">
        <f>IFERROR(IF(従業員マスタ!$C$29="","",対象年度&amp;"年2月　"&amp;従業員マスタ!$C$29),"")</f>
        <v/>
      </c>
      <c r="DZ2" s="97"/>
      <c r="EA2" s="97"/>
      <c r="EB2" s="97"/>
      <c r="EC2" s="97"/>
      <c r="ED2" s="97" t="str">
        <f>IFERROR(IF(従業員マスタ!$C$30="","",対象年度&amp;"年2月　"&amp;従業員マスタ!$C$30),"")</f>
        <v/>
      </c>
      <c r="EE2" s="97"/>
      <c r="EF2" s="97"/>
      <c r="EG2" s="97"/>
      <c r="EH2" s="97"/>
      <c r="EI2" s="97" t="str">
        <f>IFERROR(IF(従業員マスタ!$C$31="","",対象年度&amp;"年2月　"&amp;従業員マスタ!$C$31),"")</f>
        <v/>
      </c>
      <c r="EJ2" s="97"/>
      <c r="EK2" s="97"/>
      <c r="EL2" s="97"/>
      <c r="EM2" s="97"/>
      <c r="EN2" s="97" t="str">
        <f>IFERROR(IF(従業員マスタ!$C$32="","",対象年度&amp;"年2月　"&amp;従業員マスタ!$C$32),"")</f>
        <v/>
      </c>
      <c r="EO2" s="97"/>
      <c r="EP2" s="97"/>
      <c r="EQ2" s="97"/>
      <c r="ER2" s="97"/>
      <c r="ES2" s="97" t="str">
        <f>IFERROR(IF(従業員マスタ!$C$33="","",対象年度&amp;"年2月　"&amp;従業員マスタ!$C$33),"")</f>
        <v/>
      </c>
      <c r="ET2" s="97"/>
      <c r="EU2" s="97"/>
      <c r="EV2" s="97"/>
      <c r="EW2" s="97"/>
    </row>
    <row r="3" spans="1:153" ht="24" customHeight="1">
      <c r="A3" s="22" t="s">
        <v>108</v>
      </c>
      <c r="B3" s="22" t="s">
        <v>109</v>
      </c>
      <c r="C3" s="22" t="s">
        <v>110</v>
      </c>
      <c r="D3" s="23" t="s">
        <v>111</v>
      </c>
      <c r="E3" s="24" t="s">
        <v>112</v>
      </c>
      <c r="F3" s="22" t="s">
        <v>113</v>
      </c>
      <c r="G3" s="22" t="s">
        <v>114</v>
      </c>
      <c r="H3" s="25" t="s">
        <v>115</v>
      </c>
      <c r="I3" s="23" t="s">
        <v>111</v>
      </c>
      <c r="J3" s="24" t="s">
        <v>112</v>
      </c>
      <c r="K3" s="22" t="s">
        <v>113</v>
      </c>
      <c r="L3" s="22" t="s">
        <v>114</v>
      </c>
      <c r="M3" s="25" t="s">
        <v>115</v>
      </c>
      <c r="N3" s="23" t="s">
        <v>111</v>
      </c>
      <c r="O3" s="24" t="s">
        <v>112</v>
      </c>
      <c r="P3" s="22" t="s">
        <v>113</v>
      </c>
      <c r="Q3" s="22" t="s">
        <v>114</v>
      </c>
      <c r="R3" s="25" t="s">
        <v>115</v>
      </c>
      <c r="S3" s="23" t="s">
        <v>111</v>
      </c>
      <c r="T3" s="24" t="s">
        <v>112</v>
      </c>
      <c r="U3" s="22" t="s">
        <v>113</v>
      </c>
      <c r="V3" s="22" t="s">
        <v>114</v>
      </c>
      <c r="W3" s="25" t="s">
        <v>115</v>
      </c>
      <c r="X3" s="23" t="s">
        <v>111</v>
      </c>
      <c r="Y3" s="24" t="s">
        <v>112</v>
      </c>
      <c r="Z3" s="22" t="s">
        <v>113</v>
      </c>
      <c r="AA3" s="22" t="s">
        <v>114</v>
      </c>
      <c r="AB3" s="25" t="s">
        <v>115</v>
      </c>
      <c r="AC3" s="23" t="s">
        <v>111</v>
      </c>
      <c r="AD3" s="24" t="s">
        <v>112</v>
      </c>
      <c r="AE3" s="22" t="s">
        <v>113</v>
      </c>
      <c r="AF3" s="22" t="s">
        <v>114</v>
      </c>
      <c r="AG3" s="25" t="s">
        <v>115</v>
      </c>
      <c r="AH3" s="23" t="s">
        <v>111</v>
      </c>
      <c r="AI3" s="24" t="s">
        <v>112</v>
      </c>
      <c r="AJ3" s="22" t="s">
        <v>113</v>
      </c>
      <c r="AK3" s="22" t="s">
        <v>114</v>
      </c>
      <c r="AL3" s="25" t="s">
        <v>115</v>
      </c>
      <c r="AM3" s="23" t="s">
        <v>111</v>
      </c>
      <c r="AN3" s="24" t="s">
        <v>112</v>
      </c>
      <c r="AO3" s="22" t="s">
        <v>113</v>
      </c>
      <c r="AP3" s="22" t="s">
        <v>114</v>
      </c>
      <c r="AQ3" s="25" t="s">
        <v>115</v>
      </c>
      <c r="AR3" s="23" t="s">
        <v>111</v>
      </c>
      <c r="AS3" s="24" t="s">
        <v>112</v>
      </c>
      <c r="AT3" s="22" t="s">
        <v>113</v>
      </c>
      <c r="AU3" s="22" t="s">
        <v>114</v>
      </c>
      <c r="AV3" s="25" t="s">
        <v>115</v>
      </c>
      <c r="AW3" s="23" t="s">
        <v>111</v>
      </c>
      <c r="AX3" s="24" t="s">
        <v>112</v>
      </c>
      <c r="AY3" s="22" t="s">
        <v>113</v>
      </c>
      <c r="AZ3" s="22" t="s">
        <v>114</v>
      </c>
      <c r="BA3" s="25" t="s">
        <v>115</v>
      </c>
      <c r="BB3" s="23" t="s">
        <v>111</v>
      </c>
      <c r="BC3" s="24" t="s">
        <v>112</v>
      </c>
      <c r="BD3" s="22" t="s">
        <v>113</v>
      </c>
      <c r="BE3" s="22" t="s">
        <v>114</v>
      </c>
      <c r="BF3" s="25" t="s">
        <v>115</v>
      </c>
      <c r="BG3" s="23" t="s">
        <v>111</v>
      </c>
      <c r="BH3" s="24" t="s">
        <v>112</v>
      </c>
      <c r="BI3" s="22" t="s">
        <v>113</v>
      </c>
      <c r="BJ3" s="22" t="s">
        <v>114</v>
      </c>
      <c r="BK3" s="25" t="s">
        <v>115</v>
      </c>
      <c r="BL3" s="23" t="s">
        <v>111</v>
      </c>
      <c r="BM3" s="24" t="s">
        <v>112</v>
      </c>
      <c r="BN3" s="22" t="s">
        <v>113</v>
      </c>
      <c r="BO3" s="22" t="s">
        <v>114</v>
      </c>
      <c r="BP3" s="25" t="s">
        <v>115</v>
      </c>
      <c r="BQ3" s="23" t="s">
        <v>111</v>
      </c>
      <c r="BR3" s="24" t="s">
        <v>112</v>
      </c>
      <c r="BS3" s="22" t="s">
        <v>113</v>
      </c>
      <c r="BT3" s="22" t="s">
        <v>114</v>
      </c>
      <c r="BU3" s="25" t="s">
        <v>115</v>
      </c>
      <c r="BV3" s="23" t="s">
        <v>111</v>
      </c>
      <c r="BW3" s="24" t="s">
        <v>112</v>
      </c>
      <c r="BX3" s="22" t="s">
        <v>113</v>
      </c>
      <c r="BY3" s="22" t="s">
        <v>114</v>
      </c>
      <c r="BZ3" s="25" t="s">
        <v>115</v>
      </c>
      <c r="CA3" s="23" t="s">
        <v>111</v>
      </c>
      <c r="CB3" s="24" t="s">
        <v>112</v>
      </c>
      <c r="CC3" s="22" t="s">
        <v>113</v>
      </c>
      <c r="CD3" s="22" t="s">
        <v>114</v>
      </c>
      <c r="CE3" s="25" t="s">
        <v>115</v>
      </c>
      <c r="CF3" s="23" t="s">
        <v>111</v>
      </c>
      <c r="CG3" s="24" t="s">
        <v>112</v>
      </c>
      <c r="CH3" s="22" t="s">
        <v>113</v>
      </c>
      <c r="CI3" s="22" t="s">
        <v>114</v>
      </c>
      <c r="CJ3" s="25" t="s">
        <v>115</v>
      </c>
      <c r="CK3" s="23" t="s">
        <v>111</v>
      </c>
      <c r="CL3" s="24" t="s">
        <v>112</v>
      </c>
      <c r="CM3" s="22" t="s">
        <v>113</v>
      </c>
      <c r="CN3" s="22" t="s">
        <v>114</v>
      </c>
      <c r="CO3" s="25" t="s">
        <v>115</v>
      </c>
      <c r="CP3" s="23" t="s">
        <v>111</v>
      </c>
      <c r="CQ3" s="24" t="s">
        <v>112</v>
      </c>
      <c r="CR3" s="22" t="s">
        <v>113</v>
      </c>
      <c r="CS3" s="22" t="s">
        <v>114</v>
      </c>
      <c r="CT3" s="25" t="s">
        <v>115</v>
      </c>
      <c r="CU3" s="23" t="s">
        <v>111</v>
      </c>
      <c r="CV3" s="24" t="s">
        <v>112</v>
      </c>
      <c r="CW3" s="22" t="s">
        <v>113</v>
      </c>
      <c r="CX3" s="22" t="s">
        <v>114</v>
      </c>
      <c r="CY3" s="25" t="s">
        <v>115</v>
      </c>
      <c r="CZ3" s="23" t="s">
        <v>111</v>
      </c>
      <c r="DA3" s="24" t="s">
        <v>112</v>
      </c>
      <c r="DB3" s="22" t="s">
        <v>113</v>
      </c>
      <c r="DC3" s="22" t="s">
        <v>114</v>
      </c>
      <c r="DD3" s="25" t="s">
        <v>115</v>
      </c>
      <c r="DE3" s="23" t="s">
        <v>111</v>
      </c>
      <c r="DF3" s="24" t="s">
        <v>112</v>
      </c>
      <c r="DG3" s="22" t="s">
        <v>113</v>
      </c>
      <c r="DH3" s="22" t="s">
        <v>114</v>
      </c>
      <c r="DI3" s="25" t="s">
        <v>115</v>
      </c>
      <c r="DJ3" s="23" t="s">
        <v>111</v>
      </c>
      <c r="DK3" s="24" t="s">
        <v>112</v>
      </c>
      <c r="DL3" s="22" t="s">
        <v>113</v>
      </c>
      <c r="DM3" s="22" t="s">
        <v>114</v>
      </c>
      <c r="DN3" s="25" t="s">
        <v>115</v>
      </c>
      <c r="DO3" s="23" t="s">
        <v>111</v>
      </c>
      <c r="DP3" s="24" t="s">
        <v>112</v>
      </c>
      <c r="DQ3" s="22" t="s">
        <v>113</v>
      </c>
      <c r="DR3" s="22" t="s">
        <v>114</v>
      </c>
      <c r="DS3" s="25" t="s">
        <v>115</v>
      </c>
      <c r="DT3" s="23" t="s">
        <v>111</v>
      </c>
      <c r="DU3" s="24" t="s">
        <v>112</v>
      </c>
      <c r="DV3" s="22" t="s">
        <v>113</v>
      </c>
      <c r="DW3" s="22" t="s">
        <v>114</v>
      </c>
      <c r="DX3" s="25" t="s">
        <v>115</v>
      </c>
      <c r="DY3" s="23" t="s">
        <v>111</v>
      </c>
      <c r="DZ3" s="24" t="s">
        <v>112</v>
      </c>
      <c r="EA3" s="22" t="s">
        <v>113</v>
      </c>
      <c r="EB3" s="22" t="s">
        <v>114</v>
      </c>
      <c r="EC3" s="25" t="s">
        <v>115</v>
      </c>
      <c r="ED3" s="23" t="s">
        <v>111</v>
      </c>
      <c r="EE3" s="24" t="s">
        <v>112</v>
      </c>
      <c r="EF3" s="22" t="s">
        <v>113</v>
      </c>
      <c r="EG3" s="22" t="s">
        <v>114</v>
      </c>
      <c r="EH3" s="25" t="s">
        <v>115</v>
      </c>
      <c r="EI3" s="23" t="s">
        <v>111</v>
      </c>
      <c r="EJ3" s="24" t="s">
        <v>112</v>
      </c>
      <c r="EK3" s="22" t="s">
        <v>113</v>
      </c>
      <c r="EL3" s="22" t="s">
        <v>114</v>
      </c>
      <c r="EM3" s="25" t="s">
        <v>115</v>
      </c>
      <c r="EN3" s="23" t="s">
        <v>111</v>
      </c>
      <c r="EO3" s="24" t="s">
        <v>112</v>
      </c>
      <c r="EP3" s="22" t="s">
        <v>113</v>
      </c>
      <c r="EQ3" s="22" t="s">
        <v>114</v>
      </c>
      <c r="ER3" s="25" t="s">
        <v>115</v>
      </c>
      <c r="ES3" s="23" t="s">
        <v>111</v>
      </c>
      <c r="ET3" s="24" t="s">
        <v>112</v>
      </c>
      <c r="EU3" s="22" t="s">
        <v>113</v>
      </c>
      <c r="EV3" s="22" t="s">
        <v>114</v>
      </c>
      <c r="EW3" s="25" t="s">
        <v>115</v>
      </c>
    </row>
    <row r="4" spans="1:153" ht="19.5" customHeight="1">
      <c r="A4" s="26">
        <f>IF(DAY(DATE(対象年度,2,1))&lt;&gt;1,"",1)</f>
        <v>1</v>
      </c>
      <c r="B4" s="26" t="str">
        <f>IF(DAY(DATE(対象年度,2,1))&lt;&gt;1,"",CHOOSE(WEEKDAY(DATE(対象年度,2,1),2),"月","火","水","木","金","土","日"))</f>
        <v>日</v>
      </c>
      <c r="C4" s="26" t="str">
        <f>IF(DAY(DATE(対象年度,2,1))&lt;&gt;1,"",IF(ISNUMBER(MATCH(DATE(対象年度,2,1),祝日リスト,0)),"祝",""))</f>
        <v/>
      </c>
      <c r="D4" s="27"/>
      <c r="E4" s="28"/>
      <c r="F4" s="29" t="str">
        <f t="shared" ref="F4:F34" si="0">IF(D4="","",IF(ISNUMBER(SEARCH("夜勤",D4)),"",IF(A4="","","○")))</f>
        <v/>
      </c>
      <c r="G4" s="30" t="str">
        <f t="shared" ref="G4:G34" si="1">IF(A4="","",IF(OR(AND(E4&lt;&gt;"",NOT(OR(E4="有給",E4="休業"))),ISNUMBER(SEARCH("夜勤",D4))),"○",""))</f>
        <v/>
      </c>
      <c r="H4" s="31"/>
      <c r="I4" s="27"/>
      <c r="J4" s="28"/>
      <c r="K4" s="29" t="str">
        <f t="shared" ref="K4:K34" si="2">IF(I4="","",IF(ISNUMBER(SEARCH("夜勤",I4)),"",IF(A4="","","○")))</f>
        <v/>
      </c>
      <c r="L4" s="30" t="str">
        <f t="shared" ref="L4:L34" si="3">IF(A4="","",IF(OR(AND(J4&lt;&gt;"",NOT(OR(J4="有給",J4="休業"))),ISNUMBER(SEARCH("夜勤",I4))),"○",""))</f>
        <v/>
      </c>
      <c r="M4" s="31"/>
      <c r="N4" s="27"/>
      <c r="O4" s="28"/>
      <c r="P4" s="29" t="str">
        <f t="shared" ref="P4:P34" si="4">IF(N4="","",IF(ISNUMBER(SEARCH("夜勤",N4)),"",IF(A4="","","○")))</f>
        <v/>
      </c>
      <c r="Q4" s="30" t="str">
        <f t="shared" ref="Q4:Q34" si="5">IF(A4="","",IF(OR(AND(O4&lt;&gt;"",NOT(OR(O4="有給",O4="休業"))),ISNUMBER(SEARCH("夜勤",N4))),"○",""))</f>
        <v/>
      </c>
      <c r="R4" s="31"/>
      <c r="S4" s="27"/>
      <c r="T4" s="28"/>
      <c r="U4" s="29" t="str">
        <f t="shared" ref="U4:U34" si="6">IF(S4="","",IF(ISNUMBER(SEARCH("夜勤",S4)),"",IF(A4="","","○")))</f>
        <v/>
      </c>
      <c r="V4" s="30" t="str">
        <f t="shared" ref="V4:V34" si="7">IF(A4="","",IF(OR(AND(T4&lt;&gt;"",NOT(OR(T4="有給",T4="休業"))),ISNUMBER(SEARCH("夜勤",S4))),"○",""))</f>
        <v/>
      </c>
      <c r="W4" s="31"/>
      <c r="X4" s="27"/>
      <c r="Y4" s="28"/>
      <c r="Z4" s="29" t="str">
        <f t="shared" ref="Z4:Z34" si="8">IF(X4="","",IF(ISNUMBER(SEARCH("夜勤",X4)),"",IF(A4="","","○")))</f>
        <v/>
      </c>
      <c r="AA4" s="30" t="str">
        <f t="shared" ref="AA4:AA34" si="9">IF(A4="","",IF(OR(AND(Y4&lt;&gt;"",NOT(OR(Y4="有給",Y4="休業"))),ISNUMBER(SEARCH("夜勤",X4))),"○",""))</f>
        <v/>
      </c>
      <c r="AB4" s="31"/>
      <c r="AC4" s="27"/>
      <c r="AD4" s="28"/>
      <c r="AE4" s="29" t="str">
        <f t="shared" ref="AE4:AE34" si="10">IF(AC4="","",IF(ISNUMBER(SEARCH("夜勤",AC4)),"",IF(A4="","","○")))</f>
        <v/>
      </c>
      <c r="AF4" s="30" t="str">
        <f t="shared" ref="AF4:AF34" si="11">IF(A4="","",IF(OR(AND(AD4&lt;&gt;"",NOT(OR(AD4="有給",AD4="休業"))),ISNUMBER(SEARCH("夜勤",AC4))),"○",""))</f>
        <v/>
      </c>
      <c r="AG4" s="31"/>
      <c r="AH4" s="27"/>
      <c r="AI4" s="28"/>
      <c r="AJ4" s="29" t="str">
        <f t="shared" ref="AJ4:AJ34" si="12">IF(AH4="","",IF(ISNUMBER(SEARCH("夜勤",AH4)),"",IF(A4="","","○")))</f>
        <v/>
      </c>
      <c r="AK4" s="30" t="str">
        <f t="shared" ref="AK4:AK34" si="13">IF(A4="","",IF(OR(AND(AI4&lt;&gt;"",NOT(OR(AI4="有給",AI4="休業"))),ISNUMBER(SEARCH("夜勤",AH4))),"○",""))</f>
        <v/>
      </c>
      <c r="AL4" s="31"/>
      <c r="AM4" s="27"/>
      <c r="AN4" s="28"/>
      <c r="AO4" s="29" t="str">
        <f t="shared" ref="AO4:AO34" si="14">IF(AM4="","",IF(ISNUMBER(SEARCH("夜勤",AM4)),"",IF(A4="","","○")))</f>
        <v/>
      </c>
      <c r="AP4" s="30" t="str">
        <f t="shared" ref="AP4:AP34" si="15">IF(A4="","",IF(OR(AND(AN4&lt;&gt;"",NOT(OR(AN4="有給",AN4="休業"))),ISNUMBER(SEARCH("夜勤",AM4))),"○",""))</f>
        <v/>
      </c>
      <c r="AQ4" s="31"/>
      <c r="AR4" s="27"/>
      <c r="AS4" s="28"/>
      <c r="AT4" s="29" t="str">
        <f t="shared" ref="AT4:AT34" si="16">IF(AR4="","",IF(ISNUMBER(SEARCH("夜勤",AR4)),"",IF(A4="","","○")))</f>
        <v/>
      </c>
      <c r="AU4" s="30" t="str">
        <f t="shared" ref="AU4:AU34" si="17">IF(A4="","",IF(OR(AND(AS4&lt;&gt;"",NOT(OR(AS4="有給",AS4="休業"))),ISNUMBER(SEARCH("夜勤",AR4))),"○",""))</f>
        <v/>
      </c>
      <c r="AV4" s="31"/>
      <c r="AW4" s="27"/>
      <c r="AX4" s="28"/>
      <c r="AY4" s="29" t="str">
        <f t="shared" ref="AY4:AY34" si="18">IF(AW4="","",IF(ISNUMBER(SEARCH("夜勤",AW4)),"",IF(A4="","","○")))</f>
        <v/>
      </c>
      <c r="AZ4" s="30" t="str">
        <f t="shared" ref="AZ4:AZ34" si="19">IF(A4="","",IF(OR(AND(AX4&lt;&gt;"",NOT(OR(AX4="有給",AX4="休業"))),ISNUMBER(SEARCH("夜勤",AW4))),"○",""))</f>
        <v/>
      </c>
      <c r="BA4" s="31"/>
      <c r="BB4" s="27"/>
      <c r="BC4" s="28"/>
      <c r="BD4" s="29" t="str">
        <f t="shared" ref="BD4:BD34" si="20">IF(BB4="","",IF(ISNUMBER(SEARCH("夜勤",BB4)),"",IF(A4="","","○")))</f>
        <v/>
      </c>
      <c r="BE4" s="30" t="str">
        <f t="shared" ref="BE4:BE34" si="21">IF(A4="","",IF(OR(AND(BC4&lt;&gt;"",NOT(OR(BC4="有給",BC4="休業"))),ISNUMBER(SEARCH("夜勤",BB4))),"○",""))</f>
        <v/>
      </c>
      <c r="BF4" s="31"/>
      <c r="BG4" s="27"/>
      <c r="BH4" s="28"/>
      <c r="BI4" s="29" t="str">
        <f t="shared" ref="BI4:BI34" si="22">IF(BG4="","",IF(ISNUMBER(SEARCH("夜勤",BG4)),"",IF(A4="","","○")))</f>
        <v/>
      </c>
      <c r="BJ4" s="30" t="str">
        <f t="shared" ref="BJ4:BJ34" si="23">IF(A4="","",IF(OR(AND(BH4&lt;&gt;"",NOT(OR(BH4="有給",BH4="休業"))),ISNUMBER(SEARCH("夜勤",BG4))),"○",""))</f>
        <v/>
      </c>
      <c r="BK4" s="31"/>
      <c r="BL4" s="27"/>
      <c r="BM4" s="28"/>
      <c r="BN4" s="29" t="str">
        <f t="shared" ref="BN4:BN34" si="24">IF(BL4="","",IF(ISNUMBER(SEARCH("夜勤",BL4)),"",IF(A4="","","○")))</f>
        <v/>
      </c>
      <c r="BO4" s="30" t="str">
        <f t="shared" ref="BO4:BO34" si="25">IF(A4="","",IF(OR(AND(BM4&lt;&gt;"",NOT(OR(BM4="有給",BM4="休業"))),ISNUMBER(SEARCH("夜勤",BL4))),"○",""))</f>
        <v/>
      </c>
      <c r="BP4" s="31"/>
      <c r="BQ4" s="27"/>
      <c r="BR4" s="28"/>
      <c r="BS4" s="29" t="str">
        <f t="shared" ref="BS4:BS34" si="26">IF(BQ4="","",IF(ISNUMBER(SEARCH("夜勤",BQ4)),"",IF(A4="","","○")))</f>
        <v/>
      </c>
      <c r="BT4" s="30" t="str">
        <f t="shared" ref="BT4:BT34" si="27">IF(A4="","",IF(OR(AND(BR4&lt;&gt;"",NOT(OR(BR4="有給",BR4="休業"))),ISNUMBER(SEARCH("夜勤",BQ4))),"○",""))</f>
        <v/>
      </c>
      <c r="BU4" s="31"/>
      <c r="BV4" s="27"/>
      <c r="BW4" s="28"/>
      <c r="BX4" s="29" t="str">
        <f t="shared" ref="BX4:BX34" si="28">IF(BV4="","",IF(ISNUMBER(SEARCH("夜勤",BV4)),"",IF(A4="","","○")))</f>
        <v/>
      </c>
      <c r="BY4" s="30" t="str">
        <f t="shared" ref="BY4:BY34" si="29">IF(A4="","",IF(OR(AND(BW4&lt;&gt;"",NOT(OR(BW4="有給",BW4="休業"))),ISNUMBER(SEARCH("夜勤",BV4))),"○",""))</f>
        <v/>
      </c>
      <c r="BZ4" s="31"/>
      <c r="CA4" s="27"/>
      <c r="CB4" s="28"/>
      <c r="CC4" s="29" t="str">
        <f t="shared" ref="CC4:CC34" si="30">IF(CA4="","",IF(ISNUMBER(SEARCH("夜勤",CA4)),"",IF(A4="","","○")))</f>
        <v/>
      </c>
      <c r="CD4" s="30" t="str">
        <f t="shared" ref="CD4:CD34" si="31">IF(A4="","",IF(OR(AND(CB4&lt;&gt;"",NOT(OR(CB4="有給",CB4="休業"))),ISNUMBER(SEARCH("夜勤",CA4))),"○",""))</f>
        <v/>
      </c>
      <c r="CE4" s="31"/>
      <c r="CF4" s="27"/>
      <c r="CG4" s="28"/>
      <c r="CH4" s="29" t="str">
        <f t="shared" ref="CH4:CH34" si="32">IF(CF4="","",IF(ISNUMBER(SEARCH("夜勤",CF4)),"",IF(A4="","","○")))</f>
        <v/>
      </c>
      <c r="CI4" s="30" t="str">
        <f t="shared" ref="CI4:CI34" si="33">IF(A4="","",IF(OR(AND(CG4&lt;&gt;"",NOT(OR(CG4="有給",CG4="休業"))),ISNUMBER(SEARCH("夜勤",CF4))),"○",""))</f>
        <v/>
      </c>
      <c r="CJ4" s="31"/>
      <c r="CK4" s="27"/>
      <c r="CL4" s="28"/>
      <c r="CM4" s="29" t="str">
        <f t="shared" ref="CM4:CM34" si="34">IF(CK4="","",IF(ISNUMBER(SEARCH("夜勤",CK4)),"",IF(A4="","","○")))</f>
        <v/>
      </c>
      <c r="CN4" s="30" t="str">
        <f t="shared" ref="CN4:CN34" si="35">IF(A4="","",IF(OR(AND(CL4&lt;&gt;"",NOT(OR(CL4="有給",CL4="休業"))),ISNUMBER(SEARCH("夜勤",CK4))),"○",""))</f>
        <v/>
      </c>
      <c r="CO4" s="31"/>
      <c r="CP4" s="27"/>
      <c r="CQ4" s="28"/>
      <c r="CR4" s="29" t="str">
        <f t="shared" ref="CR4:CR34" si="36">IF(CP4="","",IF(ISNUMBER(SEARCH("夜勤",CP4)),"",IF(A4="","","○")))</f>
        <v/>
      </c>
      <c r="CS4" s="30" t="str">
        <f t="shared" ref="CS4:CS34" si="37">IF(A4="","",IF(OR(AND(CQ4&lt;&gt;"",NOT(OR(CQ4="有給",CQ4="休業"))),ISNUMBER(SEARCH("夜勤",CP4))),"○",""))</f>
        <v/>
      </c>
      <c r="CT4" s="31"/>
      <c r="CU4" s="27"/>
      <c r="CV4" s="28"/>
      <c r="CW4" s="29" t="str">
        <f t="shared" ref="CW4:CW34" si="38">IF(CU4="","",IF(ISNUMBER(SEARCH("夜勤",CU4)),"",IF(A4="","","○")))</f>
        <v/>
      </c>
      <c r="CX4" s="30" t="str">
        <f t="shared" ref="CX4:CX34" si="39">IF(A4="","",IF(OR(AND(CV4&lt;&gt;"",NOT(OR(CV4="有給",CV4="休業"))),ISNUMBER(SEARCH("夜勤",CU4))),"○",""))</f>
        <v/>
      </c>
      <c r="CY4" s="31"/>
      <c r="CZ4" s="27"/>
      <c r="DA4" s="28"/>
      <c r="DB4" s="29" t="str">
        <f t="shared" ref="DB4:DB34" si="40">IF(CZ4="","",IF(ISNUMBER(SEARCH("夜勤",CZ4)),"",IF(A4="","","○")))</f>
        <v/>
      </c>
      <c r="DC4" s="30" t="str">
        <f t="shared" ref="DC4:DC34" si="41">IF(A4="","",IF(OR(AND(DA4&lt;&gt;"",NOT(OR(DA4="有給",DA4="休業"))),ISNUMBER(SEARCH("夜勤",CZ4))),"○",""))</f>
        <v/>
      </c>
      <c r="DD4" s="31"/>
      <c r="DE4" s="27"/>
      <c r="DF4" s="28"/>
      <c r="DG4" s="29" t="str">
        <f t="shared" ref="DG4:DG34" si="42">IF(DE4="","",IF(ISNUMBER(SEARCH("夜勤",DE4)),"",IF(A4="","","○")))</f>
        <v/>
      </c>
      <c r="DH4" s="30" t="str">
        <f t="shared" ref="DH4:DH34" si="43">IF(A4="","",IF(OR(AND(DF4&lt;&gt;"",NOT(OR(DF4="有給",DF4="休業"))),ISNUMBER(SEARCH("夜勤",DE4))),"○",""))</f>
        <v/>
      </c>
      <c r="DI4" s="31"/>
      <c r="DJ4" s="27"/>
      <c r="DK4" s="28"/>
      <c r="DL4" s="29" t="str">
        <f t="shared" ref="DL4:DL34" si="44">IF(DJ4="","",IF(ISNUMBER(SEARCH("夜勤",DJ4)),"",IF(A4="","","○")))</f>
        <v/>
      </c>
      <c r="DM4" s="30" t="str">
        <f t="shared" ref="DM4:DM34" si="45">IF(A4="","",IF(OR(AND(DK4&lt;&gt;"",NOT(OR(DK4="有給",DK4="休業"))),ISNUMBER(SEARCH("夜勤",DJ4))),"○",""))</f>
        <v/>
      </c>
      <c r="DN4" s="31"/>
      <c r="DO4" s="27"/>
      <c r="DP4" s="28"/>
      <c r="DQ4" s="29" t="str">
        <f t="shared" ref="DQ4:DQ34" si="46">IF(DO4="","",IF(ISNUMBER(SEARCH("夜勤",DO4)),"",IF(A4="","","○")))</f>
        <v/>
      </c>
      <c r="DR4" s="30" t="str">
        <f t="shared" ref="DR4:DR34" si="47">IF(A4="","",IF(OR(AND(DP4&lt;&gt;"",NOT(OR(DP4="有給",DP4="休業"))),ISNUMBER(SEARCH("夜勤",DO4))),"○",""))</f>
        <v/>
      </c>
      <c r="DS4" s="31"/>
      <c r="DT4" s="27"/>
      <c r="DU4" s="28"/>
      <c r="DV4" s="29" t="str">
        <f t="shared" ref="DV4:DV34" si="48">IF(DT4="","",IF(ISNUMBER(SEARCH("夜勤",DT4)),"",IF(A4="","","○")))</f>
        <v/>
      </c>
      <c r="DW4" s="30" t="str">
        <f t="shared" ref="DW4:DW34" si="49">IF(A4="","",IF(OR(AND(DU4&lt;&gt;"",NOT(OR(DU4="有給",DU4="休業"))),ISNUMBER(SEARCH("夜勤",DT4))),"○",""))</f>
        <v/>
      </c>
      <c r="DX4" s="31"/>
      <c r="DY4" s="27"/>
      <c r="DZ4" s="28"/>
      <c r="EA4" s="29" t="str">
        <f t="shared" ref="EA4:EA34" si="50">IF(DY4="","",IF(ISNUMBER(SEARCH("夜勤",DY4)),"",IF(A4="","","○")))</f>
        <v/>
      </c>
      <c r="EB4" s="30" t="str">
        <f t="shared" ref="EB4:EB34" si="51">IF(A4="","",IF(OR(AND(DZ4&lt;&gt;"",NOT(OR(DZ4="有給",DZ4="休業"))),ISNUMBER(SEARCH("夜勤",DY4))),"○",""))</f>
        <v/>
      </c>
      <c r="EC4" s="31"/>
      <c r="ED4" s="27"/>
      <c r="EE4" s="28"/>
      <c r="EF4" s="29" t="str">
        <f t="shared" ref="EF4:EF34" si="52">IF(ED4="","",IF(ISNUMBER(SEARCH("夜勤",ED4)),"",IF(A4="","","○")))</f>
        <v/>
      </c>
      <c r="EG4" s="30" t="str">
        <f t="shared" ref="EG4:EG34" si="53">IF(A4="","",IF(OR(AND(EE4&lt;&gt;"",NOT(OR(EE4="有給",EE4="休業"))),ISNUMBER(SEARCH("夜勤",ED4))),"○",""))</f>
        <v/>
      </c>
      <c r="EH4" s="31"/>
      <c r="EI4" s="27"/>
      <c r="EJ4" s="28"/>
      <c r="EK4" s="29" t="str">
        <f t="shared" ref="EK4:EK34" si="54">IF(EI4="","",IF(ISNUMBER(SEARCH("夜勤",EI4)),"",IF(A4="","","○")))</f>
        <v/>
      </c>
      <c r="EL4" s="30" t="str">
        <f t="shared" ref="EL4:EL34" si="55">IF(A4="","",IF(OR(AND(EJ4&lt;&gt;"",NOT(OR(EJ4="有給",EJ4="休業"))),ISNUMBER(SEARCH("夜勤",EI4))),"○",""))</f>
        <v/>
      </c>
      <c r="EM4" s="31"/>
      <c r="EN4" s="27"/>
      <c r="EO4" s="28"/>
      <c r="EP4" s="29" t="str">
        <f t="shared" ref="EP4:EP34" si="56">IF(EN4="","",IF(ISNUMBER(SEARCH("夜勤",EN4)),"",IF(A4="","","○")))</f>
        <v/>
      </c>
      <c r="EQ4" s="30" t="str">
        <f t="shared" ref="EQ4:EQ34" si="57">IF(A4="","",IF(OR(AND(EO4&lt;&gt;"",NOT(OR(EO4="有給",EO4="休業"))),ISNUMBER(SEARCH("夜勤",EN4))),"○",""))</f>
        <v/>
      </c>
      <c r="ER4" s="31"/>
      <c r="ES4" s="27"/>
      <c r="ET4" s="28"/>
      <c r="EU4" s="29" t="str">
        <f t="shared" ref="EU4:EU34" si="58">IF(ES4="","",IF(ISNUMBER(SEARCH("夜勤",ES4)),"",IF(A4="","","○")))</f>
        <v/>
      </c>
      <c r="EV4" s="30" t="str">
        <f t="shared" ref="EV4:EV34" si="59">IF(A4="","",IF(OR(AND(ET4&lt;&gt;"",NOT(OR(ET4="有給",ET4="休業"))),ISNUMBER(SEARCH("夜勤",ES4))),"○",""))</f>
        <v/>
      </c>
      <c r="EW4" s="31"/>
    </row>
    <row r="5" spans="1:153" ht="19.5" customHeight="1">
      <c r="A5" s="32">
        <f>IF(DAY(DATE(対象年度,2,2))&lt;&gt;2,"",2)</f>
        <v>2</v>
      </c>
      <c r="B5" s="32" t="str">
        <f>IF(DAY(DATE(対象年度,2,2))&lt;&gt;2,"",CHOOSE(WEEKDAY(DATE(対象年度,2,2),2),"月","火","水","木","金","土","日"))</f>
        <v>月</v>
      </c>
      <c r="C5" s="32" t="str">
        <f>IF(DAY(DATE(対象年度,2,2))&lt;&gt;2,"",IF(ISNUMBER(MATCH(DATE(対象年度,2,2),祝日リスト,0)),"祝",""))</f>
        <v/>
      </c>
      <c r="D5" s="38" t="s">
        <v>104</v>
      </c>
      <c r="E5" s="34"/>
      <c r="F5" s="35" t="str">
        <f t="shared" si="0"/>
        <v>○</v>
      </c>
      <c r="G5" s="36" t="str">
        <f t="shared" si="1"/>
        <v/>
      </c>
      <c r="H5" s="37"/>
      <c r="I5" s="38" t="s">
        <v>116</v>
      </c>
      <c r="J5" s="34"/>
      <c r="K5" s="35" t="str">
        <f t="shared" si="2"/>
        <v>○</v>
      </c>
      <c r="L5" s="36" t="str">
        <f t="shared" si="3"/>
        <v/>
      </c>
      <c r="M5" s="37"/>
      <c r="N5" s="38" t="s">
        <v>116</v>
      </c>
      <c r="O5" s="34"/>
      <c r="P5" s="35" t="str">
        <f t="shared" si="4"/>
        <v>○</v>
      </c>
      <c r="Q5" s="36" t="str">
        <f t="shared" si="5"/>
        <v/>
      </c>
      <c r="R5" s="37"/>
      <c r="S5" s="38" t="s">
        <v>116</v>
      </c>
      <c r="T5" s="34"/>
      <c r="U5" s="35" t="str">
        <f t="shared" si="6"/>
        <v>○</v>
      </c>
      <c r="V5" s="36" t="str">
        <f t="shared" si="7"/>
        <v/>
      </c>
      <c r="W5" s="37"/>
      <c r="X5" s="38" t="s">
        <v>116</v>
      </c>
      <c r="Y5" s="34"/>
      <c r="Z5" s="35" t="str">
        <f t="shared" si="8"/>
        <v>○</v>
      </c>
      <c r="AA5" s="36" t="str">
        <f t="shared" si="9"/>
        <v/>
      </c>
      <c r="AB5" s="37"/>
      <c r="AC5" s="38" t="s">
        <v>116</v>
      </c>
      <c r="AD5" s="34"/>
      <c r="AE5" s="35" t="str">
        <f t="shared" si="10"/>
        <v>○</v>
      </c>
      <c r="AF5" s="36" t="str">
        <f t="shared" si="11"/>
        <v/>
      </c>
      <c r="AG5" s="37"/>
      <c r="AH5" s="38" t="s">
        <v>117</v>
      </c>
      <c r="AI5" s="34"/>
      <c r="AJ5" s="35" t="str">
        <f t="shared" si="12"/>
        <v>○</v>
      </c>
      <c r="AK5" s="36" t="str">
        <f t="shared" si="13"/>
        <v/>
      </c>
      <c r="AL5" s="37"/>
      <c r="AM5" s="38" t="s">
        <v>116</v>
      </c>
      <c r="AN5" s="34"/>
      <c r="AO5" s="35" t="str">
        <f t="shared" si="14"/>
        <v>○</v>
      </c>
      <c r="AP5" s="36" t="str">
        <f t="shared" si="15"/>
        <v/>
      </c>
      <c r="AQ5" s="37"/>
      <c r="AR5" s="38" t="s">
        <v>116</v>
      </c>
      <c r="AS5" s="34"/>
      <c r="AT5" s="35" t="str">
        <f t="shared" si="16"/>
        <v>○</v>
      </c>
      <c r="AU5" s="36" t="str">
        <f t="shared" si="17"/>
        <v/>
      </c>
      <c r="AV5" s="37"/>
      <c r="AW5" s="38" t="s">
        <v>124</v>
      </c>
      <c r="AX5" s="34"/>
      <c r="AY5" s="35" t="str">
        <f t="shared" si="18"/>
        <v>○</v>
      </c>
      <c r="AZ5" s="36" t="str">
        <f t="shared" si="19"/>
        <v/>
      </c>
      <c r="BA5" s="37"/>
      <c r="BB5" s="38" t="s">
        <v>104</v>
      </c>
      <c r="BC5" s="34"/>
      <c r="BD5" s="35" t="str">
        <f t="shared" si="20"/>
        <v>○</v>
      </c>
      <c r="BE5" s="36" t="str">
        <f t="shared" si="21"/>
        <v/>
      </c>
      <c r="BF5" s="37"/>
      <c r="BG5" s="38" t="s">
        <v>116</v>
      </c>
      <c r="BH5" s="34"/>
      <c r="BI5" s="35" t="str">
        <f t="shared" si="22"/>
        <v>○</v>
      </c>
      <c r="BJ5" s="36" t="str">
        <f t="shared" si="23"/>
        <v/>
      </c>
      <c r="BK5" s="37"/>
      <c r="BL5" s="33"/>
      <c r="BM5" s="34"/>
      <c r="BN5" s="35" t="str">
        <f t="shared" si="24"/>
        <v/>
      </c>
      <c r="BO5" s="36" t="str">
        <f t="shared" si="25"/>
        <v/>
      </c>
      <c r="BP5" s="37"/>
      <c r="BQ5" s="33"/>
      <c r="BR5" s="34"/>
      <c r="BS5" s="35" t="str">
        <f t="shared" si="26"/>
        <v/>
      </c>
      <c r="BT5" s="36" t="str">
        <f t="shared" si="27"/>
        <v/>
      </c>
      <c r="BU5" s="37"/>
      <c r="BV5" s="33"/>
      <c r="BW5" s="34"/>
      <c r="BX5" s="35" t="str">
        <f t="shared" si="28"/>
        <v/>
      </c>
      <c r="BY5" s="36" t="str">
        <f t="shared" si="29"/>
        <v/>
      </c>
      <c r="BZ5" s="37"/>
      <c r="CA5" s="33"/>
      <c r="CB5" s="34"/>
      <c r="CC5" s="35" t="str">
        <f t="shared" si="30"/>
        <v/>
      </c>
      <c r="CD5" s="36" t="str">
        <f t="shared" si="31"/>
        <v/>
      </c>
      <c r="CE5" s="37"/>
      <c r="CF5" s="33"/>
      <c r="CG5" s="34"/>
      <c r="CH5" s="35" t="str">
        <f t="shared" si="32"/>
        <v/>
      </c>
      <c r="CI5" s="36" t="str">
        <f t="shared" si="33"/>
        <v/>
      </c>
      <c r="CJ5" s="37"/>
      <c r="CK5" s="33"/>
      <c r="CL5" s="34"/>
      <c r="CM5" s="35" t="str">
        <f t="shared" si="34"/>
        <v/>
      </c>
      <c r="CN5" s="36" t="str">
        <f t="shared" si="35"/>
        <v/>
      </c>
      <c r="CO5" s="37"/>
      <c r="CP5" s="33"/>
      <c r="CQ5" s="34"/>
      <c r="CR5" s="35" t="str">
        <f t="shared" si="36"/>
        <v/>
      </c>
      <c r="CS5" s="36" t="str">
        <f t="shared" si="37"/>
        <v/>
      </c>
      <c r="CT5" s="37"/>
      <c r="CU5" s="33"/>
      <c r="CV5" s="34"/>
      <c r="CW5" s="35" t="str">
        <f t="shared" si="38"/>
        <v/>
      </c>
      <c r="CX5" s="36" t="str">
        <f t="shared" si="39"/>
        <v/>
      </c>
      <c r="CY5" s="37"/>
      <c r="CZ5" s="33"/>
      <c r="DA5" s="34"/>
      <c r="DB5" s="35" t="str">
        <f t="shared" si="40"/>
        <v/>
      </c>
      <c r="DC5" s="36" t="str">
        <f t="shared" si="41"/>
        <v/>
      </c>
      <c r="DD5" s="37"/>
      <c r="DE5" s="33"/>
      <c r="DF5" s="34"/>
      <c r="DG5" s="35" t="str">
        <f t="shared" si="42"/>
        <v/>
      </c>
      <c r="DH5" s="36" t="str">
        <f t="shared" si="43"/>
        <v/>
      </c>
      <c r="DI5" s="37"/>
      <c r="DJ5" s="33"/>
      <c r="DK5" s="34"/>
      <c r="DL5" s="35" t="str">
        <f t="shared" si="44"/>
        <v/>
      </c>
      <c r="DM5" s="36" t="str">
        <f t="shared" si="45"/>
        <v/>
      </c>
      <c r="DN5" s="37"/>
      <c r="DO5" s="33"/>
      <c r="DP5" s="34"/>
      <c r="DQ5" s="35" t="str">
        <f t="shared" si="46"/>
        <v/>
      </c>
      <c r="DR5" s="36" t="str">
        <f t="shared" si="47"/>
        <v/>
      </c>
      <c r="DS5" s="37"/>
      <c r="DT5" s="33"/>
      <c r="DU5" s="34"/>
      <c r="DV5" s="35" t="str">
        <f t="shared" si="48"/>
        <v/>
      </c>
      <c r="DW5" s="36" t="str">
        <f t="shared" si="49"/>
        <v/>
      </c>
      <c r="DX5" s="37"/>
      <c r="DY5" s="33"/>
      <c r="DZ5" s="34"/>
      <c r="EA5" s="35" t="str">
        <f t="shared" si="50"/>
        <v/>
      </c>
      <c r="EB5" s="36" t="str">
        <f t="shared" si="51"/>
        <v/>
      </c>
      <c r="EC5" s="37"/>
      <c r="ED5" s="33"/>
      <c r="EE5" s="34"/>
      <c r="EF5" s="35" t="str">
        <f t="shared" si="52"/>
        <v/>
      </c>
      <c r="EG5" s="36" t="str">
        <f t="shared" si="53"/>
        <v/>
      </c>
      <c r="EH5" s="37"/>
      <c r="EI5" s="33"/>
      <c r="EJ5" s="34"/>
      <c r="EK5" s="35" t="str">
        <f t="shared" si="54"/>
        <v/>
      </c>
      <c r="EL5" s="36" t="str">
        <f t="shared" si="55"/>
        <v/>
      </c>
      <c r="EM5" s="37"/>
      <c r="EN5" s="33"/>
      <c r="EO5" s="34"/>
      <c r="EP5" s="35" t="str">
        <f t="shared" si="56"/>
        <v/>
      </c>
      <c r="EQ5" s="36" t="str">
        <f t="shared" si="57"/>
        <v/>
      </c>
      <c r="ER5" s="37"/>
      <c r="ES5" s="33"/>
      <c r="ET5" s="34"/>
      <c r="EU5" s="35" t="str">
        <f t="shared" si="58"/>
        <v/>
      </c>
      <c r="EV5" s="36" t="str">
        <f t="shared" si="59"/>
        <v/>
      </c>
      <c r="EW5" s="37"/>
    </row>
    <row r="6" spans="1:153" ht="19.5" customHeight="1">
      <c r="A6" s="32">
        <f>IF(DAY(DATE(対象年度,2,3))&lt;&gt;3,"",3)</f>
        <v>3</v>
      </c>
      <c r="B6" s="32" t="str">
        <f>IF(DAY(DATE(対象年度,2,3))&lt;&gt;3,"",CHOOSE(WEEKDAY(DATE(対象年度,2,3),2),"月","火","水","木","金","土","日"))</f>
        <v>火</v>
      </c>
      <c r="C6" s="32" t="str">
        <f>IF(DAY(DATE(対象年度,2,3))&lt;&gt;3,"",IF(ISNUMBER(MATCH(DATE(対象年度,2,3),祝日リスト,0)),"祝",""))</f>
        <v/>
      </c>
      <c r="D6" s="38" t="s">
        <v>104</v>
      </c>
      <c r="E6" s="34"/>
      <c r="F6" s="35" t="str">
        <f t="shared" si="0"/>
        <v>○</v>
      </c>
      <c r="G6" s="36" t="str">
        <f t="shared" si="1"/>
        <v/>
      </c>
      <c r="H6" s="37"/>
      <c r="I6" s="38" t="s">
        <v>116</v>
      </c>
      <c r="J6" s="34"/>
      <c r="K6" s="35" t="str">
        <f t="shared" si="2"/>
        <v>○</v>
      </c>
      <c r="L6" s="36" t="str">
        <f t="shared" si="3"/>
        <v/>
      </c>
      <c r="M6" s="37"/>
      <c r="N6" s="38" t="s">
        <v>116</v>
      </c>
      <c r="O6" s="34"/>
      <c r="P6" s="35" t="str">
        <f t="shared" si="4"/>
        <v>○</v>
      </c>
      <c r="Q6" s="36" t="str">
        <f t="shared" si="5"/>
        <v/>
      </c>
      <c r="R6" s="37"/>
      <c r="S6" s="38" t="s">
        <v>116</v>
      </c>
      <c r="T6" s="34"/>
      <c r="U6" s="35" t="str">
        <f t="shared" si="6"/>
        <v>○</v>
      </c>
      <c r="V6" s="36" t="str">
        <f t="shared" si="7"/>
        <v/>
      </c>
      <c r="W6" s="37"/>
      <c r="X6" s="38" t="s">
        <v>116</v>
      </c>
      <c r="Y6" s="34"/>
      <c r="Z6" s="35" t="str">
        <f t="shared" si="8"/>
        <v>○</v>
      </c>
      <c r="AA6" s="36" t="str">
        <f t="shared" si="9"/>
        <v/>
      </c>
      <c r="AB6" s="37"/>
      <c r="AC6" s="38" t="s">
        <v>116</v>
      </c>
      <c r="AD6" s="34"/>
      <c r="AE6" s="35" t="str">
        <f t="shared" si="10"/>
        <v>○</v>
      </c>
      <c r="AF6" s="36" t="str">
        <f t="shared" si="11"/>
        <v/>
      </c>
      <c r="AG6" s="37"/>
      <c r="AH6" s="33"/>
      <c r="AI6" s="34"/>
      <c r="AJ6" s="35" t="str">
        <f t="shared" si="12"/>
        <v/>
      </c>
      <c r="AK6" s="36" t="str">
        <f t="shared" si="13"/>
        <v/>
      </c>
      <c r="AL6" s="37"/>
      <c r="AM6" s="38" t="s">
        <v>116</v>
      </c>
      <c r="AN6" s="34"/>
      <c r="AO6" s="35" t="str">
        <f t="shared" si="14"/>
        <v>○</v>
      </c>
      <c r="AP6" s="36" t="str">
        <f t="shared" si="15"/>
        <v/>
      </c>
      <c r="AQ6" s="37"/>
      <c r="AR6" s="38" t="s">
        <v>116</v>
      </c>
      <c r="AS6" s="34"/>
      <c r="AT6" s="35" t="str">
        <f t="shared" si="16"/>
        <v>○</v>
      </c>
      <c r="AU6" s="36" t="str">
        <f t="shared" si="17"/>
        <v/>
      </c>
      <c r="AV6" s="37"/>
      <c r="AW6" s="38" t="s">
        <v>124</v>
      </c>
      <c r="AX6" s="34"/>
      <c r="AY6" s="35" t="str">
        <f t="shared" si="18"/>
        <v>○</v>
      </c>
      <c r="AZ6" s="36" t="str">
        <f t="shared" si="19"/>
        <v/>
      </c>
      <c r="BA6" s="37"/>
      <c r="BB6" s="38" t="s">
        <v>104</v>
      </c>
      <c r="BC6" s="34"/>
      <c r="BD6" s="35" t="str">
        <f t="shared" si="20"/>
        <v>○</v>
      </c>
      <c r="BE6" s="36" t="str">
        <f t="shared" si="21"/>
        <v/>
      </c>
      <c r="BF6" s="37"/>
      <c r="BG6" s="38" t="s">
        <v>116</v>
      </c>
      <c r="BH6" s="34"/>
      <c r="BI6" s="35" t="str">
        <f t="shared" si="22"/>
        <v>○</v>
      </c>
      <c r="BJ6" s="36" t="str">
        <f t="shared" si="23"/>
        <v/>
      </c>
      <c r="BK6" s="37"/>
      <c r="BL6" s="33"/>
      <c r="BM6" s="34"/>
      <c r="BN6" s="35" t="str">
        <f t="shared" si="24"/>
        <v/>
      </c>
      <c r="BO6" s="36" t="str">
        <f t="shared" si="25"/>
        <v/>
      </c>
      <c r="BP6" s="37"/>
      <c r="BQ6" s="33"/>
      <c r="BR6" s="34"/>
      <c r="BS6" s="35" t="str">
        <f t="shared" si="26"/>
        <v/>
      </c>
      <c r="BT6" s="36" t="str">
        <f t="shared" si="27"/>
        <v/>
      </c>
      <c r="BU6" s="37"/>
      <c r="BV6" s="33"/>
      <c r="BW6" s="34"/>
      <c r="BX6" s="35" t="str">
        <f t="shared" si="28"/>
        <v/>
      </c>
      <c r="BY6" s="36" t="str">
        <f t="shared" si="29"/>
        <v/>
      </c>
      <c r="BZ6" s="37"/>
      <c r="CA6" s="33"/>
      <c r="CB6" s="34"/>
      <c r="CC6" s="35" t="str">
        <f t="shared" si="30"/>
        <v/>
      </c>
      <c r="CD6" s="36" t="str">
        <f t="shared" si="31"/>
        <v/>
      </c>
      <c r="CE6" s="37"/>
      <c r="CF6" s="33"/>
      <c r="CG6" s="34"/>
      <c r="CH6" s="35" t="str">
        <f t="shared" si="32"/>
        <v/>
      </c>
      <c r="CI6" s="36" t="str">
        <f t="shared" si="33"/>
        <v/>
      </c>
      <c r="CJ6" s="37"/>
      <c r="CK6" s="33"/>
      <c r="CL6" s="34"/>
      <c r="CM6" s="35" t="str">
        <f t="shared" si="34"/>
        <v/>
      </c>
      <c r="CN6" s="36" t="str">
        <f t="shared" si="35"/>
        <v/>
      </c>
      <c r="CO6" s="37"/>
      <c r="CP6" s="33"/>
      <c r="CQ6" s="34"/>
      <c r="CR6" s="35" t="str">
        <f t="shared" si="36"/>
        <v/>
      </c>
      <c r="CS6" s="36" t="str">
        <f t="shared" si="37"/>
        <v/>
      </c>
      <c r="CT6" s="37"/>
      <c r="CU6" s="33"/>
      <c r="CV6" s="34"/>
      <c r="CW6" s="35" t="str">
        <f t="shared" si="38"/>
        <v/>
      </c>
      <c r="CX6" s="36" t="str">
        <f t="shared" si="39"/>
        <v/>
      </c>
      <c r="CY6" s="37"/>
      <c r="CZ6" s="33"/>
      <c r="DA6" s="34"/>
      <c r="DB6" s="35" t="str">
        <f t="shared" si="40"/>
        <v/>
      </c>
      <c r="DC6" s="36" t="str">
        <f t="shared" si="41"/>
        <v/>
      </c>
      <c r="DD6" s="37"/>
      <c r="DE6" s="33"/>
      <c r="DF6" s="34"/>
      <c r="DG6" s="35" t="str">
        <f t="shared" si="42"/>
        <v/>
      </c>
      <c r="DH6" s="36" t="str">
        <f t="shared" si="43"/>
        <v/>
      </c>
      <c r="DI6" s="37"/>
      <c r="DJ6" s="33"/>
      <c r="DK6" s="34"/>
      <c r="DL6" s="35" t="str">
        <f t="shared" si="44"/>
        <v/>
      </c>
      <c r="DM6" s="36" t="str">
        <f t="shared" si="45"/>
        <v/>
      </c>
      <c r="DN6" s="37"/>
      <c r="DO6" s="33"/>
      <c r="DP6" s="34"/>
      <c r="DQ6" s="35" t="str">
        <f t="shared" si="46"/>
        <v/>
      </c>
      <c r="DR6" s="36" t="str">
        <f t="shared" si="47"/>
        <v/>
      </c>
      <c r="DS6" s="37"/>
      <c r="DT6" s="33"/>
      <c r="DU6" s="34"/>
      <c r="DV6" s="35" t="str">
        <f t="shared" si="48"/>
        <v/>
      </c>
      <c r="DW6" s="36" t="str">
        <f t="shared" si="49"/>
        <v/>
      </c>
      <c r="DX6" s="37"/>
      <c r="DY6" s="33"/>
      <c r="DZ6" s="34"/>
      <c r="EA6" s="35" t="str">
        <f t="shared" si="50"/>
        <v/>
      </c>
      <c r="EB6" s="36" t="str">
        <f t="shared" si="51"/>
        <v/>
      </c>
      <c r="EC6" s="37"/>
      <c r="ED6" s="33"/>
      <c r="EE6" s="34"/>
      <c r="EF6" s="35" t="str">
        <f t="shared" si="52"/>
        <v/>
      </c>
      <c r="EG6" s="36" t="str">
        <f t="shared" si="53"/>
        <v/>
      </c>
      <c r="EH6" s="37"/>
      <c r="EI6" s="33"/>
      <c r="EJ6" s="34"/>
      <c r="EK6" s="35" t="str">
        <f t="shared" si="54"/>
        <v/>
      </c>
      <c r="EL6" s="36" t="str">
        <f t="shared" si="55"/>
        <v/>
      </c>
      <c r="EM6" s="37"/>
      <c r="EN6" s="33"/>
      <c r="EO6" s="34"/>
      <c r="EP6" s="35" t="str">
        <f t="shared" si="56"/>
        <v/>
      </c>
      <c r="EQ6" s="36" t="str">
        <f t="shared" si="57"/>
        <v/>
      </c>
      <c r="ER6" s="37"/>
      <c r="ES6" s="33"/>
      <c r="ET6" s="34"/>
      <c r="EU6" s="35" t="str">
        <f t="shared" si="58"/>
        <v/>
      </c>
      <c r="EV6" s="36" t="str">
        <f t="shared" si="59"/>
        <v/>
      </c>
      <c r="EW6" s="37"/>
    </row>
    <row r="7" spans="1:153" ht="19.5" customHeight="1">
      <c r="A7" s="32">
        <f>IF(DAY(DATE(対象年度,2,4))&lt;&gt;4,"",4)</f>
        <v>4</v>
      </c>
      <c r="B7" s="32" t="str">
        <f>IF(DAY(DATE(対象年度,2,4))&lt;&gt;4,"",CHOOSE(WEEKDAY(DATE(対象年度,2,4),2),"月","火","水","木","金","土","日"))</f>
        <v>水</v>
      </c>
      <c r="C7" s="32" t="str">
        <f>IF(DAY(DATE(対象年度,2,4))&lt;&gt;4,"",IF(ISNUMBER(MATCH(DATE(対象年度,2,4),祝日リスト,0)),"祝",""))</f>
        <v/>
      </c>
      <c r="D7" s="38" t="s">
        <v>104</v>
      </c>
      <c r="E7" s="34"/>
      <c r="F7" s="35" t="str">
        <f t="shared" si="0"/>
        <v>○</v>
      </c>
      <c r="G7" s="36" t="str">
        <f t="shared" si="1"/>
        <v/>
      </c>
      <c r="H7" s="37"/>
      <c r="I7" s="38" t="s">
        <v>116</v>
      </c>
      <c r="J7" s="34"/>
      <c r="K7" s="35" t="str">
        <f t="shared" si="2"/>
        <v>○</v>
      </c>
      <c r="L7" s="36" t="str">
        <f t="shared" si="3"/>
        <v/>
      </c>
      <c r="M7" s="37"/>
      <c r="N7" s="38" t="s">
        <v>116</v>
      </c>
      <c r="O7" s="34"/>
      <c r="P7" s="35" t="str">
        <f t="shared" si="4"/>
        <v>○</v>
      </c>
      <c r="Q7" s="36" t="str">
        <f t="shared" si="5"/>
        <v/>
      </c>
      <c r="R7" s="37"/>
      <c r="S7" s="38" t="s">
        <v>116</v>
      </c>
      <c r="T7" s="34"/>
      <c r="U7" s="35" t="str">
        <f t="shared" si="6"/>
        <v>○</v>
      </c>
      <c r="V7" s="36" t="str">
        <f t="shared" si="7"/>
        <v/>
      </c>
      <c r="W7" s="37"/>
      <c r="X7" s="38" t="s">
        <v>116</v>
      </c>
      <c r="Y7" s="34"/>
      <c r="Z7" s="35" t="str">
        <f t="shared" si="8"/>
        <v>○</v>
      </c>
      <c r="AA7" s="36" t="str">
        <f t="shared" si="9"/>
        <v/>
      </c>
      <c r="AB7" s="37"/>
      <c r="AC7" s="38" t="s">
        <v>116</v>
      </c>
      <c r="AD7" s="34"/>
      <c r="AE7" s="35" t="str">
        <f t="shared" si="10"/>
        <v>○</v>
      </c>
      <c r="AF7" s="36" t="str">
        <f t="shared" si="11"/>
        <v/>
      </c>
      <c r="AG7" s="37"/>
      <c r="AH7" s="38" t="s">
        <v>117</v>
      </c>
      <c r="AI7" s="34"/>
      <c r="AJ7" s="35" t="str">
        <f t="shared" si="12"/>
        <v>○</v>
      </c>
      <c r="AK7" s="36" t="str">
        <f t="shared" si="13"/>
        <v/>
      </c>
      <c r="AL7" s="37"/>
      <c r="AM7" s="38" t="s">
        <v>116</v>
      </c>
      <c r="AN7" s="34"/>
      <c r="AO7" s="35" t="str">
        <f t="shared" si="14"/>
        <v>○</v>
      </c>
      <c r="AP7" s="36" t="str">
        <f t="shared" si="15"/>
        <v/>
      </c>
      <c r="AQ7" s="37"/>
      <c r="AR7" s="38" t="s">
        <v>116</v>
      </c>
      <c r="AS7" s="34"/>
      <c r="AT7" s="35" t="str">
        <f t="shared" si="16"/>
        <v>○</v>
      </c>
      <c r="AU7" s="36" t="str">
        <f t="shared" si="17"/>
        <v/>
      </c>
      <c r="AV7" s="37"/>
      <c r="AW7" s="38" t="s">
        <v>124</v>
      </c>
      <c r="AX7" s="34"/>
      <c r="AY7" s="35" t="str">
        <f t="shared" si="18"/>
        <v>○</v>
      </c>
      <c r="AZ7" s="36" t="str">
        <f t="shared" si="19"/>
        <v/>
      </c>
      <c r="BA7" s="37"/>
      <c r="BB7" s="38" t="s">
        <v>104</v>
      </c>
      <c r="BC7" s="34"/>
      <c r="BD7" s="35" t="str">
        <f t="shared" si="20"/>
        <v>○</v>
      </c>
      <c r="BE7" s="36" t="str">
        <f t="shared" si="21"/>
        <v/>
      </c>
      <c r="BF7" s="37"/>
      <c r="BG7" s="38" t="s">
        <v>116</v>
      </c>
      <c r="BH7" s="34"/>
      <c r="BI7" s="35" t="str">
        <f t="shared" si="22"/>
        <v>○</v>
      </c>
      <c r="BJ7" s="36" t="str">
        <f t="shared" si="23"/>
        <v/>
      </c>
      <c r="BK7" s="37"/>
      <c r="BL7" s="33"/>
      <c r="BM7" s="34"/>
      <c r="BN7" s="35" t="str">
        <f t="shared" si="24"/>
        <v/>
      </c>
      <c r="BO7" s="36" t="str">
        <f t="shared" si="25"/>
        <v/>
      </c>
      <c r="BP7" s="37"/>
      <c r="BQ7" s="33"/>
      <c r="BR7" s="34"/>
      <c r="BS7" s="35" t="str">
        <f t="shared" si="26"/>
        <v/>
      </c>
      <c r="BT7" s="36" t="str">
        <f t="shared" si="27"/>
        <v/>
      </c>
      <c r="BU7" s="37"/>
      <c r="BV7" s="33"/>
      <c r="BW7" s="34"/>
      <c r="BX7" s="35" t="str">
        <f t="shared" si="28"/>
        <v/>
      </c>
      <c r="BY7" s="36" t="str">
        <f t="shared" si="29"/>
        <v/>
      </c>
      <c r="BZ7" s="37"/>
      <c r="CA7" s="33"/>
      <c r="CB7" s="34"/>
      <c r="CC7" s="35" t="str">
        <f t="shared" si="30"/>
        <v/>
      </c>
      <c r="CD7" s="36" t="str">
        <f t="shared" si="31"/>
        <v/>
      </c>
      <c r="CE7" s="37"/>
      <c r="CF7" s="33"/>
      <c r="CG7" s="34"/>
      <c r="CH7" s="35" t="str">
        <f t="shared" si="32"/>
        <v/>
      </c>
      <c r="CI7" s="36" t="str">
        <f t="shared" si="33"/>
        <v/>
      </c>
      <c r="CJ7" s="37"/>
      <c r="CK7" s="33"/>
      <c r="CL7" s="34"/>
      <c r="CM7" s="35" t="str">
        <f t="shared" si="34"/>
        <v/>
      </c>
      <c r="CN7" s="36" t="str">
        <f t="shared" si="35"/>
        <v/>
      </c>
      <c r="CO7" s="37"/>
      <c r="CP7" s="33"/>
      <c r="CQ7" s="34"/>
      <c r="CR7" s="35" t="str">
        <f t="shared" si="36"/>
        <v/>
      </c>
      <c r="CS7" s="36" t="str">
        <f t="shared" si="37"/>
        <v/>
      </c>
      <c r="CT7" s="37"/>
      <c r="CU7" s="33"/>
      <c r="CV7" s="34"/>
      <c r="CW7" s="35" t="str">
        <f t="shared" si="38"/>
        <v/>
      </c>
      <c r="CX7" s="36" t="str">
        <f t="shared" si="39"/>
        <v/>
      </c>
      <c r="CY7" s="37"/>
      <c r="CZ7" s="33"/>
      <c r="DA7" s="34"/>
      <c r="DB7" s="35" t="str">
        <f t="shared" si="40"/>
        <v/>
      </c>
      <c r="DC7" s="36" t="str">
        <f t="shared" si="41"/>
        <v/>
      </c>
      <c r="DD7" s="37"/>
      <c r="DE7" s="33"/>
      <c r="DF7" s="34"/>
      <c r="DG7" s="35" t="str">
        <f t="shared" si="42"/>
        <v/>
      </c>
      <c r="DH7" s="36" t="str">
        <f t="shared" si="43"/>
        <v/>
      </c>
      <c r="DI7" s="37"/>
      <c r="DJ7" s="33"/>
      <c r="DK7" s="34"/>
      <c r="DL7" s="35" t="str">
        <f t="shared" si="44"/>
        <v/>
      </c>
      <c r="DM7" s="36" t="str">
        <f t="shared" si="45"/>
        <v/>
      </c>
      <c r="DN7" s="37"/>
      <c r="DO7" s="33"/>
      <c r="DP7" s="34"/>
      <c r="DQ7" s="35" t="str">
        <f t="shared" si="46"/>
        <v/>
      </c>
      <c r="DR7" s="36" t="str">
        <f t="shared" si="47"/>
        <v/>
      </c>
      <c r="DS7" s="37"/>
      <c r="DT7" s="33"/>
      <c r="DU7" s="34"/>
      <c r="DV7" s="35" t="str">
        <f t="shared" si="48"/>
        <v/>
      </c>
      <c r="DW7" s="36" t="str">
        <f t="shared" si="49"/>
        <v/>
      </c>
      <c r="DX7" s="37"/>
      <c r="DY7" s="33"/>
      <c r="DZ7" s="34"/>
      <c r="EA7" s="35" t="str">
        <f t="shared" si="50"/>
        <v/>
      </c>
      <c r="EB7" s="36" t="str">
        <f t="shared" si="51"/>
        <v/>
      </c>
      <c r="EC7" s="37"/>
      <c r="ED7" s="33"/>
      <c r="EE7" s="34"/>
      <c r="EF7" s="35" t="str">
        <f t="shared" si="52"/>
        <v/>
      </c>
      <c r="EG7" s="36" t="str">
        <f t="shared" si="53"/>
        <v/>
      </c>
      <c r="EH7" s="37"/>
      <c r="EI7" s="33"/>
      <c r="EJ7" s="34"/>
      <c r="EK7" s="35" t="str">
        <f t="shared" si="54"/>
        <v/>
      </c>
      <c r="EL7" s="36" t="str">
        <f t="shared" si="55"/>
        <v/>
      </c>
      <c r="EM7" s="37"/>
      <c r="EN7" s="33"/>
      <c r="EO7" s="34"/>
      <c r="EP7" s="35" t="str">
        <f t="shared" si="56"/>
        <v/>
      </c>
      <c r="EQ7" s="36" t="str">
        <f t="shared" si="57"/>
        <v/>
      </c>
      <c r="ER7" s="37"/>
      <c r="ES7" s="33"/>
      <c r="ET7" s="34"/>
      <c r="EU7" s="35" t="str">
        <f t="shared" si="58"/>
        <v/>
      </c>
      <c r="EV7" s="36" t="str">
        <f t="shared" si="59"/>
        <v/>
      </c>
      <c r="EW7" s="37"/>
    </row>
    <row r="8" spans="1:153" ht="19.5" customHeight="1">
      <c r="A8" s="32">
        <f>IF(DAY(DATE(対象年度,2,5))&lt;&gt;5,"",5)</f>
        <v>5</v>
      </c>
      <c r="B8" s="32" t="str">
        <f>IF(DAY(DATE(対象年度,2,5))&lt;&gt;5,"",CHOOSE(WEEKDAY(DATE(対象年度,2,5),2),"月","火","水","木","金","土","日"))</f>
        <v>木</v>
      </c>
      <c r="C8" s="32" t="str">
        <f>IF(DAY(DATE(対象年度,2,5))&lt;&gt;5,"",IF(ISNUMBER(MATCH(DATE(対象年度,2,5),祝日リスト,0)),"祝",""))</f>
        <v/>
      </c>
      <c r="D8" s="38" t="s">
        <v>104</v>
      </c>
      <c r="E8" s="34"/>
      <c r="F8" s="35" t="str">
        <f t="shared" si="0"/>
        <v>○</v>
      </c>
      <c r="G8" s="36" t="str">
        <f t="shared" si="1"/>
        <v/>
      </c>
      <c r="H8" s="37"/>
      <c r="I8" s="38" t="s">
        <v>118</v>
      </c>
      <c r="J8" s="34"/>
      <c r="K8" s="35" t="str">
        <f t="shared" si="2"/>
        <v>○</v>
      </c>
      <c r="L8" s="36" t="str">
        <f t="shared" si="3"/>
        <v/>
      </c>
      <c r="M8" s="37"/>
      <c r="N8" s="38" t="s">
        <v>116</v>
      </c>
      <c r="O8" s="34"/>
      <c r="P8" s="35" t="str">
        <f t="shared" si="4"/>
        <v>○</v>
      </c>
      <c r="Q8" s="36" t="str">
        <f t="shared" si="5"/>
        <v/>
      </c>
      <c r="R8" s="37"/>
      <c r="S8" s="38" t="s">
        <v>116</v>
      </c>
      <c r="T8" s="34"/>
      <c r="U8" s="35" t="str">
        <f t="shared" si="6"/>
        <v>○</v>
      </c>
      <c r="V8" s="36" t="str">
        <f t="shared" si="7"/>
        <v/>
      </c>
      <c r="W8" s="37"/>
      <c r="X8" s="38" t="s">
        <v>116</v>
      </c>
      <c r="Y8" s="34"/>
      <c r="Z8" s="35" t="str">
        <f t="shared" si="8"/>
        <v>○</v>
      </c>
      <c r="AA8" s="36" t="str">
        <f t="shared" si="9"/>
        <v/>
      </c>
      <c r="AB8" s="37"/>
      <c r="AC8" s="38" t="s">
        <v>116</v>
      </c>
      <c r="AD8" s="34"/>
      <c r="AE8" s="35" t="str">
        <f t="shared" si="10"/>
        <v>○</v>
      </c>
      <c r="AF8" s="36" t="str">
        <f t="shared" si="11"/>
        <v/>
      </c>
      <c r="AG8" s="37"/>
      <c r="AH8" s="38" t="s">
        <v>117</v>
      </c>
      <c r="AI8" s="34"/>
      <c r="AJ8" s="35" t="str">
        <f t="shared" si="12"/>
        <v>○</v>
      </c>
      <c r="AK8" s="36" t="str">
        <f t="shared" si="13"/>
        <v/>
      </c>
      <c r="AL8" s="37"/>
      <c r="AM8" s="38" t="s">
        <v>118</v>
      </c>
      <c r="AN8" s="34"/>
      <c r="AO8" s="35" t="str">
        <f t="shared" si="14"/>
        <v>○</v>
      </c>
      <c r="AP8" s="36" t="str">
        <f t="shared" si="15"/>
        <v/>
      </c>
      <c r="AQ8" s="37"/>
      <c r="AR8" s="38" t="s">
        <v>116</v>
      </c>
      <c r="AS8" s="34"/>
      <c r="AT8" s="35" t="str">
        <f t="shared" si="16"/>
        <v>○</v>
      </c>
      <c r="AU8" s="36" t="str">
        <f t="shared" si="17"/>
        <v/>
      </c>
      <c r="AV8" s="37"/>
      <c r="AW8" s="38" t="s">
        <v>124</v>
      </c>
      <c r="AX8" s="34"/>
      <c r="AY8" s="35" t="str">
        <f t="shared" si="18"/>
        <v>○</v>
      </c>
      <c r="AZ8" s="36" t="str">
        <f t="shared" si="19"/>
        <v/>
      </c>
      <c r="BA8" s="37"/>
      <c r="BB8" s="38" t="s">
        <v>104</v>
      </c>
      <c r="BC8" s="34"/>
      <c r="BD8" s="35" t="str">
        <f t="shared" si="20"/>
        <v>○</v>
      </c>
      <c r="BE8" s="36" t="str">
        <f t="shared" si="21"/>
        <v/>
      </c>
      <c r="BF8" s="37"/>
      <c r="BG8" s="38" t="s">
        <v>116</v>
      </c>
      <c r="BH8" s="34"/>
      <c r="BI8" s="35" t="str">
        <f t="shared" si="22"/>
        <v>○</v>
      </c>
      <c r="BJ8" s="36" t="str">
        <f t="shared" si="23"/>
        <v/>
      </c>
      <c r="BK8" s="37"/>
      <c r="BL8" s="33"/>
      <c r="BM8" s="34"/>
      <c r="BN8" s="35" t="str">
        <f t="shared" si="24"/>
        <v/>
      </c>
      <c r="BO8" s="36" t="str">
        <f t="shared" si="25"/>
        <v/>
      </c>
      <c r="BP8" s="37"/>
      <c r="BQ8" s="33"/>
      <c r="BR8" s="34"/>
      <c r="BS8" s="35" t="str">
        <f t="shared" si="26"/>
        <v/>
      </c>
      <c r="BT8" s="36" t="str">
        <f t="shared" si="27"/>
        <v/>
      </c>
      <c r="BU8" s="37"/>
      <c r="BV8" s="33"/>
      <c r="BW8" s="34"/>
      <c r="BX8" s="35" t="str">
        <f t="shared" si="28"/>
        <v/>
      </c>
      <c r="BY8" s="36" t="str">
        <f t="shared" si="29"/>
        <v/>
      </c>
      <c r="BZ8" s="37"/>
      <c r="CA8" s="33"/>
      <c r="CB8" s="34"/>
      <c r="CC8" s="35" t="str">
        <f t="shared" si="30"/>
        <v/>
      </c>
      <c r="CD8" s="36" t="str">
        <f t="shared" si="31"/>
        <v/>
      </c>
      <c r="CE8" s="37"/>
      <c r="CF8" s="33"/>
      <c r="CG8" s="34"/>
      <c r="CH8" s="35" t="str">
        <f t="shared" si="32"/>
        <v/>
      </c>
      <c r="CI8" s="36" t="str">
        <f t="shared" si="33"/>
        <v/>
      </c>
      <c r="CJ8" s="37"/>
      <c r="CK8" s="33"/>
      <c r="CL8" s="34"/>
      <c r="CM8" s="35" t="str">
        <f t="shared" si="34"/>
        <v/>
      </c>
      <c r="CN8" s="36" t="str">
        <f t="shared" si="35"/>
        <v/>
      </c>
      <c r="CO8" s="37"/>
      <c r="CP8" s="33"/>
      <c r="CQ8" s="34"/>
      <c r="CR8" s="35" t="str">
        <f t="shared" si="36"/>
        <v/>
      </c>
      <c r="CS8" s="36" t="str">
        <f t="shared" si="37"/>
        <v/>
      </c>
      <c r="CT8" s="37"/>
      <c r="CU8" s="33"/>
      <c r="CV8" s="34"/>
      <c r="CW8" s="35" t="str">
        <f t="shared" si="38"/>
        <v/>
      </c>
      <c r="CX8" s="36" t="str">
        <f t="shared" si="39"/>
        <v/>
      </c>
      <c r="CY8" s="37"/>
      <c r="CZ8" s="33"/>
      <c r="DA8" s="34"/>
      <c r="DB8" s="35" t="str">
        <f t="shared" si="40"/>
        <v/>
      </c>
      <c r="DC8" s="36" t="str">
        <f t="shared" si="41"/>
        <v/>
      </c>
      <c r="DD8" s="37"/>
      <c r="DE8" s="33"/>
      <c r="DF8" s="34"/>
      <c r="DG8" s="35" t="str">
        <f t="shared" si="42"/>
        <v/>
      </c>
      <c r="DH8" s="36" t="str">
        <f t="shared" si="43"/>
        <v/>
      </c>
      <c r="DI8" s="37"/>
      <c r="DJ8" s="33"/>
      <c r="DK8" s="34"/>
      <c r="DL8" s="35" t="str">
        <f t="shared" si="44"/>
        <v/>
      </c>
      <c r="DM8" s="36" t="str">
        <f t="shared" si="45"/>
        <v/>
      </c>
      <c r="DN8" s="37"/>
      <c r="DO8" s="33"/>
      <c r="DP8" s="34"/>
      <c r="DQ8" s="35" t="str">
        <f t="shared" si="46"/>
        <v/>
      </c>
      <c r="DR8" s="36" t="str">
        <f t="shared" si="47"/>
        <v/>
      </c>
      <c r="DS8" s="37"/>
      <c r="DT8" s="33"/>
      <c r="DU8" s="34"/>
      <c r="DV8" s="35" t="str">
        <f t="shared" si="48"/>
        <v/>
      </c>
      <c r="DW8" s="36" t="str">
        <f t="shared" si="49"/>
        <v/>
      </c>
      <c r="DX8" s="37"/>
      <c r="DY8" s="33"/>
      <c r="DZ8" s="34"/>
      <c r="EA8" s="35" t="str">
        <f t="shared" si="50"/>
        <v/>
      </c>
      <c r="EB8" s="36" t="str">
        <f t="shared" si="51"/>
        <v/>
      </c>
      <c r="EC8" s="37"/>
      <c r="ED8" s="33"/>
      <c r="EE8" s="34"/>
      <c r="EF8" s="35" t="str">
        <f t="shared" si="52"/>
        <v/>
      </c>
      <c r="EG8" s="36" t="str">
        <f t="shared" si="53"/>
        <v/>
      </c>
      <c r="EH8" s="37"/>
      <c r="EI8" s="33"/>
      <c r="EJ8" s="34"/>
      <c r="EK8" s="35" t="str">
        <f t="shared" si="54"/>
        <v/>
      </c>
      <c r="EL8" s="36" t="str">
        <f t="shared" si="55"/>
        <v/>
      </c>
      <c r="EM8" s="37"/>
      <c r="EN8" s="33"/>
      <c r="EO8" s="34"/>
      <c r="EP8" s="35" t="str">
        <f t="shared" si="56"/>
        <v/>
      </c>
      <c r="EQ8" s="36" t="str">
        <f t="shared" si="57"/>
        <v/>
      </c>
      <c r="ER8" s="37"/>
      <c r="ES8" s="33"/>
      <c r="ET8" s="34"/>
      <c r="EU8" s="35" t="str">
        <f t="shared" si="58"/>
        <v/>
      </c>
      <c r="EV8" s="36" t="str">
        <f t="shared" si="59"/>
        <v/>
      </c>
      <c r="EW8" s="37"/>
    </row>
    <row r="9" spans="1:153" ht="19.5" customHeight="1">
      <c r="A9" s="32">
        <f>IF(DAY(DATE(対象年度,2,6))&lt;&gt;6,"",6)</f>
        <v>6</v>
      </c>
      <c r="B9" s="32" t="str">
        <f>IF(DAY(DATE(対象年度,2,6))&lt;&gt;6,"",CHOOSE(WEEKDAY(DATE(対象年度,2,6),2),"月","火","水","木","金","土","日"))</f>
        <v>金</v>
      </c>
      <c r="C9" s="32" t="str">
        <f>IF(DAY(DATE(対象年度,2,6))&lt;&gt;6,"",IF(ISNUMBER(MATCH(DATE(対象年度,2,6),祝日リスト,0)),"祝",""))</f>
        <v/>
      </c>
      <c r="D9" s="38" t="s">
        <v>104</v>
      </c>
      <c r="E9" s="34"/>
      <c r="F9" s="35" t="str">
        <f t="shared" si="0"/>
        <v>○</v>
      </c>
      <c r="G9" s="36" t="str">
        <f t="shared" si="1"/>
        <v/>
      </c>
      <c r="H9" s="37"/>
      <c r="I9" s="38" t="s">
        <v>116</v>
      </c>
      <c r="J9" s="34"/>
      <c r="K9" s="35" t="str">
        <f t="shared" si="2"/>
        <v>○</v>
      </c>
      <c r="L9" s="36" t="str">
        <f t="shared" si="3"/>
        <v/>
      </c>
      <c r="M9" s="37"/>
      <c r="N9" s="38" t="s">
        <v>116</v>
      </c>
      <c r="O9" s="34"/>
      <c r="P9" s="35" t="str">
        <f t="shared" si="4"/>
        <v>○</v>
      </c>
      <c r="Q9" s="36" t="str">
        <f t="shared" si="5"/>
        <v/>
      </c>
      <c r="R9" s="37"/>
      <c r="S9" s="38" t="s">
        <v>116</v>
      </c>
      <c r="T9" s="34"/>
      <c r="U9" s="35" t="str">
        <f t="shared" si="6"/>
        <v>○</v>
      </c>
      <c r="V9" s="36" t="str">
        <f t="shared" si="7"/>
        <v/>
      </c>
      <c r="W9" s="37"/>
      <c r="X9" s="38" t="s">
        <v>105</v>
      </c>
      <c r="Y9" s="34"/>
      <c r="Z9" s="35" t="str">
        <f t="shared" si="8"/>
        <v>○</v>
      </c>
      <c r="AA9" s="36" t="str">
        <f t="shared" si="9"/>
        <v/>
      </c>
      <c r="AB9" s="37"/>
      <c r="AC9" s="38" t="s">
        <v>105</v>
      </c>
      <c r="AD9" s="34"/>
      <c r="AE9" s="35" t="str">
        <f t="shared" si="10"/>
        <v>○</v>
      </c>
      <c r="AF9" s="36" t="str">
        <f t="shared" si="11"/>
        <v/>
      </c>
      <c r="AG9" s="37"/>
      <c r="AH9" s="38" t="s">
        <v>117</v>
      </c>
      <c r="AI9" s="34"/>
      <c r="AJ9" s="35" t="str">
        <f t="shared" si="12"/>
        <v>○</v>
      </c>
      <c r="AK9" s="36" t="str">
        <f t="shared" si="13"/>
        <v/>
      </c>
      <c r="AL9" s="37"/>
      <c r="AM9" s="38" t="s">
        <v>116</v>
      </c>
      <c r="AN9" s="34"/>
      <c r="AO9" s="35" t="str">
        <f t="shared" si="14"/>
        <v>○</v>
      </c>
      <c r="AP9" s="36" t="str">
        <f t="shared" si="15"/>
        <v/>
      </c>
      <c r="AQ9" s="37"/>
      <c r="AR9" s="38" t="s">
        <v>116</v>
      </c>
      <c r="AS9" s="34"/>
      <c r="AT9" s="35" t="str">
        <f t="shared" si="16"/>
        <v>○</v>
      </c>
      <c r="AU9" s="36" t="str">
        <f t="shared" si="17"/>
        <v/>
      </c>
      <c r="AV9" s="37"/>
      <c r="AW9" s="38" t="s">
        <v>124</v>
      </c>
      <c r="AX9" s="34"/>
      <c r="AY9" s="35" t="str">
        <f t="shared" si="18"/>
        <v>○</v>
      </c>
      <c r="AZ9" s="36" t="str">
        <f t="shared" si="19"/>
        <v/>
      </c>
      <c r="BA9" s="37"/>
      <c r="BB9" s="38" t="s">
        <v>104</v>
      </c>
      <c r="BC9" s="34"/>
      <c r="BD9" s="35" t="str">
        <f t="shared" si="20"/>
        <v>○</v>
      </c>
      <c r="BE9" s="36" t="str">
        <f t="shared" si="21"/>
        <v/>
      </c>
      <c r="BF9" s="37"/>
      <c r="BG9" s="38" t="s">
        <v>116</v>
      </c>
      <c r="BH9" s="34"/>
      <c r="BI9" s="35" t="str">
        <f t="shared" si="22"/>
        <v>○</v>
      </c>
      <c r="BJ9" s="36" t="str">
        <f t="shared" si="23"/>
        <v/>
      </c>
      <c r="BK9" s="37"/>
      <c r="BL9" s="33"/>
      <c r="BM9" s="34"/>
      <c r="BN9" s="35" t="str">
        <f t="shared" si="24"/>
        <v/>
      </c>
      <c r="BO9" s="36" t="str">
        <f t="shared" si="25"/>
        <v/>
      </c>
      <c r="BP9" s="37"/>
      <c r="BQ9" s="33"/>
      <c r="BR9" s="34"/>
      <c r="BS9" s="35" t="str">
        <f t="shared" si="26"/>
        <v/>
      </c>
      <c r="BT9" s="36" t="str">
        <f t="shared" si="27"/>
        <v/>
      </c>
      <c r="BU9" s="37"/>
      <c r="BV9" s="33"/>
      <c r="BW9" s="34"/>
      <c r="BX9" s="35" t="str">
        <f t="shared" si="28"/>
        <v/>
      </c>
      <c r="BY9" s="36" t="str">
        <f t="shared" si="29"/>
        <v/>
      </c>
      <c r="BZ9" s="37"/>
      <c r="CA9" s="33"/>
      <c r="CB9" s="34"/>
      <c r="CC9" s="35" t="str">
        <f t="shared" si="30"/>
        <v/>
      </c>
      <c r="CD9" s="36" t="str">
        <f t="shared" si="31"/>
        <v/>
      </c>
      <c r="CE9" s="37"/>
      <c r="CF9" s="33"/>
      <c r="CG9" s="34"/>
      <c r="CH9" s="35" t="str">
        <f t="shared" si="32"/>
        <v/>
      </c>
      <c r="CI9" s="36" t="str">
        <f t="shared" si="33"/>
        <v/>
      </c>
      <c r="CJ9" s="37"/>
      <c r="CK9" s="33"/>
      <c r="CL9" s="34"/>
      <c r="CM9" s="35" t="str">
        <f t="shared" si="34"/>
        <v/>
      </c>
      <c r="CN9" s="36" t="str">
        <f t="shared" si="35"/>
        <v/>
      </c>
      <c r="CO9" s="37"/>
      <c r="CP9" s="33"/>
      <c r="CQ9" s="34"/>
      <c r="CR9" s="35" t="str">
        <f t="shared" si="36"/>
        <v/>
      </c>
      <c r="CS9" s="36" t="str">
        <f t="shared" si="37"/>
        <v/>
      </c>
      <c r="CT9" s="37"/>
      <c r="CU9" s="33"/>
      <c r="CV9" s="34"/>
      <c r="CW9" s="35" t="str">
        <f t="shared" si="38"/>
        <v/>
      </c>
      <c r="CX9" s="36" t="str">
        <f t="shared" si="39"/>
        <v/>
      </c>
      <c r="CY9" s="37"/>
      <c r="CZ9" s="33"/>
      <c r="DA9" s="34"/>
      <c r="DB9" s="35" t="str">
        <f t="shared" si="40"/>
        <v/>
      </c>
      <c r="DC9" s="36" t="str">
        <f t="shared" si="41"/>
        <v/>
      </c>
      <c r="DD9" s="37"/>
      <c r="DE9" s="33"/>
      <c r="DF9" s="34"/>
      <c r="DG9" s="35" t="str">
        <f t="shared" si="42"/>
        <v/>
      </c>
      <c r="DH9" s="36" t="str">
        <f t="shared" si="43"/>
        <v/>
      </c>
      <c r="DI9" s="37"/>
      <c r="DJ9" s="33"/>
      <c r="DK9" s="34"/>
      <c r="DL9" s="35" t="str">
        <f t="shared" si="44"/>
        <v/>
      </c>
      <c r="DM9" s="36" t="str">
        <f t="shared" si="45"/>
        <v/>
      </c>
      <c r="DN9" s="37"/>
      <c r="DO9" s="33"/>
      <c r="DP9" s="34"/>
      <c r="DQ9" s="35" t="str">
        <f t="shared" si="46"/>
        <v/>
      </c>
      <c r="DR9" s="36" t="str">
        <f t="shared" si="47"/>
        <v/>
      </c>
      <c r="DS9" s="37"/>
      <c r="DT9" s="33"/>
      <c r="DU9" s="34"/>
      <c r="DV9" s="35" t="str">
        <f t="shared" si="48"/>
        <v/>
      </c>
      <c r="DW9" s="36" t="str">
        <f t="shared" si="49"/>
        <v/>
      </c>
      <c r="DX9" s="37"/>
      <c r="DY9" s="33"/>
      <c r="DZ9" s="34"/>
      <c r="EA9" s="35" t="str">
        <f t="shared" si="50"/>
        <v/>
      </c>
      <c r="EB9" s="36" t="str">
        <f t="shared" si="51"/>
        <v/>
      </c>
      <c r="EC9" s="37"/>
      <c r="ED9" s="33"/>
      <c r="EE9" s="34"/>
      <c r="EF9" s="35" t="str">
        <f t="shared" si="52"/>
        <v/>
      </c>
      <c r="EG9" s="36" t="str">
        <f t="shared" si="53"/>
        <v/>
      </c>
      <c r="EH9" s="37"/>
      <c r="EI9" s="33"/>
      <c r="EJ9" s="34"/>
      <c r="EK9" s="35" t="str">
        <f t="shared" si="54"/>
        <v/>
      </c>
      <c r="EL9" s="36" t="str">
        <f t="shared" si="55"/>
        <v/>
      </c>
      <c r="EM9" s="37"/>
      <c r="EN9" s="33"/>
      <c r="EO9" s="34"/>
      <c r="EP9" s="35" t="str">
        <f t="shared" si="56"/>
        <v/>
      </c>
      <c r="EQ9" s="36" t="str">
        <f t="shared" si="57"/>
        <v/>
      </c>
      <c r="ER9" s="37"/>
      <c r="ES9" s="33"/>
      <c r="ET9" s="34"/>
      <c r="EU9" s="35" t="str">
        <f t="shared" si="58"/>
        <v/>
      </c>
      <c r="EV9" s="36" t="str">
        <f t="shared" si="59"/>
        <v/>
      </c>
      <c r="EW9" s="37"/>
    </row>
    <row r="10" spans="1:153" ht="19.5" customHeight="1">
      <c r="A10" s="32">
        <f>IF(DAY(DATE(対象年度,2,7))&lt;&gt;7,"",7)</f>
        <v>7</v>
      </c>
      <c r="B10" s="32" t="str">
        <f>IF(DAY(DATE(対象年度,2,7))&lt;&gt;7,"",CHOOSE(WEEKDAY(DATE(対象年度,2,7),2),"月","火","水","木","金","土","日"))</f>
        <v>土</v>
      </c>
      <c r="C10" s="32" t="str">
        <f>IF(DAY(DATE(対象年度,2,7))&lt;&gt;7,"",IF(ISNUMBER(MATCH(DATE(対象年度,2,7),祝日リスト,0)),"祝",""))</f>
        <v/>
      </c>
      <c r="D10" s="33"/>
      <c r="E10" s="34"/>
      <c r="F10" s="35" t="str">
        <f t="shared" si="0"/>
        <v/>
      </c>
      <c r="G10" s="36" t="str">
        <f t="shared" si="1"/>
        <v/>
      </c>
      <c r="H10" s="37"/>
      <c r="I10" s="38" t="s">
        <v>105</v>
      </c>
      <c r="J10" s="34"/>
      <c r="K10" s="35" t="str">
        <f t="shared" si="2"/>
        <v>○</v>
      </c>
      <c r="L10" s="36" t="str">
        <f t="shared" si="3"/>
        <v/>
      </c>
      <c r="M10" s="37"/>
      <c r="N10" s="38" t="s">
        <v>116</v>
      </c>
      <c r="O10" s="34"/>
      <c r="P10" s="35" t="str">
        <f t="shared" si="4"/>
        <v>○</v>
      </c>
      <c r="Q10" s="36" t="str">
        <f t="shared" si="5"/>
        <v/>
      </c>
      <c r="R10" s="37"/>
      <c r="S10" s="38" t="s">
        <v>116</v>
      </c>
      <c r="T10" s="34"/>
      <c r="U10" s="35" t="str">
        <f t="shared" si="6"/>
        <v>○</v>
      </c>
      <c r="V10" s="36" t="str">
        <f t="shared" si="7"/>
        <v/>
      </c>
      <c r="W10" s="37"/>
      <c r="X10" s="38" t="s">
        <v>105</v>
      </c>
      <c r="Y10" s="34"/>
      <c r="Z10" s="35" t="str">
        <f t="shared" si="8"/>
        <v>○</v>
      </c>
      <c r="AA10" s="36" t="str">
        <f t="shared" si="9"/>
        <v/>
      </c>
      <c r="AB10" s="37"/>
      <c r="AC10" s="38" t="s">
        <v>116</v>
      </c>
      <c r="AD10" s="34"/>
      <c r="AE10" s="35" t="str">
        <f t="shared" si="10"/>
        <v>○</v>
      </c>
      <c r="AF10" s="36" t="str">
        <f t="shared" si="11"/>
        <v/>
      </c>
      <c r="AG10" s="37"/>
      <c r="AH10" s="33"/>
      <c r="AI10" s="34"/>
      <c r="AJ10" s="35" t="str">
        <f t="shared" si="12"/>
        <v/>
      </c>
      <c r="AK10" s="36" t="str">
        <f t="shared" si="13"/>
        <v/>
      </c>
      <c r="AL10" s="37"/>
      <c r="AM10" s="38" t="s">
        <v>116</v>
      </c>
      <c r="AN10" s="34"/>
      <c r="AO10" s="35" t="str">
        <f t="shared" si="14"/>
        <v>○</v>
      </c>
      <c r="AP10" s="36" t="str">
        <f t="shared" si="15"/>
        <v/>
      </c>
      <c r="AQ10" s="37"/>
      <c r="AR10" s="38" t="s">
        <v>116</v>
      </c>
      <c r="AS10" s="34"/>
      <c r="AT10" s="35" t="str">
        <f t="shared" si="16"/>
        <v>○</v>
      </c>
      <c r="AU10" s="36" t="str">
        <f t="shared" si="17"/>
        <v/>
      </c>
      <c r="AV10" s="37"/>
      <c r="AW10" s="33"/>
      <c r="AX10" s="34"/>
      <c r="AY10" s="35" t="str">
        <f t="shared" si="18"/>
        <v/>
      </c>
      <c r="AZ10" s="36" t="str">
        <f t="shared" si="19"/>
        <v/>
      </c>
      <c r="BA10" s="37"/>
      <c r="BB10" s="33"/>
      <c r="BC10" s="34"/>
      <c r="BD10" s="35" t="str">
        <f t="shared" si="20"/>
        <v/>
      </c>
      <c r="BE10" s="36" t="str">
        <f t="shared" si="21"/>
        <v/>
      </c>
      <c r="BF10" s="37"/>
      <c r="BG10" s="38" t="s">
        <v>116</v>
      </c>
      <c r="BH10" s="34"/>
      <c r="BI10" s="35" t="str">
        <f t="shared" si="22"/>
        <v>○</v>
      </c>
      <c r="BJ10" s="36" t="str">
        <f t="shared" si="23"/>
        <v/>
      </c>
      <c r="BK10" s="37"/>
      <c r="BL10" s="33"/>
      <c r="BM10" s="34"/>
      <c r="BN10" s="35" t="str">
        <f t="shared" si="24"/>
        <v/>
      </c>
      <c r="BO10" s="36" t="str">
        <f t="shared" si="25"/>
        <v/>
      </c>
      <c r="BP10" s="37"/>
      <c r="BQ10" s="33"/>
      <c r="BR10" s="34"/>
      <c r="BS10" s="35" t="str">
        <f t="shared" si="26"/>
        <v/>
      </c>
      <c r="BT10" s="36" t="str">
        <f t="shared" si="27"/>
        <v/>
      </c>
      <c r="BU10" s="37"/>
      <c r="BV10" s="33"/>
      <c r="BW10" s="34"/>
      <c r="BX10" s="35" t="str">
        <f t="shared" si="28"/>
        <v/>
      </c>
      <c r="BY10" s="36" t="str">
        <f t="shared" si="29"/>
        <v/>
      </c>
      <c r="BZ10" s="37"/>
      <c r="CA10" s="33"/>
      <c r="CB10" s="34"/>
      <c r="CC10" s="35" t="str">
        <f t="shared" si="30"/>
        <v/>
      </c>
      <c r="CD10" s="36" t="str">
        <f t="shared" si="31"/>
        <v/>
      </c>
      <c r="CE10" s="37"/>
      <c r="CF10" s="33"/>
      <c r="CG10" s="34"/>
      <c r="CH10" s="35" t="str">
        <f t="shared" si="32"/>
        <v/>
      </c>
      <c r="CI10" s="36" t="str">
        <f t="shared" si="33"/>
        <v/>
      </c>
      <c r="CJ10" s="37"/>
      <c r="CK10" s="33"/>
      <c r="CL10" s="34"/>
      <c r="CM10" s="35" t="str">
        <f t="shared" si="34"/>
        <v/>
      </c>
      <c r="CN10" s="36" t="str">
        <f t="shared" si="35"/>
        <v/>
      </c>
      <c r="CO10" s="37"/>
      <c r="CP10" s="33"/>
      <c r="CQ10" s="34"/>
      <c r="CR10" s="35" t="str">
        <f t="shared" si="36"/>
        <v/>
      </c>
      <c r="CS10" s="36" t="str">
        <f t="shared" si="37"/>
        <v/>
      </c>
      <c r="CT10" s="37"/>
      <c r="CU10" s="33"/>
      <c r="CV10" s="34"/>
      <c r="CW10" s="35" t="str">
        <f t="shared" si="38"/>
        <v/>
      </c>
      <c r="CX10" s="36" t="str">
        <f t="shared" si="39"/>
        <v/>
      </c>
      <c r="CY10" s="37"/>
      <c r="CZ10" s="33"/>
      <c r="DA10" s="34"/>
      <c r="DB10" s="35" t="str">
        <f t="shared" si="40"/>
        <v/>
      </c>
      <c r="DC10" s="36" t="str">
        <f t="shared" si="41"/>
        <v/>
      </c>
      <c r="DD10" s="37"/>
      <c r="DE10" s="33"/>
      <c r="DF10" s="34"/>
      <c r="DG10" s="35" t="str">
        <f t="shared" si="42"/>
        <v/>
      </c>
      <c r="DH10" s="36" t="str">
        <f t="shared" si="43"/>
        <v/>
      </c>
      <c r="DI10" s="37"/>
      <c r="DJ10" s="33"/>
      <c r="DK10" s="34"/>
      <c r="DL10" s="35" t="str">
        <f t="shared" si="44"/>
        <v/>
      </c>
      <c r="DM10" s="36" t="str">
        <f t="shared" si="45"/>
        <v/>
      </c>
      <c r="DN10" s="37"/>
      <c r="DO10" s="33"/>
      <c r="DP10" s="34"/>
      <c r="DQ10" s="35" t="str">
        <f t="shared" si="46"/>
        <v/>
      </c>
      <c r="DR10" s="36" t="str">
        <f t="shared" si="47"/>
        <v/>
      </c>
      <c r="DS10" s="37"/>
      <c r="DT10" s="33"/>
      <c r="DU10" s="34"/>
      <c r="DV10" s="35" t="str">
        <f t="shared" si="48"/>
        <v/>
      </c>
      <c r="DW10" s="36" t="str">
        <f t="shared" si="49"/>
        <v/>
      </c>
      <c r="DX10" s="37"/>
      <c r="DY10" s="33"/>
      <c r="DZ10" s="34"/>
      <c r="EA10" s="35" t="str">
        <f t="shared" si="50"/>
        <v/>
      </c>
      <c r="EB10" s="36" t="str">
        <f t="shared" si="51"/>
        <v/>
      </c>
      <c r="EC10" s="37"/>
      <c r="ED10" s="33"/>
      <c r="EE10" s="34"/>
      <c r="EF10" s="35" t="str">
        <f t="shared" si="52"/>
        <v/>
      </c>
      <c r="EG10" s="36" t="str">
        <f t="shared" si="53"/>
        <v/>
      </c>
      <c r="EH10" s="37"/>
      <c r="EI10" s="33"/>
      <c r="EJ10" s="34"/>
      <c r="EK10" s="35" t="str">
        <f t="shared" si="54"/>
        <v/>
      </c>
      <c r="EL10" s="36" t="str">
        <f t="shared" si="55"/>
        <v/>
      </c>
      <c r="EM10" s="37"/>
      <c r="EN10" s="33"/>
      <c r="EO10" s="34"/>
      <c r="EP10" s="35" t="str">
        <f t="shared" si="56"/>
        <v/>
      </c>
      <c r="EQ10" s="36" t="str">
        <f t="shared" si="57"/>
        <v/>
      </c>
      <c r="ER10" s="37"/>
      <c r="ES10" s="33"/>
      <c r="ET10" s="34"/>
      <c r="EU10" s="35" t="str">
        <f t="shared" si="58"/>
        <v/>
      </c>
      <c r="EV10" s="36" t="str">
        <f t="shared" si="59"/>
        <v/>
      </c>
      <c r="EW10" s="37"/>
    </row>
    <row r="11" spans="1:153" ht="19.5" customHeight="1">
      <c r="A11" s="32">
        <f>IF(DAY(DATE(対象年度,2,8))&lt;&gt;8,"",8)</f>
        <v>8</v>
      </c>
      <c r="B11" s="32" t="str">
        <f>IF(DAY(DATE(対象年度,2,8))&lt;&gt;8,"",CHOOSE(WEEKDAY(DATE(対象年度,2,8),2),"月","火","水","木","金","土","日"))</f>
        <v>日</v>
      </c>
      <c r="C11" s="32" t="str">
        <f>IF(DAY(DATE(対象年度,2,8))&lt;&gt;8,"",IF(ISNUMBER(MATCH(DATE(対象年度,2,8),祝日リスト,0)),"祝",""))</f>
        <v/>
      </c>
      <c r="D11" s="33"/>
      <c r="E11" s="34"/>
      <c r="F11" s="35" t="str">
        <f t="shared" si="0"/>
        <v/>
      </c>
      <c r="G11" s="36" t="str">
        <f t="shared" si="1"/>
        <v/>
      </c>
      <c r="H11" s="37"/>
      <c r="I11" s="33"/>
      <c r="J11" s="34"/>
      <c r="K11" s="35" t="str">
        <f t="shared" si="2"/>
        <v/>
      </c>
      <c r="L11" s="36" t="str">
        <f t="shared" si="3"/>
        <v/>
      </c>
      <c r="M11" s="37"/>
      <c r="N11" s="33"/>
      <c r="O11" s="34"/>
      <c r="P11" s="35" t="str">
        <f t="shared" si="4"/>
        <v/>
      </c>
      <c r="Q11" s="36" t="str">
        <f t="shared" si="5"/>
        <v/>
      </c>
      <c r="R11" s="37"/>
      <c r="S11" s="33"/>
      <c r="T11" s="34"/>
      <c r="U11" s="35" t="str">
        <f t="shared" si="6"/>
        <v/>
      </c>
      <c r="V11" s="36" t="str">
        <f t="shared" si="7"/>
        <v/>
      </c>
      <c r="W11" s="37"/>
      <c r="X11" s="33"/>
      <c r="Y11" s="34"/>
      <c r="Z11" s="35" t="str">
        <f t="shared" si="8"/>
        <v/>
      </c>
      <c r="AA11" s="36" t="str">
        <f t="shared" si="9"/>
        <v/>
      </c>
      <c r="AB11" s="37"/>
      <c r="AC11" s="33"/>
      <c r="AD11" s="34"/>
      <c r="AE11" s="35" t="str">
        <f t="shared" si="10"/>
        <v/>
      </c>
      <c r="AF11" s="36" t="str">
        <f t="shared" si="11"/>
        <v/>
      </c>
      <c r="AG11" s="37"/>
      <c r="AH11" s="33"/>
      <c r="AI11" s="34"/>
      <c r="AJ11" s="35" t="str">
        <f t="shared" si="12"/>
        <v/>
      </c>
      <c r="AK11" s="36" t="str">
        <f t="shared" si="13"/>
        <v/>
      </c>
      <c r="AL11" s="37"/>
      <c r="AM11" s="33"/>
      <c r="AN11" s="34"/>
      <c r="AO11" s="35" t="str">
        <f t="shared" si="14"/>
        <v/>
      </c>
      <c r="AP11" s="36" t="str">
        <f t="shared" si="15"/>
        <v/>
      </c>
      <c r="AQ11" s="37"/>
      <c r="AR11" s="33"/>
      <c r="AS11" s="34"/>
      <c r="AT11" s="35" t="str">
        <f t="shared" si="16"/>
        <v/>
      </c>
      <c r="AU11" s="36" t="str">
        <f t="shared" si="17"/>
        <v/>
      </c>
      <c r="AV11" s="37"/>
      <c r="AW11" s="33"/>
      <c r="AX11" s="34"/>
      <c r="AY11" s="35" t="str">
        <f t="shared" si="18"/>
        <v/>
      </c>
      <c r="AZ11" s="36" t="str">
        <f t="shared" si="19"/>
        <v/>
      </c>
      <c r="BA11" s="37"/>
      <c r="BB11" s="33"/>
      <c r="BC11" s="34"/>
      <c r="BD11" s="35" t="str">
        <f t="shared" si="20"/>
        <v/>
      </c>
      <c r="BE11" s="36" t="str">
        <f t="shared" si="21"/>
        <v/>
      </c>
      <c r="BF11" s="37"/>
      <c r="BG11" s="33"/>
      <c r="BH11" s="34"/>
      <c r="BI11" s="35" t="str">
        <f t="shared" si="22"/>
        <v/>
      </c>
      <c r="BJ11" s="36" t="str">
        <f t="shared" si="23"/>
        <v/>
      </c>
      <c r="BK11" s="37"/>
      <c r="BL11" s="33"/>
      <c r="BM11" s="34"/>
      <c r="BN11" s="35" t="str">
        <f t="shared" si="24"/>
        <v/>
      </c>
      <c r="BO11" s="36" t="str">
        <f t="shared" si="25"/>
        <v/>
      </c>
      <c r="BP11" s="37"/>
      <c r="BQ11" s="33"/>
      <c r="BR11" s="34"/>
      <c r="BS11" s="35" t="str">
        <f t="shared" si="26"/>
        <v/>
      </c>
      <c r="BT11" s="36" t="str">
        <f t="shared" si="27"/>
        <v/>
      </c>
      <c r="BU11" s="37"/>
      <c r="BV11" s="33"/>
      <c r="BW11" s="34"/>
      <c r="BX11" s="35" t="str">
        <f t="shared" si="28"/>
        <v/>
      </c>
      <c r="BY11" s="36" t="str">
        <f t="shared" si="29"/>
        <v/>
      </c>
      <c r="BZ11" s="37"/>
      <c r="CA11" s="33"/>
      <c r="CB11" s="34"/>
      <c r="CC11" s="35" t="str">
        <f t="shared" si="30"/>
        <v/>
      </c>
      <c r="CD11" s="36" t="str">
        <f t="shared" si="31"/>
        <v/>
      </c>
      <c r="CE11" s="37"/>
      <c r="CF11" s="33"/>
      <c r="CG11" s="34"/>
      <c r="CH11" s="35" t="str">
        <f t="shared" si="32"/>
        <v/>
      </c>
      <c r="CI11" s="36" t="str">
        <f t="shared" si="33"/>
        <v/>
      </c>
      <c r="CJ11" s="37"/>
      <c r="CK11" s="33"/>
      <c r="CL11" s="34"/>
      <c r="CM11" s="35" t="str">
        <f t="shared" si="34"/>
        <v/>
      </c>
      <c r="CN11" s="36" t="str">
        <f t="shared" si="35"/>
        <v/>
      </c>
      <c r="CO11" s="37"/>
      <c r="CP11" s="33"/>
      <c r="CQ11" s="34"/>
      <c r="CR11" s="35" t="str">
        <f t="shared" si="36"/>
        <v/>
      </c>
      <c r="CS11" s="36" t="str">
        <f t="shared" si="37"/>
        <v/>
      </c>
      <c r="CT11" s="37"/>
      <c r="CU11" s="33"/>
      <c r="CV11" s="34"/>
      <c r="CW11" s="35" t="str">
        <f t="shared" si="38"/>
        <v/>
      </c>
      <c r="CX11" s="36" t="str">
        <f t="shared" si="39"/>
        <v/>
      </c>
      <c r="CY11" s="37"/>
      <c r="CZ11" s="33"/>
      <c r="DA11" s="34"/>
      <c r="DB11" s="35" t="str">
        <f t="shared" si="40"/>
        <v/>
      </c>
      <c r="DC11" s="36" t="str">
        <f t="shared" si="41"/>
        <v/>
      </c>
      <c r="DD11" s="37"/>
      <c r="DE11" s="33"/>
      <c r="DF11" s="34"/>
      <c r="DG11" s="35" t="str">
        <f t="shared" si="42"/>
        <v/>
      </c>
      <c r="DH11" s="36" t="str">
        <f t="shared" si="43"/>
        <v/>
      </c>
      <c r="DI11" s="37"/>
      <c r="DJ11" s="33"/>
      <c r="DK11" s="34"/>
      <c r="DL11" s="35" t="str">
        <f t="shared" si="44"/>
        <v/>
      </c>
      <c r="DM11" s="36" t="str">
        <f t="shared" si="45"/>
        <v/>
      </c>
      <c r="DN11" s="37"/>
      <c r="DO11" s="33"/>
      <c r="DP11" s="34"/>
      <c r="DQ11" s="35" t="str">
        <f t="shared" si="46"/>
        <v/>
      </c>
      <c r="DR11" s="36" t="str">
        <f t="shared" si="47"/>
        <v/>
      </c>
      <c r="DS11" s="37"/>
      <c r="DT11" s="33"/>
      <c r="DU11" s="34"/>
      <c r="DV11" s="35" t="str">
        <f t="shared" si="48"/>
        <v/>
      </c>
      <c r="DW11" s="36" t="str">
        <f t="shared" si="49"/>
        <v/>
      </c>
      <c r="DX11" s="37"/>
      <c r="DY11" s="33"/>
      <c r="DZ11" s="34"/>
      <c r="EA11" s="35" t="str">
        <f t="shared" si="50"/>
        <v/>
      </c>
      <c r="EB11" s="36" t="str">
        <f t="shared" si="51"/>
        <v/>
      </c>
      <c r="EC11" s="37"/>
      <c r="ED11" s="33"/>
      <c r="EE11" s="34"/>
      <c r="EF11" s="35" t="str">
        <f t="shared" si="52"/>
        <v/>
      </c>
      <c r="EG11" s="36" t="str">
        <f t="shared" si="53"/>
        <v/>
      </c>
      <c r="EH11" s="37"/>
      <c r="EI11" s="33"/>
      <c r="EJ11" s="34"/>
      <c r="EK11" s="35" t="str">
        <f t="shared" si="54"/>
        <v/>
      </c>
      <c r="EL11" s="36" t="str">
        <f t="shared" si="55"/>
        <v/>
      </c>
      <c r="EM11" s="37"/>
      <c r="EN11" s="33"/>
      <c r="EO11" s="34"/>
      <c r="EP11" s="35" t="str">
        <f t="shared" si="56"/>
        <v/>
      </c>
      <c r="EQ11" s="36" t="str">
        <f t="shared" si="57"/>
        <v/>
      </c>
      <c r="ER11" s="37"/>
      <c r="ES11" s="33"/>
      <c r="ET11" s="34"/>
      <c r="EU11" s="35" t="str">
        <f t="shared" si="58"/>
        <v/>
      </c>
      <c r="EV11" s="36" t="str">
        <f t="shared" si="59"/>
        <v/>
      </c>
      <c r="EW11" s="37"/>
    </row>
    <row r="12" spans="1:153" ht="19.5" customHeight="1">
      <c r="A12" s="32">
        <f>IF(DAY(DATE(対象年度,2,9))&lt;&gt;9,"",9)</f>
        <v>9</v>
      </c>
      <c r="B12" s="32" t="str">
        <f>IF(DAY(DATE(対象年度,2,9))&lt;&gt;9,"",CHOOSE(WEEKDAY(DATE(対象年度,2,9),2),"月","火","水","木","金","土","日"))</f>
        <v>月</v>
      </c>
      <c r="C12" s="32" t="str">
        <f>IF(DAY(DATE(対象年度,2,9))&lt;&gt;9,"",IF(ISNUMBER(MATCH(DATE(対象年度,2,9),祝日リスト,0)),"祝",""))</f>
        <v/>
      </c>
      <c r="D12" s="38" t="s">
        <v>104</v>
      </c>
      <c r="E12" s="34"/>
      <c r="F12" s="35" t="str">
        <f t="shared" si="0"/>
        <v>○</v>
      </c>
      <c r="G12" s="36" t="str">
        <f t="shared" si="1"/>
        <v/>
      </c>
      <c r="H12" s="37"/>
      <c r="I12" s="38" t="s">
        <v>116</v>
      </c>
      <c r="J12" s="34"/>
      <c r="K12" s="35" t="str">
        <f t="shared" si="2"/>
        <v>○</v>
      </c>
      <c r="L12" s="36" t="str">
        <f t="shared" si="3"/>
        <v/>
      </c>
      <c r="M12" s="37"/>
      <c r="N12" s="38" t="s">
        <v>116</v>
      </c>
      <c r="O12" s="34"/>
      <c r="P12" s="35" t="str">
        <f t="shared" si="4"/>
        <v>○</v>
      </c>
      <c r="Q12" s="36" t="str">
        <f t="shared" si="5"/>
        <v/>
      </c>
      <c r="R12" s="37"/>
      <c r="S12" s="38" t="s">
        <v>116</v>
      </c>
      <c r="T12" s="34"/>
      <c r="U12" s="35" t="str">
        <f t="shared" si="6"/>
        <v>○</v>
      </c>
      <c r="V12" s="36" t="str">
        <f t="shared" si="7"/>
        <v/>
      </c>
      <c r="W12" s="37"/>
      <c r="X12" s="38" t="s">
        <v>105</v>
      </c>
      <c r="Y12" s="34"/>
      <c r="Z12" s="35" t="str">
        <f t="shared" si="8"/>
        <v>○</v>
      </c>
      <c r="AA12" s="36" t="str">
        <f t="shared" si="9"/>
        <v/>
      </c>
      <c r="AB12" s="37"/>
      <c r="AC12" s="38" t="s">
        <v>116</v>
      </c>
      <c r="AD12" s="34"/>
      <c r="AE12" s="35" t="str">
        <f t="shared" si="10"/>
        <v>○</v>
      </c>
      <c r="AF12" s="36" t="str">
        <f t="shared" si="11"/>
        <v/>
      </c>
      <c r="AG12" s="37"/>
      <c r="AH12" s="38" t="s">
        <v>117</v>
      </c>
      <c r="AI12" s="34"/>
      <c r="AJ12" s="35" t="str">
        <f t="shared" si="12"/>
        <v>○</v>
      </c>
      <c r="AK12" s="36" t="str">
        <f t="shared" si="13"/>
        <v/>
      </c>
      <c r="AL12" s="37"/>
      <c r="AM12" s="38" t="s">
        <v>116</v>
      </c>
      <c r="AN12" s="34"/>
      <c r="AO12" s="35" t="str">
        <f t="shared" si="14"/>
        <v>○</v>
      </c>
      <c r="AP12" s="36" t="str">
        <f t="shared" si="15"/>
        <v/>
      </c>
      <c r="AQ12" s="37"/>
      <c r="AR12" s="38" t="s">
        <v>116</v>
      </c>
      <c r="AS12" s="34"/>
      <c r="AT12" s="35" t="str">
        <f t="shared" si="16"/>
        <v>○</v>
      </c>
      <c r="AU12" s="36" t="str">
        <f t="shared" si="17"/>
        <v/>
      </c>
      <c r="AV12" s="37"/>
      <c r="AW12" s="38" t="s">
        <v>124</v>
      </c>
      <c r="AX12" s="34"/>
      <c r="AY12" s="35" t="str">
        <f t="shared" si="18"/>
        <v>○</v>
      </c>
      <c r="AZ12" s="36" t="str">
        <f t="shared" si="19"/>
        <v/>
      </c>
      <c r="BA12" s="37"/>
      <c r="BB12" s="38" t="s">
        <v>104</v>
      </c>
      <c r="BC12" s="34"/>
      <c r="BD12" s="35" t="str">
        <f t="shared" si="20"/>
        <v>○</v>
      </c>
      <c r="BE12" s="36" t="str">
        <f t="shared" si="21"/>
        <v/>
      </c>
      <c r="BF12" s="37"/>
      <c r="BG12" s="38" t="s">
        <v>116</v>
      </c>
      <c r="BH12" s="34"/>
      <c r="BI12" s="35" t="str">
        <f t="shared" si="22"/>
        <v>○</v>
      </c>
      <c r="BJ12" s="36" t="str">
        <f t="shared" si="23"/>
        <v/>
      </c>
      <c r="BK12" s="37"/>
      <c r="BL12" s="33"/>
      <c r="BM12" s="34"/>
      <c r="BN12" s="35" t="str">
        <f t="shared" si="24"/>
        <v/>
      </c>
      <c r="BO12" s="36" t="str">
        <f t="shared" si="25"/>
        <v/>
      </c>
      <c r="BP12" s="37"/>
      <c r="BQ12" s="33"/>
      <c r="BR12" s="34"/>
      <c r="BS12" s="35" t="str">
        <f t="shared" si="26"/>
        <v/>
      </c>
      <c r="BT12" s="36" t="str">
        <f t="shared" si="27"/>
        <v/>
      </c>
      <c r="BU12" s="37"/>
      <c r="BV12" s="33"/>
      <c r="BW12" s="34"/>
      <c r="BX12" s="35" t="str">
        <f t="shared" si="28"/>
        <v/>
      </c>
      <c r="BY12" s="36" t="str">
        <f t="shared" si="29"/>
        <v/>
      </c>
      <c r="BZ12" s="37"/>
      <c r="CA12" s="33"/>
      <c r="CB12" s="34"/>
      <c r="CC12" s="35" t="str">
        <f t="shared" si="30"/>
        <v/>
      </c>
      <c r="CD12" s="36" t="str">
        <f t="shared" si="31"/>
        <v/>
      </c>
      <c r="CE12" s="37"/>
      <c r="CF12" s="33"/>
      <c r="CG12" s="34"/>
      <c r="CH12" s="35" t="str">
        <f t="shared" si="32"/>
        <v/>
      </c>
      <c r="CI12" s="36" t="str">
        <f t="shared" si="33"/>
        <v/>
      </c>
      <c r="CJ12" s="37"/>
      <c r="CK12" s="33"/>
      <c r="CL12" s="34"/>
      <c r="CM12" s="35" t="str">
        <f t="shared" si="34"/>
        <v/>
      </c>
      <c r="CN12" s="36" t="str">
        <f t="shared" si="35"/>
        <v/>
      </c>
      <c r="CO12" s="37"/>
      <c r="CP12" s="33"/>
      <c r="CQ12" s="34"/>
      <c r="CR12" s="35" t="str">
        <f t="shared" si="36"/>
        <v/>
      </c>
      <c r="CS12" s="36" t="str">
        <f t="shared" si="37"/>
        <v/>
      </c>
      <c r="CT12" s="37"/>
      <c r="CU12" s="33"/>
      <c r="CV12" s="34"/>
      <c r="CW12" s="35" t="str">
        <f t="shared" si="38"/>
        <v/>
      </c>
      <c r="CX12" s="36" t="str">
        <f t="shared" si="39"/>
        <v/>
      </c>
      <c r="CY12" s="37"/>
      <c r="CZ12" s="33"/>
      <c r="DA12" s="34"/>
      <c r="DB12" s="35" t="str">
        <f t="shared" si="40"/>
        <v/>
      </c>
      <c r="DC12" s="36" t="str">
        <f t="shared" si="41"/>
        <v/>
      </c>
      <c r="DD12" s="37"/>
      <c r="DE12" s="33"/>
      <c r="DF12" s="34"/>
      <c r="DG12" s="35" t="str">
        <f t="shared" si="42"/>
        <v/>
      </c>
      <c r="DH12" s="36" t="str">
        <f t="shared" si="43"/>
        <v/>
      </c>
      <c r="DI12" s="37"/>
      <c r="DJ12" s="33"/>
      <c r="DK12" s="34"/>
      <c r="DL12" s="35" t="str">
        <f t="shared" si="44"/>
        <v/>
      </c>
      <c r="DM12" s="36" t="str">
        <f t="shared" si="45"/>
        <v/>
      </c>
      <c r="DN12" s="37"/>
      <c r="DO12" s="33"/>
      <c r="DP12" s="34"/>
      <c r="DQ12" s="35" t="str">
        <f t="shared" si="46"/>
        <v/>
      </c>
      <c r="DR12" s="36" t="str">
        <f t="shared" si="47"/>
        <v/>
      </c>
      <c r="DS12" s="37"/>
      <c r="DT12" s="33"/>
      <c r="DU12" s="34"/>
      <c r="DV12" s="35" t="str">
        <f t="shared" si="48"/>
        <v/>
      </c>
      <c r="DW12" s="36" t="str">
        <f t="shared" si="49"/>
        <v/>
      </c>
      <c r="DX12" s="37"/>
      <c r="DY12" s="33"/>
      <c r="DZ12" s="34"/>
      <c r="EA12" s="35" t="str">
        <f t="shared" si="50"/>
        <v/>
      </c>
      <c r="EB12" s="36" t="str">
        <f t="shared" si="51"/>
        <v/>
      </c>
      <c r="EC12" s="37"/>
      <c r="ED12" s="33"/>
      <c r="EE12" s="34"/>
      <c r="EF12" s="35" t="str">
        <f t="shared" si="52"/>
        <v/>
      </c>
      <c r="EG12" s="36" t="str">
        <f t="shared" si="53"/>
        <v/>
      </c>
      <c r="EH12" s="37"/>
      <c r="EI12" s="33"/>
      <c r="EJ12" s="34"/>
      <c r="EK12" s="35" t="str">
        <f t="shared" si="54"/>
        <v/>
      </c>
      <c r="EL12" s="36" t="str">
        <f t="shared" si="55"/>
        <v/>
      </c>
      <c r="EM12" s="37"/>
      <c r="EN12" s="33"/>
      <c r="EO12" s="34"/>
      <c r="EP12" s="35" t="str">
        <f t="shared" si="56"/>
        <v/>
      </c>
      <c r="EQ12" s="36" t="str">
        <f t="shared" si="57"/>
        <v/>
      </c>
      <c r="ER12" s="37"/>
      <c r="ES12" s="33"/>
      <c r="ET12" s="34"/>
      <c r="EU12" s="35" t="str">
        <f t="shared" si="58"/>
        <v/>
      </c>
      <c r="EV12" s="36" t="str">
        <f t="shared" si="59"/>
        <v/>
      </c>
      <c r="EW12" s="37"/>
    </row>
    <row r="13" spans="1:153" ht="19.5" customHeight="1">
      <c r="A13" s="32">
        <f>IF(DAY(DATE(対象年度,2,10))&lt;&gt;10,"",10)</f>
        <v>10</v>
      </c>
      <c r="B13" s="32" t="str">
        <f>IF(DAY(DATE(対象年度,2,10))&lt;&gt;10,"",CHOOSE(WEEKDAY(DATE(対象年度,2,10),2),"月","火","水","木","金","土","日"))</f>
        <v>火</v>
      </c>
      <c r="C13" s="32" t="str">
        <f>IF(DAY(DATE(対象年度,2,10))&lt;&gt;10,"",IF(ISNUMBER(MATCH(DATE(対象年度,2,10),祝日リスト,0)),"祝",""))</f>
        <v/>
      </c>
      <c r="D13" s="38" t="s">
        <v>104</v>
      </c>
      <c r="E13" s="34"/>
      <c r="F13" s="35" t="str">
        <f t="shared" si="0"/>
        <v>○</v>
      </c>
      <c r="G13" s="36" t="str">
        <f t="shared" si="1"/>
        <v/>
      </c>
      <c r="H13" s="37"/>
      <c r="I13" s="38" t="s">
        <v>116</v>
      </c>
      <c r="J13" s="34"/>
      <c r="K13" s="35" t="str">
        <f t="shared" si="2"/>
        <v>○</v>
      </c>
      <c r="L13" s="36" t="str">
        <f t="shared" si="3"/>
        <v/>
      </c>
      <c r="M13" s="37"/>
      <c r="N13" s="38" t="s">
        <v>116</v>
      </c>
      <c r="O13" s="34"/>
      <c r="P13" s="35" t="str">
        <f t="shared" si="4"/>
        <v>○</v>
      </c>
      <c r="Q13" s="36" t="str">
        <f t="shared" si="5"/>
        <v/>
      </c>
      <c r="R13" s="37"/>
      <c r="S13" s="38" t="s">
        <v>116</v>
      </c>
      <c r="T13" s="34"/>
      <c r="U13" s="35" t="str">
        <f t="shared" si="6"/>
        <v>○</v>
      </c>
      <c r="V13" s="36" t="str">
        <f t="shared" si="7"/>
        <v/>
      </c>
      <c r="W13" s="37"/>
      <c r="X13" s="38" t="s">
        <v>105</v>
      </c>
      <c r="Y13" s="34"/>
      <c r="Z13" s="35" t="str">
        <f t="shared" si="8"/>
        <v>○</v>
      </c>
      <c r="AA13" s="36" t="str">
        <f t="shared" si="9"/>
        <v/>
      </c>
      <c r="AB13" s="37"/>
      <c r="AC13" s="38" t="s">
        <v>116</v>
      </c>
      <c r="AD13" s="34"/>
      <c r="AE13" s="35" t="str">
        <f t="shared" si="10"/>
        <v>○</v>
      </c>
      <c r="AF13" s="36" t="str">
        <f t="shared" si="11"/>
        <v/>
      </c>
      <c r="AG13" s="37"/>
      <c r="AH13" s="33"/>
      <c r="AI13" s="34"/>
      <c r="AJ13" s="35" t="str">
        <f t="shared" si="12"/>
        <v/>
      </c>
      <c r="AK13" s="36" t="str">
        <f t="shared" si="13"/>
        <v/>
      </c>
      <c r="AL13" s="37"/>
      <c r="AM13" s="38" t="s">
        <v>116</v>
      </c>
      <c r="AN13" s="34"/>
      <c r="AO13" s="35" t="str">
        <f t="shared" si="14"/>
        <v>○</v>
      </c>
      <c r="AP13" s="36" t="str">
        <f t="shared" si="15"/>
        <v/>
      </c>
      <c r="AQ13" s="37"/>
      <c r="AR13" s="38" t="s">
        <v>116</v>
      </c>
      <c r="AS13" s="34"/>
      <c r="AT13" s="35" t="str">
        <f t="shared" si="16"/>
        <v>○</v>
      </c>
      <c r="AU13" s="36" t="str">
        <f t="shared" si="17"/>
        <v/>
      </c>
      <c r="AV13" s="37"/>
      <c r="AW13" s="38" t="s">
        <v>124</v>
      </c>
      <c r="AX13" s="34"/>
      <c r="AY13" s="35" t="str">
        <f t="shared" si="18"/>
        <v>○</v>
      </c>
      <c r="AZ13" s="36" t="str">
        <f t="shared" si="19"/>
        <v/>
      </c>
      <c r="BA13" s="37"/>
      <c r="BB13" s="38" t="s">
        <v>104</v>
      </c>
      <c r="BC13" s="34"/>
      <c r="BD13" s="35" t="str">
        <f t="shared" si="20"/>
        <v>○</v>
      </c>
      <c r="BE13" s="36" t="str">
        <f t="shared" si="21"/>
        <v/>
      </c>
      <c r="BF13" s="37"/>
      <c r="BG13" s="38" t="s">
        <v>116</v>
      </c>
      <c r="BH13" s="34"/>
      <c r="BI13" s="35" t="str">
        <f t="shared" si="22"/>
        <v>○</v>
      </c>
      <c r="BJ13" s="36" t="str">
        <f t="shared" si="23"/>
        <v/>
      </c>
      <c r="BK13" s="37"/>
      <c r="BL13" s="33"/>
      <c r="BM13" s="34"/>
      <c r="BN13" s="35" t="str">
        <f t="shared" si="24"/>
        <v/>
      </c>
      <c r="BO13" s="36" t="str">
        <f t="shared" si="25"/>
        <v/>
      </c>
      <c r="BP13" s="37"/>
      <c r="BQ13" s="33"/>
      <c r="BR13" s="34"/>
      <c r="BS13" s="35" t="str">
        <f t="shared" si="26"/>
        <v/>
      </c>
      <c r="BT13" s="36" t="str">
        <f t="shared" si="27"/>
        <v/>
      </c>
      <c r="BU13" s="37"/>
      <c r="BV13" s="33"/>
      <c r="BW13" s="34"/>
      <c r="BX13" s="35" t="str">
        <f t="shared" si="28"/>
        <v/>
      </c>
      <c r="BY13" s="36" t="str">
        <f t="shared" si="29"/>
        <v/>
      </c>
      <c r="BZ13" s="37"/>
      <c r="CA13" s="33"/>
      <c r="CB13" s="34"/>
      <c r="CC13" s="35" t="str">
        <f t="shared" si="30"/>
        <v/>
      </c>
      <c r="CD13" s="36" t="str">
        <f t="shared" si="31"/>
        <v/>
      </c>
      <c r="CE13" s="37"/>
      <c r="CF13" s="33"/>
      <c r="CG13" s="34"/>
      <c r="CH13" s="35" t="str">
        <f t="shared" si="32"/>
        <v/>
      </c>
      <c r="CI13" s="36" t="str">
        <f t="shared" si="33"/>
        <v/>
      </c>
      <c r="CJ13" s="37"/>
      <c r="CK13" s="33"/>
      <c r="CL13" s="34"/>
      <c r="CM13" s="35" t="str">
        <f t="shared" si="34"/>
        <v/>
      </c>
      <c r="CN13" s="36" t="str">
        <f t="shared" si="35"/>
        <v/>
      </c>
      <c r="CO13" s="37"/>
      <c r="CP13" s="33"/>
      <c r="CQ13" s="34"/>
      <c r="CR13" s="35" t="str">
        <f t="shared" si="36"/>
        <v/>
      </c>
      <c r="CS13" s="36" t="str">
        <f t="shared" si="37"/>
        <v/>
      </c>
      <c r="CT13" s="37"/>
      <c r="CU13" s="33"/>
      <c r="CV13" s="34"/>
      <c r="CW13" s="35" t="str">
        <f t="shared" si="38"/>
        <v/>
      </c>
      <c r="CX13" s="36" t="str">
        <f t="shared" si="39"/>
        <v/>
      </c>
      <c r="CY13" s="37"/>
      <c r="CZ13" s="33"/>
      <c r="DA13" s="34"/>
      <c r="DB13" s="35" t="str">
        <f t="shared" si="40"/>
        <v/>
      </c>
      <c r="DC13" s="36" t="str">
        <f t="shared" si="41"/>
        <v/>
      </c>
      <c r="DD13" s="37"/>
      <c r="DE13" s="33"/>
      <c r="DF13" s="34"/>
      <c r="DG13" s="35" t="str">
        <f t="shared" si="42"/>
        <v/>
      </c>
      <c r="DH13" s="36" t="str">
        <f t="shared" si="43"/>
        <v/>
      </c>
      <c r="DI13" s="37"/>
      <c r="DJ13" s="33"/>
      <c r="DK13" s="34"/>
      <c r="DL13" s="35" t="str">
        <f t="shared" si="44"/>
        <v/>
      </c>
      <c r="DM13" s="36" t="str">
        <f t="shared" si="45"/>
        <v/>
      </c>
      <c r="DN13" s="37"/>
      <c r="DO13" s="33"/>
      <c r="DP13" s="34"/>
      <c r="DQ13" s="35" t="str">
        <f t="shared" si="46"/>
        <v/>
      </c>
      <c r="DR13" s="36" t="str">
        <f t="shared" si="47"/>
        <v/>
      </c>
      <c r="DS13" s="37"/>
      <c r="DT13" s="33"/>
      <c r="DU13" s="34"/>
      <c r="DV13" s="35" t="str">
        <f t="shared" si="48"/>
        <v/>
      </c>
      <c r="DW13" s="36" t="str">
        <f t="shared" si="49"/>
        <v/>
      </c>
      <c r="DX13" s="37"/>
      <c r="DY13" s="33"/>
      <c r="DZ13" s="34"/>
      <c r="EA13" s="35" t="str">
        <f t="shared" si="50"/>
        <v/>
      </c>
      <c r="EB13" s="36" t="str">
        <f t="shared" si="51"/>
        <v/>
      </c>
      <c r="EC13" s="37"/>
      <c r="ED13" s="33"/>
      <c r="EE13" s="34"/>
      <c r="EF13" s="35" t="str">
        <f t="shared" si="52"/>
        <v/>
      </c>
      <c r="EG13" s="36" t="str">
        <f t="shared" si="53"/>
        <v/>
      </c>
      <c r="EH13" s="37"/>
      <c r="EI13" s="33"/>
      <c r="EJ13" s="34"/>
      <c r="EK13" s="35" t="str">
        <f t="shared" si="54"/>
        <v/>
      </c>
      <c r="EL13" s="36" t="str">
        <f t="shared" si="55"/>
        <v/>
      </c>
      <c r="EM13" s="37"/>
      <c r="EN13" s="33"/>
      <c r="EO13" s="34"/>
      <c r="EP13" s="35" t="str">
        <f t="shared" si="56"/>
        <v/>
      </c>
      <c r="EQ13" s="36" t="str">
        <f t="shared" si="57"/>
        <v/>
      </c>
      <c r="ER13" s="37"/>
      <c r="ES13" s="33"/>
      <c r="ET13" s="34"/>
      <c r="EU13" s="35" t="str">
        <f t="shared" si="58"/>
        <v/>
      </c>
      <c r="EV13" s="36" t="str">
        <f t="shared" si="59"/>
        <v/>
      </c>
      <c r="EW13" s="37"/>
    </row>
    <row r="14" spans="1:153" ht="19.5" customHeight="1">
      <c r="A14" s="32">
        <f>IF(DAY(DATE(対象年度,2,11))&lt;&gt;11,"",11)</f>
        <v>11</v>
      </c>
      <c r="B14" s="32" t="str">
        <f>IF(DAY(DATE(対象年度,2,11))&lt;&gt;11,"",CHOOSE(WEEKDAY(DATE(対象年度,2,11),2),"月","火","水","木","金","土","日"))</f>
        <v>水</v>
      </c>
      <c r="C14" s="32" t="str">
        <f>IF(DAY(DATE(対象年度,2,11))&lt;&gt;11,"",IF(ISNUMBER(MATCH(DATE(対象年度,2,11),祝日リスト,0)),"祝",""))</f>
        <v>祝</v>
      </c>
      <c r="D14" s="33"/>
      <c r="E14" s="34"/>
      <c r="F14" s="35" t="str">
        <f t="shared" si="0"/>
        <v/>
      </c>
      <c r="G14" s="36" t="str">
        <f t="shared" si="1"/>
        <v/>
      </c>
      <c r="H14" s="37"/>
      <c r="I14" s="38" t="s">
        <v>116</v>
      </c>
      <c r="J14" s="34"/>
      <c r="K14" s="35" t="str">
        <f t="shared" si="2"/>
        <v>○</v>
      </c>
      <c r="L14" s="36" t="str">
        <f t="shared" si="3"/>
        <v/>
      </c>
      <c r="M14" s="37"/>
      <c r="N14" s="38" t="s">
        <v>116</v>
      </c>
      <c r="O14" s="34"/>
      <c r="P14" s="35" t="str">
        <f t="shared" si="4"/>
        <v>○</v>
      </c>
      <c r="Q14" s="36" t="str">
        <f t="shared" si="5"/>
        <v/>
      </c>
      <c r="R14" s="37"/>
      <c r="S14" s="38" t="s">
        <v>116</v>
      </c>
      <c r="T14" s="34"/>
      <c r="U14" s="35" t="str">
        <f t="shared" si="6"/>
        <v>○</v>
      </c>
      <c r="V14" s="36" t="str">
        <f t="shared" si="7"/>
        <v/>
      </c>
      <c r="W14" s="37"/>
      <c r="X14" s="38" t="s">
        <v>105</v>
      </c>
      <c r="Y14" s="34"/>
      <c r="Z14" s="35" t="str">
        <f t="shared" si="8"/>
        <v>○</v>
      </c>
      <c r="AA14" s="36" t="str">
        <f t="shared" si="9"/>
        <v/>
      </c>
      <c r="AB14" s="37"/>
      <c r="AC14" s="38" t="s">
        <v>105</v>
      </c>
      <c r="AD14" s="34"/>
      <c r="AE14" s="35" t="str">
        <f t="shared" si="10"/>
        <v>○</v>
      </c>
      <c r="AF14" s="36" t="str">
        <f t="shared" si="11"/>
        <v/>
      </c>
      <c r="AG14" s="37"/>
      <c r="AH14" s="33"/>
      <c r="AI14" s="34"/>
      <c r="AJ14" s="35" t="str">
        <f t="shared" si="12"/>
        <v/>
      </c>
      <c r="AK14" s="36" t="str">
        <f t="shared" si="13"/>
        <v/>
      </c>
      <c r="AL14" s="37"/>
      <c r="AM14" s="38" t="s">
        <v>105</v>
      </c>
      <c r="AN14" s="34"/>
      <c r="AO14" s="35" t="str">
        <f t="shared" si="14"/>
        <v>○</v>
      </c>
      <c r="AP14" s="36" t="str">
        <f t="shared" si="15"/>
        <v/>
      </c>
      <c r="AQ14" s="37"/>
      <c r="AR14" s="38" t="s">
        <v>116</v>
      </c>
      <c r="AS14" s="34"/>
      <c r="AT14" s="35" t="str">
        <f t="shared" si="16"/>
        <v>○</v>
      </c>
      <c r="AU14" s="36" t="str">
        <f t="shared" si="17"/>
        <v/>
      </c>
      <c r="AV14" s="37"/>
      <c r="AW14" s="33"/>
      <c r="AX14" s="34"/>
      <c r="AY14" s="35" t="str">
        <f t="shared" si="18"/>
        <v/>
      </c>
      <c r="AZ14" s="36" t="str">
        <f t="shared" si="19"/>
        <v/>
      </c>
      <c r="BA14" s="37"/>
      <c r="BB14" s="33"/>
      <c r="BC14" s="34"/>
      <c r="BD14" s="35" t="str">
        <f t="shared" si="20"/>
        <v/>
      </c>
      <c r="BE14" s="36" t="str">
        <f t="shared" si="21"/>
        <v/>
      </c>
      <c r="BF14" s="37"/>
      <c r="BG14" s="38" t="s">
        <v>116</v>
      </c>
      <c r="BH14" s="34"/>
      <c r="BI14" s="35" t="str">
        <f t="shared" si="22"/>
        <v>○</v>
      </c>
      <c r="BJ14" s="36" t="str">
        <f t="shared" si="23"/>
        <v/>
      </c>
      <c r="BK14" s="37"/>
      <c r="BL14" s="33"/>
      <c r="BM14" s="34"/>
      <c r="BN14" s="35" t="str">
        <f t="shared" si="24"/>
        <v/>
      </c>
      <c r="BO14" s="36" t="str">
        <f t="shared" si="25"/>
        <v/>
      </c>
      <c r="BP14" s="37"/>
      <c r="BQ14" s="33"/>
      <c r="BR14" s="34"/>
      <c r="BS14" s="35" t="str">
        <f t="shared" si="26"/>
        <v/>
      </c>
      <c r="BT14" s="36" t="str">
        <f t="shared" si="27"/>
        <v/>
      </c>
      <c r="BU14" s="37"/>
      <c r="BV14" s="33"/>
      <c r="BW14" s="34"/>
      <c r="BX14" s="35" t="str">
        <f t="shared" si="28"/>
        <v/>
      </c>
      <c r="BY14" s="36" t="str">
        <f t="shared" si="29"/>
        <v/>
      </c>
      <c r="BZ14" s="37"/>
      <c r="CA14" s="33"/>
      <c r="CB14" s="34"/>
      <c r="CC14" s="35" t="str">
        <f t="shared" si="30"/>
        <v/>
      </c>
      <c r="CD14" s="36" t="str">
        <f t="shared" si="31"/>
        <v/>
      </c>
      <c r="CE14" s="37"/>
      <c r="CF14" s="33"/>
      <c r="CG14" s="34"/>
      <c r="CH14" s="35" t="str">
        <f t="shared" si="32"/>
        <v/>
      </c>
      <c r="CI14" s="36" t="str">
        <f t="shared" si="33"/>
        <v/>
      </c>
      <c r="CJ14" s="37"/>
      <c r="CK14" s="33"/>
      <c r="CL14" s="34"/>
      <c r="CM14" s="35" t="str">
        <f t="shared" si="34"/>
        <v/>
      </c>
      <c r="CN14" s="36" t="str">
        <f t="shared" si="35"/>
        <v/>
      </c>
      <c r="CO14" s="37"/>
      <c r="CP14" s="33"/>
      <c r="CQ14" s="34"/>
      <c r="CR14" s="35" t="str">
        <f t="shared" si="36"/>
        <v/>
      </c>
      <c r="CS14" s="36" t="str">
        <f t="shared" si="37"/>
        <v/>
      </c>
      <c r="CT14" s="37"/>
      <c r="CU14" s="33"/>
      <c r="CV14" s="34"/>
      <c r="CW14" s="35" t="str">
        <f t="shared" si="38"/>
        <v/>
      </c>
      <c r="CX14" s="36" t="str">
        <f t="shared" si="39"/>
        <v/>
      </c>
      <c r="CY14" s="37"/>
      <c r="CZ14" s="33"/>
      <c r="DA14" s="34"/>
      <c r="DB14" s="35" t="str">
        <f t="shared" si="40"/>
        <v/>
      </c>
      <c r="DC14" s="36" t="str">
        <f t="shared" si="41"/>
        <v/>
      </c>
      <c r="DD14" s="37"/>
      <c r="DE14" s="33"/>
      <c r="DF14" s="34"/>
      <c r="DG14" s="35" t="str">
        <f t="shared" si="42"/>
        <v/>
      </c>
      <c r="DH14" s="36" t="str">
        <f t="shared" si="43"/>
        <v/>
      </c>
      <c r="DI14" s="37"/>
      <c r="DJ14" s="33"/>
      <c r="DK14" s="34"/>
      <c r="DL14" s="35" t="str">
        <f t="shared" si="44"/>
        <v/>
      </c>
      <c r="DM14" s="36" t="str">
        <f t="shared" si="45"/>
        <v/>
      </c>
      <c r="DN14" s="37"/>
      <c r="DO14" s="33"/>
      <c r="DP14" s="34"/>
      <c r="DQ14" s="35" t="str">
        <f t="shared" si="46"/>
        <v/>
      </c>
      <c r="DR14" s="36" t="str">
        <f t="shared" si="47"/>
        <v/>
      </c>
      <c r="DS14" s="37"/>
      <c r="DT14" s="33"/>
      <c r="DU14" s="34"/>
      <c r="DV14" s="35" t="str">
        <f t="shared" si="48"/>
        <v/>
      </c>
      <c r="DW14" s="36" t="str">
        <f t="shared" si="49"/>
        <v/>
      </c>
      <c r="DX14" s="37"/>
      <c r="DY14" s="33"/>
      <c r="DZ14" s="34"/>
      <c r="EA14" s="35" t="str">
        <f t="shared" si="50"/>
        <v/>
      </c>
      <c r="EB14" s="36" t="str">
        <f t="shared" si="51"/>
        <v/>
      </c>
      <c r="EC14" s="37"/>
      <c r="ED14" s="33"/>
      <c r="EE14" s="34"/>
      <c r="EF14" s="35" t="str">
        <f t="shared" si="52"/>
        <v/>
      </c>
      <c r="EG14" s="36" t="str">
        <f t="shared" si="53"/>
        <v/>
      </c>
      <c r="EH14" s="37"/>
      <c r="EI14" s="33"/>
      <c r="EJ14" s="34"/>
      <c r="EK14" s="35" t="str">
        <f t="shared" si="54"/>
        <v/>
      </c>
      <c r="EL14" s="36" t="str">
        <f t="shared" si="55"/>
        <v/>
      </c>
      <c r="EM14" s="37"/>
      <c r="EN14" s="33"/>
      <c r="EO14" s="34"/>
      <c r="EP14" s="35" t="str">
        <f t="shared" si="56"/>
        <v/>
      </c>
      <c r="EQ14" s="36" t="str">
        <f t="shared" si="57"/>
        <v/>
      </c>
      <c r="ER14" s="37"/>
      <c r="ES14" s="33"/>
      <c r="ET14" s="34"/>
      <c r="EU14" s="35" t="str">
        <f t="shared" si="58"/>
        <v/>
      </c>
      <c r="EV14" s="36" t="str">
        <f t="shared" si="59"/>
        <v/>
      </c>
      <c r="EW14" s="37"/>
    </row>
    <row r="15" spans="1:153" ht="19.5" customHeight="1">
      <c r="A15" s="32">
        <f>IF(DAY(DATE(対象年度,2,12))&lt;&gt;12,"",12)</f>
        <v>12</v>
      </c>
      <c r="B15" s="32" t="str">
        <f>IF(DAY(DATE(対象年度,2,12))&lt;&gt;12,"",CHOOSE(WEEKDAY(DATE(対象年度,2,12),2),"月","火","水","木","金","土","日"))</f>
        <v>木</v>
      </c>
      <c r="C15" s="32" t="str">
        <f>IF(DAY(DATE(対象年度,2,12))&lt;&gt;12,"",IF(ISNUMBER(MATCH(DATE(対象年度,2,12),祝日リスト,0)),"祝",""))</f>
        <v/>
      </c>
      <c r="D15" s="38" t="s">
        <v>104</v>
      </c>
      <c r="E15" s="34"/>
      <c r="F15" s="35" t="str">
        <f t="shared" si="0"/>
        <v>○</v>
      </c>
      <c r="G15" s="36" t="str">
        <f t="shared" si="1"/>
        <v/>
      </c>
      <c r="H15" s="37"/>
      <c r="I15" s="38" t="s">
        <v>116</v>
      </c>
      <c r="J15" s="34"/>
      <c r="K15" s="35" t="str">
        <f t="shared" si="2"/>
        <v>○</v>
      </c>
      <c r="L15" s="36" t="str">
        <f t="shared" si="3"/>
        <v/>
      </c>
      <c r="M15" s="37"/>
      <c r="N15" s="38" t="s">
        <v>116</v>
      </c>
      <c r="O15" s="34"/>
      <c r="P15" s="35" t="str">
        <f t="shared" si="4"/>
        <v>○</v>
      </c>
      <c r="Q15" s="36" t="str">
        <f t="shared" si="5"/>
        <v/>
      </c>
      <c r="R15" s="37"/>
      <c r="S15" s="38" t="s">
        <v>116</v>
      </c>
      <c r="T15" s="34"/>
      <c r="U15" s="35" t="str">
        <f t="shared" si="6"/>
        <v>○</v>
      </c>
      <c r="V15" s="36" t="str">
        <f t="shared" si="7"/>
        <v/>
      </c>
      <c r="W15" s="37"/>
      <c r="X15" s="38" t="s">
        <v>116</v>
      </c>
      <c r="Y15" s="34"/>
      <c r="Z15" s="35" t="str">
        <f t="shared" si="8"/>
        <v>○</v>
      </c>
      <c r="AA15" s="36" t="str">
        <f t="shared" si="9"/>
        <v/>
      </c>
      <c r="AB15" s="37"/>
      <c r="AC15" s="38" t="s">
        <v>105</v>
      </c>
      <c r="AD15" s="34"/>
      <c r="AE15" s="35" t="str">
        <f t="shared" si="10"/>
        <v>○</v>
      </c>
      <c r="AF15" s="36" t="str">
        <f t="shared" si="11"/>
        <v/>
      </c>
      <c r="AG15" s="37"/>
      <c r="AH15" s="38" t="s">
        <v>117</v>
      </c>
      <c r="AI15" s="34"/>
      <c r="AJ15" s="35" t="str">
        <f t="shared" si="12"/>
        <v>○</v>
      </c>
      <c r="AK15" s="36" t="str">
        <f t="shared" si="13"/>
        <v/>
      </c>
      <c r="AL15" s="37"/>
      <c r="AM15" s="38" t="s">
        <v>116</v>
      </c>
      <c r="AN15" s="34"/>
      <c r="AO15" s="35" t="str">
        <f t="shared" si="14"/>
        <v>○</v>
      </c>
      <c r="AP15" s="36" t="str">
        <f t="shared" si="15"/>
        <v/>
      </c>
      <c r="AQ15" s="37"/>
      <c r="AR15" s="38" t="s">
        <v>105</v>
      </c>
      <c r="AS15" s="34"/>
      <c r="AT15" s="35" t="str">
        <f t="shared" si="16"/>
        <v>○</v>
      </c>
      <c r="AU15" s="36" t="str">
        <f t="shared" si="17"/>
        <v/>
      </c>
      <c r="AV15" s="37"/>
      <c r="AW15" s="38" t="s">
        <v>124</v>
      </c>
      <c r="AX15" s="34"/>
      <c r="AY15" s="35" t="str">
        <f t="shared" si="18"/>
        <v>○</v>
      </c>
      <c r="AZ15" s="36" t="str">
        <f t="shared" si="19"/>
        <v/>
      </c>
      <c r="BA15" s="37"/>
      <c r="BB15" s="38" t="s">
        <v>104</v>
      </c>
      <c r="BC15" s="34"/>
      <c r="BD15" s="35" t="str">
        <f t="shared" si="20"/>
        <v>○</v>
      </c>
      <c r="BE15" s="36" t="str">
        <f t="shared" si="21"/>
        <v/>
      </c>
      <c r="BF15" s="37"/>
      <c r="BG15" s="38" t="s">
        <v>116</v>
      </c>
      <c r="BH15" s="34"/>
      <c r="BI15" s="35" t="str">
        <f t="shared" si="22"/>
        <v>○</v>
      </c>
      <c r="BJ15" s="36" t="str">
        <f t="shared" si="23"/>
        <v/>
      </c>
      <c r="BK15" s="37"/>
      <c r="BL15" s="33"/>
      <c r="BM15" s="34"/>
      <c r="BN15" s="35" t="str">
        <f t="shared" si="24"/>
        <v/>
      </c>
      <c r="BO15" s="36" t="str">
        <f t="shared" si="25"/>
        <v/>
      </c>
      <c r="BP15" s="37"/>
      <c r="BQ15" s="33"/>
      <c r="BR15" s="34"/>
      <c r="BS15" s="35" t="str">
        <f t="shared" si="26"/>
        <v/>
      </c>
      <c r="BT15" s="36" t="str">
        <f t="shared" si="27"/>
        <v/>
      </c>
      <c r="BU15" s="37"/>
      <c r="BV15" s="33"/>
      <c r="BW15" s="34"/>
      <c r="BX15" s="35" t="str">
        <f t="shared" si="28"/>
        <v/>
      </c>
      <c r="BY15" s="36" t="str">
        <f t="shared" si="29"/>
        <v/>
      </c>
      <c r="BZ15" s="37"/>
      <c r="CA15" s="33"/>
      <c r="CB15" s="34"/>
      <c r="CC15" s="35" t="str">
        <f t="shared" si="30"/>
        <v/>
      </c>
      <c r="CD15" s="36" t="str">
        <f t="shared" si="31"/>
        <v/>
      </c>
      <c r="CE15" s="37"/>
      <c r="CF15" s="33"/>
      <c r="CG15" s="34"/>
      <c r="CH15" s="35" t="str">
        <f t="shared" si="32"/>
        <v/>
      </c>
      <c r="CI15" s="36" t="str">
        <f t="shared" si="33"/>
        <v/>
      </c>
      <c r="CJ15" s="37"/>
      <c r="CK15" s="33"/>
      <c r="CL15" s="34"/>
      <c r="CM15" s="35" t="str">
        <f t="shared" si="34"/>
        <v/>
      </c>
      <c r="CN15" s="36" t="str">
        <f t="shared" si="35"/>
        <v/>
      </c>
      <c r="CO15" s="37"/>
      <c r="CP15" s="33"/>
      <c r="CQ15" s="34"/>
      <c r="CR15" s="35" t="str">
        <f t="shared" si="36"/>
        <v/>
      </c>
      <c r="CS15" s="36" t="str">
        <f t="shared" si="37"/>
        <v/>
      </c>
      <c r="CT15" s="37"/>
      <c r="CU15" s="33"/>
      <c r="CV15" s="34"/>
      <c r="CW15" s="35" t="str">
        <f t="shared" si="38"/>
        <v/>
      </c>
      <c r="CX15" s="36" t="str">
        <f t="shared" si="39"/>
        <v/>
      </c>
      <c r="CY15" s="37"/>
      <c r="CZ15" s="33"/>
      <c r="DA15" s="34"/>
      <c r="DB15" s="35" t="str">
        <f t="shared" si="40"/>
        <v/>
      </c>
      <c r="DC15" s="36" t="str">
        <f t="shared" si="41"/>
        <v/>
      </c>
      <c r="DD15" s="37"/>
      <c r="DE15" s="33"/>
      <c r="DF15" s="34"/>
      <c r="DG15" s="35" t="str">
        <f t="shared" si="42"/>
        <v/>
      </c>
      <c r="DH15" s="36" t="str">
        <f t="shared" si="43"/>
        <v/>
      </c>
      <c r="DI15" s="37"/>
      <c r="DJ15" s="33"/>
      <c r="DK15" s="34"/>
      <c r="DL15" s="35" t="str">
        <f t="shared" si="44"/>
        <v/>
      </c>
      <c r="DM15" s="36" t="str">
        <f t="shared" si="45"/>
        <v/>
      </c>
      <c r="DN15" s="37"/>
      <c r="DO15" s="33"/>
      <c r="DP15" s="34"/>
      <c r="DQ15" s="35" t="str">
        <f t="shared" si="46"/>
        <v/>
      </c>
      <c r="DR15" s="36" t="str">
        <f t="shared" si="47"/>
        <v/>
      </c>
      <c r="DS15" s="37"/>
      <c r="DT15" s="33"/>
      <c r="DU15" s="34"/>
      <c r="DV15" s="35" t="str">
        <f t="shared" si="48"/>
        <v/>
      </c>
      <c r="DW15" s="36" t="str">
        <f t="shared" si="49"/>
        <v/>
      </c>
      <c r="DX15" s="37"/>
      <c r="DY15" s="33"/>
      <c r="DZ15" s="34"/>
      <c r="EA15" s="35" t="str">
        <f t="shared" si="50"/>
        <v/>
      </c>
      <c r="EB15" s="36" t="str">
        <f t="shared" si="51"/>
        <v/>
      </c>
      <c r="EC15" s="37"/>
      <c r="ED15" s="33"/>
      <c r="EE15" s="34"/>
      <c r="EF15" s="35" t="str">
        <f t="shared" si="52"/>
        <v/>
      </c>
      <c r="EG15" s="36" t="str">
        <f t="shared" si="53"/>
        <v/>
      </c>
      <c r="EH15" s="37"/>
      <c r="EI15" s="33"/>
      <c r="EJ15" s="34"/>
      <c r="EK15" s="35" t="str">
        <f t="shared" si="54"/>
        <v/>
      </c>
      <c r="EL15" s="36" t="str">
        <f t="shared" si="55"/>
        <v/>
      </c>
      <c r="EM15" s="37"/>
      <c r="EN15" s="33"/>
      <c r="EO15" s="34"/>
      <c r="EP15" s="35" t="str">
        <f t="shared" si="56"/>
        <v/>
      </c>
      <c r="EQ15" s="36" t="str">
        <f t="shared" si="57"/>
        <v/>
      </c>
      <c r="ER15" s="37"/>
      <c r="ES15" s="33"/>
      <c r="ET15" s="34"/>
      <c r="EU15" s="35" t="str">
        <f t="shared" si="58"/>
        <v/>
      </c>
      <c r="EV15" s="36" t="str">
        <f t="shared" si="59"/>
        <v/>
      </c>
      <c r="EW15" s="37"/>
    </row>
    <row r="16" spans="1:153" ht="19.5" customHeight="1">
      <c r="A16" s="32">
        <f>IF(DAY(DATE(対象年度,2,13))&lt;&gt;13,"",13)</f>
        <v>13</v>
      </c>
      <c r="B16" s="32" t="str">
        <f>IF(DAY(DATE(対象年度,2,13))&lt;&gt;13,"",CHOOSE(WEEKDAY(DATE(対象年度,2,13),2),"月","火","水","木","金","土","日"))</f>
        <v>金</v>
      </c>
      <c r="C16" s="32" t="str">
        <f>IF(DAY(DATE(対象年度,2,13))&lt;&gt;13,"",IF(ISNUMBER(MATCH(DATE(対象年度,2,13),祝日リスト,0)),"祝",""))</f>
        <v/>
      </c>
      <c r="D16" s="38" t="s">
        <v>104</v>
      </c>
      <c r="E16" s="34"/>
      <c r="F16" s="35" t="str">
        <f t="shared" si="0"/>
        <v>○</v>
      </c>
      <c r="G16" s="36" t="str">
        <f t="shared" si="1"/>
        <v/>
      </c>
      <c r="H16" s="37"/>
      <c r="I16" s="38" t="s">
        <v>116</v>
      </c>
      <c r="J16" s="34"/>
      <c r="K16" s="35" t="str">
        <f t="shared" si="2"/>
        <v>○</v>
      </c>
      <c r="L16" s="36" t="str">
        <f t="shared" si="3"/>
        <v/>
      </c>
      <c r="M16" s="37"/>
      <c r="N16" s="38" t="s">
        <v>116</v>
      </c>
      <c r="O16" s="34"/>
      <c r="P16" s="35" t="str">
        <f t="shared" si="4"/>
        <v>○</v>
      </c>
      <c r="Q16" s="36" t="str">
        <f t="shared" si="5"/>
        <v/>
      </c>
      <c r="R16" s="37"/>
      <c r="S16" s="38" t="s">
        <v>116</v>
      </c>
      <c r="T16" s="34"/>
      <c r="U16" s="35" t="str">
        <f t="shared" si="6"/>
        <v>○</v>
      </c>
      <c r="V16" s="36" t="str">
        <f t="shared" si="7"/>
        <v/>
      </c>
      <c r="W16" s="37"/>
      <c r="X16" s="38" t="s">
        <v>116</v>
      </c>
      <c r="Y16" s="34"/>
      <c r="Z16" s="35" t="str">
        <f t="shared" si="8"/>
        <v>○</v>
      </c>
      <c r="AA16" s="36" t="str">
        <f t="shared" si="9"/>
        <v/>
      </c>
      <c r="AB16" s="37"/>
      <c r="AC16" s="38" t="s">
        <v>105</v>
      </c>
      <c r="AD16" s="34"/>
      <c r="AE16" s="35" t="str">
        <f t="shared" si="10"/>
        <v>○</v>
      </c>
      <c r="AF16" s="36" t="str">
        <f t="shared" si="11"/>
        <v/>
      </c>
      <c r="AG16" s="37"/>
      <c r="AH16" s="38" t="s">
        <v>117</v>
      </c>
      <c r="AI16" s="34"/>
      <c r="AJ16" s="35" t="str">
        <f t="shared" si="12"/>
        <v>○</v>
      </c>
      <c r="AK16" s="36" t="str">
        <f t="shared" si="13"/>
        <v/>
      </c>
      <c r="AL16" s="37"/>
      <c r="AM16" s="38" t="s">
        <v>116</v>
      </c>
      <c r="AN16" s="34"/>
      <c r="AO16" s="35" t="str">
        <f t="shared" si="14"/>
        <v>○</v>
      </c>
      <c r="AP16" s="36" t="str">
        <f t="shared" si="15"/>
        <v/>
      </c>
      <c r="AQ16" s="37"/>
      <c r="AR16" s="38" t="s">
        <v>116</v>
      </c>
      <c r="AS16" s="34"/>
      <c r="AT16" s="35" t="str">
        <f t="shared" si="16"/>
        <v>○</v>
      </c>
      <c r="AU16" s="36" t="str">
        <f t="shared" si="17"/>
        <v/>
      </c>
      <c r="AV16" s="37"/>
      <c r="AW16" s="38" t="s">
        <v>124</v>
      </c>
      <c r="AX16" s="34"/>
      <c r="AY16" s="35" t="str">
        <f t="shared" si="18"/>
        <v>○</v>
      </c>
      <c r="AZ16" s="36" t="str">
        <f t="shared" si="19"/>
        <v/>
      </c>
      <c r="BA16" s="37"/>
      <c r="BB16" s="38" t="s">
        <v>104</v>
      </c>
      <c r="BC16" s="34"/>
      <c r="BD16" s="35" t="str">
        <f t="shared" si="20"/>
        <v>○</v>
      </c>
      <c r="BE16" s="36" t="str">
        <f t="shared" si="21"/>
        <v/>
      </c>
      <c r="BF16" s="37"/>
      <c r="BG16" s="38" t="s">
        <v>116</v>
      </c>
      <c r="BH16" s="34"/>
      <c r="BI16" s="35" t="str">
        <f t="shared" si="22"/>
        <v>○</v>
      </c>
      <c r="BJ16" s="36" t="str">
        <f t="shared" si="23"/>
        <v/>
      </c>
      <c r="BK16" s="37"/>
      <c r="BL16" s="33"/>
      <c r="BM16" s="34"/>
      <c r="BN16" s="35" t="str">
        <f t="shared" si="24"/>
        <v/>
      </c>
      <c r="BO16" s="36" t="str">
        <f t="shared" si="25"/>
        <v/>
      </c>
      <c r="BP16" s="37"/>
      <c r="BQ16" s="33"/>
      <c r="BR16" s="34"/>
      <c r="BS16" s="35" t="str">
        <f t="shared" si="26"/>
        <v/>
      </c>
      <c r="BT16" s="36" t="str">
        <f t="shared" si="27"/>
        <v/>
      </c>
      <c r="BU16" s="37"/>
      <c r="BV16" s="33"/>
      <c r="BW16" s="34"/>
      <c r="BX16" s="35" t="str">
        <f t="shared" si="28"/>
        <v/>
      </c>
      <c r="BY16" s="36" t="str">
        <f t="shared" si="29"/>
        <v/>
      </c>
      <c r="BZ16" s="37"/>
      <c r="CA16" s="33"/>
      <c r="CB16" s="34"/>
      <c r="CC16" s="35" t="str">
        <f t="shared" si="30"/>
        <v/>
      </c>
      <c r="CD16" s="36" t="str">
        <f t="shared" si="31"/>
        <v/>
      </c>
      <c r="CE16" s="37"/>
      <c r="CF16" s="33"/>
      <c r="CG16" s="34"/>
      <c r="CH16" s="35" t="str">
        <f t="shared" si="32"/>
        <v/>
      </c>
      <c r="CI16" s="36" t="str">
        <f t="shared" si="33"/>
        <v/>
      </c>
      <c r="CJ16" s="37"/>
      <c r="CK16" s="33"/>
      <c r="CL16" s="34"/>
      <c r="CM16" s="35" t="str">
        <f t="shared" si="34"/>
        <v/>
      </c>
      <c r="CN16" s="36" t="str">
        <f t="shared" si="35"/>
        <v/>
      </c>
      <c r="CO16" s="37"/>
      <c r="CP16" s="33"/>
      <c r="CQ16" s="34"/>
      <c r="CR16" s="35" t="str">
        <f t="shared" si="36"/>
        <v/>
      </c>
      <c r="CS16" s="36" t="str">
        <f t="shared" si="37"/>
        <v/>
      </c>
      <c r="CT16" s="37"/>
      <c r="CU16" s="33"/>
      <c r="CV16" s="34"/>
      <c r="CW16" s="35" t="str">
        <f t="shared" si="38"/>
        <v/>
      </c>
      <c r="CX16" s="36" t="str">
        <f t="shared" si="39"/>
        <v/>
      </c>
      <c r="CY16" s="37"/>
      <c r="CZ16" s="33"/>
      <c r="DA16" s="34"/>
      <c r="DB16" s="35" t="str">
        <f t="shared" si="40"/>
        <v/>
      </c>
      <c r="DC16" s="36" t="str">
        <f t="shared" si="41"/>
        <v/>
      </c>
      <c r="DD16" s="37"/>
      <c r="DE16" s="33"/>
      <c r="DF16" s="34"/>
      <c r="DG16" s="35" t="str">
        <f t="shared" si="42"/>
        <v/>
      </c>
      <c r="DH16" s="36" t="str">
        <f t="shared" si="43"/>
        <v/>
      </c>
      <c r="DI16" s="37"/>
      <c r="DJ16" s="33"/>
      <c r="DK16" s="34"/>
      <c r="DL16" s="35" t="str">
        <f t="shared" si="44"/>
        <v/>
      </c>
      <c r="DM16" s="36" t="str">
        <f t="shared" si="45"/>
        <v/>
      </c>
      <c r="DN16" s="37"/>
      <c r="DO16" s="33"/>
      <c r="DP16" s="34"/>
      <c r="DQ16" s="35" t="str">
        <f t="shared" si="46"/>
        <v/>
      </c>
      <c r="DR16" s="36" t="str">
        <f t="shared" si="47"/>
        <v/>
      </c>
      <c r="DS16" s="37"/>
      <c r="DT16" s="33"/>
      <c r="DU16" s="34"/>
      <c r="DV16" s="35" t="str">
        <f t="shared" si="48"/>
        <v/>
      </c>
      <c r="DW16" s="36" t="str">
        <f t="shared" si="49"/>
        <v/>
      </c>
      <c r="DX16" s="37"/>
      <c r="DY16" s="33"/>
      <c r="DZ16" s="34"/>
      <c r="EA16" s="35" t="str">
        <f t="shared" si="50"/>
        <v/>
      </c>
      <c r="EB16" s="36" t="str">
        <f t="shared" si="51"/>
        <v/>
      </c>
      <c r="EC16" s="37"/>
      <c r="ED16" s="33"/>
      <c r="EE16" s="34"/>
      <c r="EF16" s="35" t="str">
        <f t="shared" si="52"/>
        <v/>
      </c>
      <c r="EG16" s="36" t="str">
        <f t="shared" si="53"/>
        <v/>
      </c>
      <c r="EH16" s="37"/>
      <c r="EI16" s="33"/>
      <c r="EJ16" s="34"/>
      <c r="EK16" s="35" t="str">
        <f t="shared" si="54"/>
        <v/>
      </c>
      <c r="EL16" s="36" t="str">
        <f t="shared" si="55"/>
        <v/>
      </c>
      <c r="EM16" s="37"/>
      <c r="EN16" s="33"/>
      <c r="EO16" s="34"/>
      <c r="EP16" s="35" t="str">
        <f t="shared" si="56"/>
        <v/>
      </c>
      <c r="EQ16" s="36" t="str">
        <f t="shared" si="57"/>
        <v/>
      </c>
      <c r="ER16" s="37"/>
      <c r="ES16" s="33"/>
      <c r="ET16" s="34"/>
      <c r="EU16" s="35" t="str">
        <f t="shared" si="58"/>
        <v/>
      </c>
      <c r="EV16" s="36" t="str">
        <f t="shared" si="59"/>
        <v/>
      </c>
      <c r="EW16" s="37"/>
    </row>
    <row r="17" spans="1:153" ht="19.5" customHeight="1">
      <c r="A17" s="32">
        <f>IF(DAY(DATE(対象年度,2,14))&lt;&gt;14,"",14)</f>
        <v>14</v>
      </c>
      <c r="B17" s="32" t="str">
        <f>IF(DAY(DATE(対象年度,2,14))&lt;&gt;14,"",CHOOSE(WEEKDAY(DATE(対象年度,2,14),2),"月","火","水","木","金","土","日"))</f>
        <v>土</v>
      </c>
      <c r="C17" s="32" t="str">
        <f>IF(DAY(DATE(対象年度,2,14))&lt;&gt;14,"",IF(ISNUMBER(MATCH(DATE(対象年度,2,14),祝日リスト,0)),"祝",""))</f>
        <v/>
      </c>
      <c r="D17" s="33"/>
      <c r="E17" s="34"/>
      <c r="F17" s="35" t="str">
        <f t="shared" si="0"/>
        <v/>
      </c>
      <c r="G17" s="36" t="str">
        <f t="shared" si="1"/>
        <v/>
      </c>
      <c r="H17" s="37"/>
      <c r="I17" s="38" t="s">
        <v>116</v>
      </c>
      <c r="J17" s="34"/>
      <c r="K17" s="35" t="str">
        <f t="shared" si="2"/>
        <v>○</v>
      </c>
      <c r="L17" s="36" t="str">
        <f t="shared" si="3"/>
        <v/>
      </c>
      <c r="M17" s="37"/>
      <c r="N17" s="38" t="s">
        <v>116</v>
      </c>
      <c r="O17" s="34"/>
      <c r="P17" s="35" t="str">
        <f t="shared" si="4"/>
        <v>○</v>
      </c>
      <c r="Q17" s="36" t="str">
        <f t="shared" si="5"/>
        <v/>
      </c>
      <c r="R17" s="37"/>
      <c r="S17" s="38" t="s">
        <v>116</v>
      </c>
      <c r="T17" s="34"/>
      <c r="U17" s="35" t="str">
        <f t="shared" si="6"/>
        <v>○</v>
      </c>
      <c r="V17" s="36" t="str">
        <f t="shared" si="7"/>
        <v/>
      </c>
      <c r="W17" s="37"/>
      <c r="X17" s="38" t="s">
        <v>116</v>
      </c>
      <c r="Y17" s="34"/>
      <c r="Z17" s="35" t="str">
        <f t="shared" si="8"/>
        <v>○</v>
      </c>
      <c r="AA17" s="36" t="str">
        <f t="shared" si="9"/>
        <v/>
      </c>
      <c r="AB17" s="37"/>
      <c r="AC17" s="38" t="s">
        <v>116</v>
      </c>
      <c r="AD17" s="34"/>
      <c r="AE17" s="35" t="str">
        <f t="shared" si="10"/>
        <v>○</v>
      </c>
      <c r="AF17" s="36" t="str">
        <f t="shared" si="11"/>
        <v/>
      </c>
      <c r="AG17" s="37"/>
      <c r="AH17" s="33"/>
      <c r="AI17" s="34"/>
      <c r="AJ17" s="35" t="str">
        <f t="shared" si="12"/>
        <v/>
      </c>
      <c r="AK17" s="36" t="str">
        <f t="shared" si="13"/>
        <v/>
      </c>
      <c r="AL17" s="37"/>
      <c r="AM17" s="38" t="s">
        <v>105</v>
      </c>
      <c r="AN17" s="34"/>
      <c r="AO17" s="35" t="str">
        <f t="shared" si="14"/>
        <v>○</v>
      </c>
      <c r="AP17" s="36" t="str">
        <f t="shared" si="15"/>
        <v/>
      </c>
      <c r="AQ17" s="37"/>
      <c r="AR17" s="38" t="s">
        <v>116</v>
      </c>
      <c r="AS17" s="34"/>
      <c r="AT17" s="35" t="str">
        <f t="shared" si="16"/>
        <v>○</v>
      </c>
      <c r="AU17" s="36" t="str">
        <f t="shared" si="17"/>
        <v/>
      </c>
      <c r="AV17" s="37"/>
      <c r="AW17" s="33"/>
      <c r="AX17" s="34"/>
      <c r="AY17" s="35" t="str">
        <f t="shared" si="18"/>
        <v/>
      </c>
      <c r="AZ17" s="36" t="str">
        <f t="shared" si="19"/>
        <v/>
      </c>
      <c r="BA17" s="37"/>
      <c r="BB17" s="33"/>
      <c r="BC17" s="34"/>
      <c r="BD17" s="35" t="str">
        <f t="shared" si="20"/>
        <v/>
      </c>
      <c r="BE17" s="36" t="str">
        <f t="shared" si="21"/>
        <v/>
      </c>
      <c r="BF17" s="37"/>
      <c r="BG17" s="38" t="s">
        <v>116</v>
      </c>
      <c r="BH17" s="34"/>
      <c r="BI17" s="35" t="str">
        <f t="shared" si="22"/>
        <v>○</v>
      </c>
      <c r="BJ17" s="36" t="str">
        <f t="shared" si="23"/>
        <v/>
      </c>
      <c r="BK17" s="37"/>
      <c r="BL17" s="33"/>
      <c r="BM17" s="34"/>
      <c r="BN17" s="35" t="str">
        <f t="shared" si="24"/>
        <v/>
      </c>
      <c r="BO17" s="36" t="str">
        <f t="shared" si="25"/>
        <v/>
      </c>
      <c r="BP17" s="37"/>
      <c r="BQ17" s="33"/>
      <c r="BR17" s="34"/>
      <c r="BS17" s="35" t="str">
        <f t="shared" si="26"/>
        <v/>
      </c>
      <c r="BT17" s="36" t="str">
        <f t="shared" si="27"/>
        <v/>
      </c>
      <c r="BU17" s="37"/>
      <c r="BV17" s="33"/>
      <c r="BW17" s="34"/>
      <c r="BX17" s="35" t="str">
        <f t="shared" si="28"/>
        <v/>
      </c>
      <c r="BY17" s="36" t="str">
        <f t="shared" si="29"/>
        <v/>
      </c>
      <c r="BZ17" s="37"/>
      <c r="CA17" s="33"/>
      <c r="CB17" s="34"/>
      <c r="CC17" s="35" t="str">
        <f t="shared" si="30"/>
        <v/>
      </c>
      <c r="CD17" s="36" t="str">
        <f t="shared" si="31"/>
        <v/>
      </c>
      <c r="CE17" s="37"/>
      <c r="CF17" s="33"/>
      <c r="CG17" s="34"/>
      <c r="CH17" s="35" t="str">
        <f t="shared" si="32"/>
        <v/>
      </c>
      <c r="CI17" s="36" t="str">
        <f t="shared" si="33"/>
        <v/>
      </c>
      <c r="CJ17" s="37"/>
      <c r="CK17" s="33"/>
      <c r="CL17" s="34"/>
      <c r="CM17" s="35" t="str">
        <f t="shared" si="34"/>
        <v/>
      </c>
      <c r="CN17" s="36" t="str">
        <f t="shared" si="35"/>
        <v/>
      </c>
      <c r="CO17" s="37"/>
      <c r="CP17" s="33"/>
      <c r="CQ17" s="34"/>
      <c r="CR17" s="35" t="str">
        <f t="shared" si="36"/>
        <v/>
      </c>
      <c r="CS17" s="36" t="str">
        <f t="shared" si="37"/>
        <v/>
      </c>
      <c r="CT17" s="37"/>
      <c r="CU17" s="33"/>
      <c r="CV17" s="34"/>
      <c r="CW17" s="35" t="str">
        <f t="shared" si="38"/>
        <v/>
      </c>
      <c r="CX17" s="36" t="str">
        <f t="shared" si="39"/>
        <v/>
      </c>
      <c r="CY17" s="37"/>
      <c r="CZ17" s="33"/>
      <c r="DA17" s="34"/>
      <c r="DB17" s="35" t="str">
        <f t="shared" si="40"/>
        <v/>
      </c>
      <c r="DC17" s="36" t="str">
        <f t="shared" si="41"/>
        <v/>
      </c>
      <c r="DD17" s="37"/>
      <c r="DE17" s="33"/>
      <c r="DF17" s="34"/>
      <c r="DG17" s="35" t="str">
        <f t="shared" si="42"/>
        <v/>
      </c>
      <c r="DH17" s="36" t="str">
        <f t="shared" si="43"/>
        <v/>
      </c>
      <c r="DI17" s="37"/>
      <c r="DJ17" s="33"/>
      <c r="DK17" s="34"/>
      <c r="DL17" s="35" t="str">
        <f t="shared" si="44"/>
        <v/>
      </c>
      <c r="DM17" s="36" t="str">
        <f t="shared" si="45"/>
        <v/>
      </c>
      <c r="DN17" s="37"/>
      <c r="DO17" s="33"/>
      <c r="DP17" s="34"/>
      <c r="DQ17" s="35" t="str">
        <f t="shared" si="46"/>
        <v/>
      </c>
      <c r="DR17" s="36" t="str">
        <f t="shared" si="47"/>
        <v/>
      </c>
      <c r="DS17" s="37"/>
      <c r="DT17" s="33"/>
      <c r="DU17" s="34"/>
      <c r="DV17" s="35" t="str">
        <f t="shared" si="48"/>
        <v/>
      </c>
      <c r="DW17" s="36" t="str">
        <f t="shared" si="49"/>
        <v/>
      </c>
      <c r="DX17" s="37"/>
      <c r="DY17" s="33"/>
      <c r="DZ17" s="34"/>
      <c r="EA17" s="35" t="str">
        <f t="shared" si="50"/>
        <v/>
      </c>
      <c r="EB17" s="36" t="str">
        <f t="shared" si="51"/>
        <v/>
      </c>
      <c r="EC17" s="37"/>
      <c r="ED17" s="33"/>
      <c r="EE17" s="34"/>
      <c r="EF17" s="35" t="str">
        <f t="shared" si="52"/>
        <v/>
      </c>
      <c r="EG17" s="36" t="str">
        <f t="shared" si="53"/>
        <v/>
      </c>
      <c r="EH17" s="37"/>
      <c r="EI17" s="33"/>
      <c r="EJ17" s="34"/>
      <c r="EK17" s="35" t="str">
        <f t="shared" si="54"/>
        <v/>
      </c>
      <c r="EL17" s="36" t="str">
        <f t="shared" si="55"/>
        <v/>
      </c>
      <c r="EM17" s="37"/>
      <c r="EN17" s="33"/>
      <c r="EO17" s="34"/>
      <c r="EP17" s="35" t="str">
        <f t="shared" si="56"/>
        <v/>
      </c>
      <c r="EQ17" s="36" t="str">
        <f t="shared" si="57"/>
        <v/>
      </c>
      <c r="ER17" s="37"/>
      <c r="ES17" s="33"/>
      <c r="ET17" s="34"/>
      <c r="EU17" s="35" t="str">
        <f t="shared" si="58"/>
        <v/>
      </c>
      <c r="EV17" s="36" t="str">
        <f t="shared" si="59"/>
        <v/>
      </c>
      <c r="EW17" s="37"/>
    </row>
    <row r="18" spans="1:153" ht="19.5" customHeight="1">
      <c r="A18" s="32">
        <f>IF(DAY(DATE(対象年度,2,15))&lt;&gt;15,"",15)</f>
        <v>15</v>
      </c>
      <c r="B18" s="32" t="str">
        <f>IF(DAY(DATE(対象年度,2,15))&lt;&gt;15,"",CHOOSE(WEEKDAY(DATE(対象年度,2,15),2),"月","火","水","木","金","土","日"))</f>
        <v>日</v>
      </c>
      <c r="C18" s="32" t="str">
        <f>IF(DAY(DATE(対象年度,2,15))&lt;&gt;15,"",IF(ISNUMBER(MATCH(DATE(対象年度,2,15),祝日リスト,0)),"祝",""))</f>
        <v/>
      </c>
      <c r="D18" s="33"/>
      <c r="E18" s="34"/>
      <c r="F18" s="35" t="str">
        <f t="shared" si="0"/>
        <v/>
      </c>
      <c r="G18" s="36" t="str">
        <f t="shared" si="1"/>
        <v/>
      </c>
      <c r="H18" s="37"/>
      <c r="I18" s="33"/>
      <c r="J18" s="34"/>
      <c r="K18" s="35" t="str">
        <f t="shared" si="2"/>
        <v/>
      </c>
      <c r="L18" s="36" t="str">
        <f t="shared" si="3"/>
        <v/>
      </c>
      <c r="M18" s="37"/>
      <c r="N18" s="33"/>
      <c r="O18" s="34"/>
      <c r="P18" s="35" t="str">
        <f t="shared" si="4"/>
        <v/>
      </c>
      <c r="Q18" s="36" t="str">
        <f t="shared" si="5"/>
        <v/>
      </c>
      <c r="R18" s="37"/>
      <c r="S18" s="33"/>
      <c r="T18" s="34"/>
      <c r="U18" s="35" t="str">
        <f t="shared" si="6"/>
        <v/>
      </c>
      <c r="V18" s="36" t="str">
        <f t="shared" si="7"/>
        <v/>
      </c>
      <c r="W18" s="37"/>
      <c r="X18" s="33"/>
      <c r="Y18" s="34"/>
      <c r="Z18" s="35" t="str">
        <f t="shared" si="8"/>
        <v/>
      </c>
      <c r="AA18" s="36" t="str">
        <f t="shared" si="9"/>
        <v/>
      </c>
      <c r="AB18" s="37"/>
      <c r="AC18" s="33"/>
      <c r="AD18" s="34"/>
      <c r="AE18" s="35" t="str">
        <f t="shared" si="10"/>
        <v/>
      </c>
      <c r="AF18" s="36" t="str">
        <f t="shared" si="11"/>
        <v/>
      </c>
      <c r="AG18" s="37"/>
      <c r="AH18" s="33"/>
      <c r="AI18" s="34"/>
      <c r="AJ18" s="35" t="str">
        <f t="shared" si="12"/>
        <v/>
      </c>
      <c r="AK18" s="36" t="str">
        <f t="shared" si="13"/>
        <v/>
      </c>
      <c r="AL18" s="37"/>
      <c r="AM18" s="33"/>
      <c r="AN18" s="34"/>
      <c r="AO18" s="35" t="str">
        <f t="shared" si="14"/>
        <v/>
      </c>
      <c r="AP18" s="36" t="str">
        <f t="shared" si="15"/>
        <v/>
      </c>
      <c r="AQ18" s="37"/>
      <c r="AR18" s="33"/>
      <c r="AS18" s="34"/>
      <c r="AT18" s="35" t="str">
        <f t="shared" si="16"/>
        <v/>
      </c>
      <c r="AU18" s="36" t="str">
        <f t="shared" si="17"/>
        <v/>
      </c>
      <c r="AV18" s="37"/>
      <c r="AW18" s="33"/>
      <c r="AX18" s="34"/>
      <c r="AY18" s="35" t="str">
        <f t="shared" si="18"/>
        <v/>
      </c>
      <c r="AZ18" s="36" t="str">
        <f t="shared" si="19"/>
        <v/>
      </c>
      <c r="BA18" s="37"/>
      <c r="BB18" s="33"/>
      <c r="BC18" s="34"/>
      <c r="BD18" s="35" t="str">
        <f t="shared" si="20"/>
        <v/>
      </c>
      <c r="BE18" s="36" t="str">
        <f t="shared" si="21"/>
        <v/>
      </c>
      <c r="BF18" s="37"/>
      <c r="BG18" s="33"/>
      <c r="BH18" s="34"/>
      <c r="BI18" s="35" t="str">
        <f t="shared" si="22"/>
        <v/>
      </c>
      <c r="BJ18" s="36" t="str">
        <f t="shared" si="23"/>
        <v/>
      </c>
      <c r="BK18" s="37"/>
      <c r="BL18" s="33"/>
      <c r="BM18" s="34"/>
      <c r="BN18" s="35" t="str">
        <f t="shared" si="24"/>
        <v/>
      </c>
      <c r="BO18" s="36" t="str">
        <f t="shared" si="25"/>
        <v/>
      </c>
      <c r="BP18" s="37"/>
      <c r="BQ18" s="33"/>
      <c r="BR18" s="34"/>
      <c r="BS18" s="35" t="str">
        <f t="shared" si="26"/>
        <v/>
      </c>
      <c r="BT18" s="36" t="str">
        <f t="shared" si="27"/>
        <v/>
      </c>
      <c r="BU18" s="37"/>
      <c r="BV18" s="33"/>
      <c r="BW18" s="34"/>
      <c r="BX18" s="35" t="str">
        <f t="shared" si="28"/>
        <v/>
      </c>
      <c r="BY18" s="36" t="str">
        <f t="shared" si="29"/>
        <v/>
      </c>
      <c r="BZ18" s="37"/>
      <c r="CA18" s="33"/>
      <c r="CB18" s="34"/>
      <c r="CC18" s="35" t="str">
        <f t="shared" si="30"/>
        <v/>
      </c>
      <c r="CD18" s="36" t="str">
        <f t="shared" si="31"/>
        <v/>
      </c>
      <c r="CE18" s="37"/>
      <c r="CF18" s="33"/>
      <c r="CG18" s="34"/>
      <c r="CH18" s="35" t="str">
        <f t="shared" si="32"/>
        <v/>
      </c>
      <c r="CI18" s="36" t="str">
        <f t="shared" si="33"/>
        <v/>
      </c>
      <c r="CJ18" s="37"/>
      <c r="CK18" s="33"/>
      <c r="CL18" s="34"/>
      <c r="CM18" s="35" t="str">
        <f t="shared" si="34"/>
        <v/>
      </c>
      <c r="CN18" s="36" t="str">
        <f t="shared" si="35"/>
        <v/>
      </c>
      <c r="CO18" s="37"/>
      <c r="CP18" s="33"/>
      <c r="CQ18" s="34"/>
      <c r="CR18" s="35" t="str">
        <f t="shared" si="36"/>
        <v/>
      </c>
      <c r="CS18" s="36" t="str">
        <f t="shared" si="37"/>
        <v/>
      </c>
      <c r="CT18" s="37"/>
      <c r="CU18" s="33"/>
      <c r="CV18" s="34"/>
      <c r="CW18" s="35" t="str">
        <f t="shared" si="38"/>
        <v/>
      </c>
      <c r="CX18" s="36" t="str">
        <f t="shared" si="39"/>
        <v/>
      </c>
      <c r="CY18" s="37"/>
      <c r="CZ18" s="33"/>
      <c r="DA18" s="34"/>
      <c r="DB18" s="35" t="str">
        <f t="shared" si="40"/>
        <v/>
      </c>
      <c r="DC18" s="36" t="str">
        <f t="shared" si="41"/>
        <v/>
      </c>
      <c r="DD18" s="37"/>
      <c r="DE18" s="33"/>
      <c r="DF18" s="34"/>
      <c r="DG18" s="35" t="str">
        <f t="shared" si="42"/>
        <v/>
      </c>
      <c r="DH18" s="36" t="str">
        <f t="shared" si="43"/>
        <v/>
      </c>
      <c r="DI18" s="37"/>
      <c r="DJ18" s="33"/>
      <c r="DK18" s="34"/>
      <c r="DL18" s="35" t="str">
        <f t="shared" si="44"/>
        <v/>
      </c>
      <c r="DM18" s="36" t="str">
        <f t="shared" si="45"/>
        <v/>
      </c>
      <c r="DN18" s="37"/>
      <c r="DO18" s="33"/>
      <c r="DP18" s="34"/>
      <c r="DQ18" s="35" t="str">
        <f t="shared" si="46"/>
        <v/>
      </c>
      <c r="DR18" s="36" t="str">
        <f t="shared" si="47"/>
        <v/>
      </c>
      <c r="DS18" s="37"/>
      <c r="DT18" s="33"/>
      <c r="DU18" s="34"/>
      <c r="DV18" s="35" t="str">
        <f t="shared" si="48"/>
        <v/>
      </c>
      <c r="DW18" s="36" t="str">
        <f t="shared" si="49"/>
        <v/>
      </c>
      <c r="DX18" s="37"/>
      <c r="DY18" s="33"/>
      <c r="DZ18" s="34"/>
      <c r="EA18" s="35" t="str">
        <f t="shared" si="50"/>
        <v/>
      </c>
      <c r="EB18" s="36" t="str">
        <f t="shared" si="51"/>
        <v/>
      </c>
      <c r="EC18" s="37"/>
      <c r="ED18" s="33"/>
      <c r="EE18" s="34"/>
      <c r="EF18" s="35" t="str">
        <f t="shared" si="52"/>
        <v/>
      </c>
      <c r="EG18" s="36" t="str">
        <f t="shared" si="53"/>
        <v/>
      </c>
      <c r="EH18" s="37"/>
      <c r="EI18" s="33"/>
      <c r="EJ18" s="34"/>
      <c r="EK18" s="35" t="str">
        <f t="shared" si="54"/>
        <v/>
      </c>
      <c r="EL18" s="36" t="str">
        <f t="shared" si="55"/>
        <v/>
      </c>
      <c r="EM18" s="37"/>
      <c r="EN18" s="33"/>
      <c r="EO18" s="34"/>
      <c r="EP18" s="35" t="str">
        <f t="shared" si="56"/>
        <v/>
      </c>
      <c r="EQ18" s="36" t="str">
        <f t="shared" si="57"/>
        <v/>
      </c>
      <c r="ER18" s="37"/>
      <c r="ES18" s="33"/>
      <c r="ET18" s="34"/>
      <c r="EU18" s="35" t="str">
        <f t="shared" si="58"/>
        <v/>
      </c>
      <c r="EV18" s="36" t="str">
        <f t="shared" si="59"/>
        <v/>
      </c>
      <c r="EW18" s="37"/>
    </row>
    <row r="19" spans="1:153" ht="19.5" customHeight="1">
      <c r="A19" s="32">
        <f>IF(DAY(DATE(対象年度,2,16))&lt;&gt;16,"",16)</f>
        <v>16</v>
      </c>
      <c r="B19" s="32" t="str">
        <f>IF(DAY(DATE(対象年度,2,16))&lt;&gt;16,"",CHOOSE(WEEKDAY(DATE(対象年度,2,16),2),"月","火","水","木","金","土","日"))</f>
        <v>月</v>
      </c>
      <c r="C19" s="32" t="str">
        <f>IF(DAY(DATE(対象年度,2,16))&lt;&gt;16,"",IF(ISNUMBER(MATCH(DATE(対象年度,2,16),祝日リスト,0)),"祝",""))</f>
        <v/>
      </c>
      <c r="D19" s="38" t="s">
        <v>104</v>
      </c>
      <c r="E19" s="34"/>
      <c r="F19" s="35" t="str">
        <f t="shared" si="0"/>
        <v>○</v>
      </c>
      <c r="G19" s="36" t="str">
        <f t="shared" si="1"/>
        <v/>
      </c>
      <c r="H19" s="37"/>
      <c r="I19" s="38" t="s">
        <v>116</v>
      </c>
      <c r="J19" s="34"/>
      <c r="K19" s="35" t="str">
        <f t="shared" si="2"/>
        <v>○</v>
      </c>
      <c r="L19" s="36" t="str">
        <f t="shared" si="3"/>
        <v/>
      </c>
      <c r="M19" s="37"/>
      <c r="N19" s="38" t="s">
        <v>116</v>
      </c>
      <c r="O19" s="34"/>
      <c r="P19" s="35" t="str">
        <f t="shared" si="4"/>
        <v>○</v>
      </c>
      <c r="Q19" s="36" t="str">
        <f t="shared" si="5"/>
        <v/>
      </c>
      <c r="R19" s="37"/>
      <c r="S19" s="38" t="s">
        <v>116</v>
      </c>
      <c r="T19" s="34"/>
      <c r="U19" s="35" t="str">
        <f t="shared" si="6"/>
        <v>○</v>
      </c>
      <c r="V19" s="36" t="str">
        <f t="shared" si="7"/>
        <v/>
      </c>
      <c r="W19" s="37"/>
      <c r="X19" s="38" t="s">
        <v>116</v>
      </c>
      <c r="Y19" s="34"/>
      <c r="Z19" s="35" t="str">
        <f t="shared" si="8"/>
        <v>○</v>
      </c>
      <c r="AA19" s="36" t="str">
        <f t="shared" si="9"/>
        <v/>
      </c>
      <c r="AB19" s="37"/>
      <c r="AC19" s="38" t="s">
        <v>116</v>
      </c>
      <c r="AD19" s="34"/>
      <c r="AE19" s="35" t="str">
        <f t="shared" si="10"/>
        <v>○</v>
      </c>
      <c r="AF19" s="36" t="str">
        <f t="shared" si="11"/>
        <v/>
      </c>
      <c r="AG19" s="37"/>
      <c r="AH19" s="38" t="s">
        <v>117</v>
      </c>
      <c r="AI19" s="34"/>
      <c r="AJ19" s="35" t="str">
        <f t="shared" si="12"/>
        <v>○</v>
      </c>
      <c r="AK19" s="36" t="str">
        <f t="shared" si="13"/>
        <v/>
      </c>
      <c r="AL19" s="37"/>
      <c r="AM19" s="38" t="s">
        <v>116</v>
      </c>
      <c r="AN19" s="34"/>
      <c r="AO19" s="35" t="str">
        <f t="shared" si="14"/>
        <v>○</v>
      </c>
      <c r="AP19" s="36" t="str">
        <f t="shared" si="15"/>
        <v/>
      </c>
      <c r="AQ19" s="37"/>
      <c r="AR19" s="38" t="s">
        <v>116</v>
      </c>
      <c r="AS19" s="34"/>
      <c r="AT19" s="35" t="str">
        <f t="shared" si="16"/>
        <v>○</v>
      </c>
      <c r="AU19" s="36" t="str">
        <f t="shared" si="17"/>
        <v/>
      </c>
      <c r="AV19" s="37"/>
      <c r="AW19" s="38" t="s">
        <v>124</v>
      </c>
      <c r="AX19" s="34"/>
      <c r="AY19" s="35" t="str">
        <f t="shared" si="18"/>
        <v>○</v>
      </c>
      <c r="AZ19" s="36" t="str">
        <f t="shared" si="19"/>
        <v/>
      </c>
      <c r="BA19" s="37"/>
      <c r="BB19" s="38" t="s">
        <v>104</v>
      </c>
      <c r="BC19" s="34"/>
      <c r="BD19" s="35" t="str">
        <f t="shared" si="20"/>
        <v>○</v>
      </c>
      <c r="BE19" s="36" t="str">
        <f t="shared" si="21"/>
        <v/>
      </c>
      <c r="BF19" s="37"/>
      <c r="BG19" s="38" t="s">
        <v>116</v>
      </c>
      <c r="BH19" s="34"/>
      <c r="BI19" s="35" t="str">
        <f t="shared" si="22"/>
        <v>○</v>
      </c>
      <c r="BJ19" s="36" t="str">
        <f t="shared" si="23"/>
        <v/>
      </c>
      <c r="BK19" s="37"/>
      <c r="BL19" s="33"/>
      <c r="BM19" s="34"/>
      <c r="BN19" s="35" t="str">
        <f t="shared" si="24"/>
        <v/>
      </c>
      <c r="BO19" s="36" t="str">
        <f t="shared" si="25"/>
        <v/>
      </c>
      <c r="BP19" s="37"/>
      <c r="BQ19" s="33"/>
      <c r="BR19" s="34"/>
      <c r="BS19" s="35" t="str">
        <f t="shared" si="26"/>
        <v/>
      </c>
      <c r="BT19" s="36" t="str">
        <f t="shared" si="27"/>
        <v/>
      </c>
      <c r="BU19" s="37"/>
      <c r="BV19" s="33"/>
      <c r="BW19" s="34"/>
      <c r="BX19" s="35" t="str">
        <f t="shared" si="28"/>
        <v/>
      </c>
      <c r="BY19" s="36" t="str">
        <f t="shared" si="29"/>
        <v/>
      </c>
      <c r="BZ19" s="37"/>
      <c r="CA19" s="33"/>
      <c r="CB19" s="34"/>
      <c r="CC19" s="35" t="str">
        <f t="shared" si="30"/>
        <v/>
      </c>
      <c r="CD19" s="36" t="str">
        <f t="shared" si="31"/>
        <v/>
      </c>
      <c r="CE19" s="37"/>
      <c r="CF19" s="33"/>
      <c r="CG19" s="34"/>
      <c r="CH19" s="35" t="str">
        <f t="shared" si="32"/>
        <v/>
      </c>
      <c r="CI19" s="36" t="str">
        <f t="shared" si="33"/>
        <v/>
      </c>
      <c r="CJ19" s="37"/>
      <c r="CK19" s="33"/>
      <c r="CL19" s="34"/>
      <c r="CM19" s="35" t="str">
        <f t="shared" si="34"/>
        <v/>
      </c>
      <c r="CN19" s="36" t="str">
        <f t="shared" si="35"/>
        <v/>
      </c>
      <c r="CO19" s="37"/>
      <c r="CP19" s="33"/>
      <c r="CQ19" s="34"/>
      <c r="CR19" s="35" t="str">
        <f t="shared" si="36"/>
        <v/>
      </c>
      <c r="CS19" s="36" t="str">
        <f t="shared" si="37"/>
        <v/>
      </c>
      <c r="CT19" s="37"/>
      <c r="CU19" s="33"/>
      <c r="CV19" s="34"/>
      <c r="CW19" s="35" t="str">
        <f t="shared" si="38"/>
        <v/>
      </c>
      <c r="CX19" s="36" t="str">
        <f t="shared" si="39"/>
        <v/>
      </c>
      <c r="CY19" s="37"/>
      <c r="CZ19" s="33"/>
      <c r="DA19" s="34"/>
      <c r="DB19" s="35" t="str">
        <f t="shared" si="40"/>
        <v/>
      </c>
      <c r="DC19" s="36" t="str">
        <f t="shared" si="41"/>
        <v/>
      </c>
      <c r="DD19" s="37"/>
      <c r="DE19" s="33"/>
      <c r="DF19" s="34"/>
      <c r="DG19" s="35" t="str">
        <f t="shared" si="42"/>
        <v/>
      </c>
      <c r="DH19" s="36" t="str">
        <f t="shared" si="43"/>
        <v/>
      </c>
      <c r="DI19" s="37"/>
      <c r="DJ19" s="33"/>
      <c r="DK19" s="34"/>
      <c r="DL19" s="35" t="str">
        <f t="shared" si="44"/>
        <v/>
      </c>
      <c r="DM19" s="36" t="str">
        <f t="shared" si="45"/>
        <v/>
      </c>
      <c r="DN19" s="37"/>
      <c r="DO19" s="33"/>
      <c r="DP19" s="34"/>
      <c r="DQ19" s="35" t="str">
        <f t="shared" si="46"/>
        <v/>
      </c>
      <c r="DR19" s="36" t="str">
        <f t="shared" si="47"/>
        <v/>
      </c>
      <c r="DS19" s="37"/>
      <c r="DT19" s="33"/>
      <c r="DU19" s="34"/>
      <c r="DV19" s="35" t="str">
        <f t="shared" si="48"/>
        <v/>
      </c>
      <c r="DW19" s="36" t="str">
        <f t="shared" si="49"/>
        <v/>
      </c>
      <c r="DX19" s="37"/>
      <c r="DY19" s="33"/>
      <c r="DZ19" s="34"/>
      <c r="EA19" s="35" t="str">
        <f t="shared" si="50"/>
        <v/>
      </c>
      <c r="EB19" s="36" t="str">
        <f t="shared" si="51"/>
        <v/>
      </c>
      <c r="EC19" s="37"/>
      <c r="ED19" s="33"/>
      <c r="EE19" s="34"/>
      <c r="EF19" s="35" t="str">
        <f t="shared" si="52"/>
        <v/>
      </c>
      <c r="EG19" s="36" t="str">
        <f t="shared" si="53"/>
        <v/>
      </c>
      <c r="EH19" s="37"/>
      <c r="EI19" s="33"/>
      <c r="EJ19" s="34"/>
      <c r="EK19" s="35" t="str">
        <f t="shared" si="54"/>
        <v/>
      </c>
      <c r="EL19" s="36" t="str">
        <f t="shared" si="55"/>
        <v/>
      </c>
      <c r="EM19" s="37"/>
      <c r="EN19" s="33"/>
      <c r="EO19" s="34"/>
      <c r="EP19" s="35" t="str">
        <f t="shared" si="56"/>
        <v/>
      </c>
      <c r="EQ19" s="36" t="str">
        <f t="shared" si="57"/>
        <v/>
      </c>
      <c r="ER19" s="37"/>
      <c r="ES19" s="33"/>
      <c r="ET19" s="34"/>
      <c r="EU19" s="35" t="str">
        <f t="shared" si="58"/>
        <v/>
      </c>
      <c r="EV19" s="36" t="str">
        <f t="shared" si="59"/>
        <v/>
      </c>
      <c r="EW19" s="37"/>
    </row>
    <row r="20" spans="1:153" ht="19.5" customHeight="1">
      <c r="A20" s="32">
        <f>IF(DAY(DATE(対象年度,2,17))&lt;&gt;17,"",17)</f>
        <v>17</v>
      </c>
      <c r="B20" s="32" t="str">
        <f>IF(DAY(DATE(対象年度,2,17))&lt;&gt;17,"",CHOOSE(WEEKDAY(DATE(対象年度,2,17),2),"月","火","水","木","金","土","日"))</f>
        <v>火</v>
      </c>
      <c r="C20" s="32" t="str">
        <f>IF(DAY(DATE(対象年度,2,17))&lt;&gt;17,"",IF(ISNUMBER(MATCH(DATE(対象年度,2,17),祝日リスト,0)),"祝",""))</f>
        <v/>
      </c>
      <c r="D20" s="38" t="s">
        <v>104</v>
      </c>
      <c r="E20" s="34"/>
      <c r="F20" s="35" t="str">
        <f t="shared" si="0"/>
        <v>○</v>
      </c>
      <c r="G20" s="36" t="str">
        <f t="shared" si="1"/>
        <v/>
      </c>
      <c r="H20" s="37"/>
      <c r="I20" s="38" t="s">
        <v>116</v>
      </c>
      <c r="J20" s="34"/>
      <c r="K20" s="35" t="str">
        <f t="shared" si="2"/>
        <v>○</v>
      </c>
      <c r="L20" s="36" t="str">
        <f t="shared" si="3"/>
        <v/>
      </c>
      <c r="M20" s="37"/>
      <c r="N20" s="38" t="s">
        <v>116</v>
      </c>
      <c r="O20" s="34"/>
      <c r="P20" s="35" t="str">
        <f t="shared" si="4"/>
        <v>○</v>
      </c>
      <c r="Q20" s="36" t="str">
        <f t="shared" si="5"/>
        <v/>
      </c>
      <c r="R20" s="37"/>
      <c r="S20" s="38" t="s">
        <v>116</v>
      </c>
      <c r="T20" s="34"/>
      <c r="U20" s="35" t="str">
        <f t="shared" si="6"/>
        <v>○</v>
      </c>
      <c r="V20" s="36" t="str">
        <f t="shared" si="7"/>
        <v/>
      </c>
      <c r="W20" s="37"/>
      <c r="X20" s="38" t="s">
        <v>116</v>
      </c>
      <c r="Y20" s="34"/>
      <c r="Z20" s="35" t="str">
        <f t="shared" si="8"/>
        <v>○</v>
      </c>
      <c r="AA20" s="36" t="str">
        <f t="shared" si="9"/>
        <v/>
      </c>
      <c r="AB20" s="37"/>
      <c r="AC20" s="38" t="s">
        <v>116</v>
      </c>
      <c r="AD20" s="34"/>
      <c r="AE20" s="35" t="str">
        <f t="shared" si="10"/>
        <v>○</v>
      </c>
      <c r="AF20" s="36" t="str">
        <f t="shared" si="11"/>
        <v/>
      </c>
      <c r="AG20" s="37"/>
      <c r="AH20" s="33"/>
      <c r="AI20" s="34"/>
      <c r="AJ20" s="35" t="str">
        <f t="shared" si="12"/>
        <v/>
      </c>
      <c r="AK20" s="36" t="str">
        <f t="shared" si="13"/>
        <v/>
      </c>
      <c r="AL20" s="37"/>
      <c r="AM20" s="38" t="s">
        <v>116</v>
      </c>
      <c r="AN20" s="34"/>
      <c r="AO20" s="35" t="str">
        <f t="shared" si="14"/>
        <v>○</v>
      </c>
      <c r="AP20" s="36" t="str">
        <f t="shared" si="15"/>
        <v/>
      </c>
      <c r="AQ20" s="37"/>
      <c r="AR20" s="38" t="s">
        <v>116</v>
      </c>
      <c r="AS20" s="34"/>
      <c r="AT20" s="35" t="str">
        <f t="shared" si="16"/>
        <v>○</v>
      </c>
      <c r="AU20" s="36" t="str">
        <f t="shared" si="17"/>
        <v/>
      </c>
      <c r="AV20" s="37"/>
      <c r="AW20" s="38" t="s">
        <v>124</v>
      </c>
      <c r="AX20" s="34"/>
      <c r="AY20" s="35" t="str">
        <f t="shared" si="18"/>
        <v>○</v>
      </c>
      <c r="AZ20" s="36" t="str">
        <f t="shared" si="19"/>
        <v/>
      </c>
      <c r="BA20" s="37"/>
      <c r="BB20" s="38" t="s">
        <v>104</v>
      </c>
      <c r="BC20" s="34"/>
      <c r="BD20" s="35" t="str">
        <f t="shared" si="20"/>
        <v>○</v>
      </c>
      <c r="BE20" s="36" t="str">
        <f t="shared" si="21"/>
        <v/>
      </c>
      <c r="BF20" s="37"/>
      <c r="BG20" s="38" t="s">
        <v>105</v>
      </c>
      <c r="BH20" s="34"/>
      <c r="BI20" s="35" t="str">
        <f t="shared" si="22"/>
        <v>○</v>
      </c>
      <c r="BJ20" s="36" t="str">
        <f t="shared" si="23"/>
        <v/>
      </c>
      <c r="BK20" s="37"/>
      <c r="BL20" s="33"/>
      <c r="BM20" s="34"/>
      <c r="BN20" s="35" t="str">
        <f t="shared" si="24"/>
        <v/>
      </c>
      <c r="BO20" s="36" t="str">
        <f t="shared" si="25"/>
        <v/>
      </c>
      <c r="BP20" s="37"/>
      <c r="BQ20" s="33"/>
      <c r="BR20" s="34"/>
      <c r="BS20" s="35" t="str">
        <f t="shared" si="26"/>
        <v/>
      </c>
      <c r="BT20" s="36" t="str">
        <f t="shared" si="27"/>
        <v/>
      </c>
      <c r="BU20" s="37"/>
      <c r="BV20" s="33"/>
      <c r="BW20" s="34"/>
      <c r="BX20" s="35" t="str">
        <f t="shared" si="28"/>
        <v/>
      </c>
      <c r="BY20" s="36" t="str">
        <f t="shared" si="29"/>
        <v/>
      </c>
      <c r="BZ20" s="37"/>
      <c r="CA20" s="33"/>
      <c r="CB20" s="34"/>
      <c r="CC20" s="35" t="str">
        <f t="shared" si="30"/>
        <v/>
      </c>
      <c r="CD20" s="36" t="str">
        <f t="shared" si="31"/>
        <v/>
      </c>
      <c r="CE20" s="37"/>
      <c r="CF20" s="33"/>
      <c r="CG20" s="34"/>
      <c r="CH20" s="35" t="str">
        <f t="shared" si="32"/>
        <v/>
      </c>
      <c r="CI20" s="36" t="str">
        <f t="shared" si="33"/>
        <v/>
      </c>
      <c r="CJ20" s="37"/>
      <c r="CK20" s="33"/>
      <c r="CL20" s="34"/>
      <c r="CM20" s="35" t="str">
        <f t="shared" si="34"/>
        <v/>
      </c>
      <c r="CN20" s="36" t="str">
        <f t="shared" si="35"/>
        <v/>
      </c>
      <c r="CO20" s="37"/>
      <c r="CP20" s="33"/>
      <c r="CQ20" s="34"/>
      <c r="CR20" s="35" t="str">
        <f t="shared" si="36"/>
        <v/>
      </c>
      <c r="CS20" s="36" t="str">
        <f t="shared" si="37"/>
        <v/>
      </c>
      <c r="CT20" s="37"/>
      <c r="CU20" s="33"/>
      <c r="CV20" s="34"/>
      <c r="CW20" s="35" t="str">
        <f t="shared" si="38"/>
        <v/>
      </c>
      <c r="CX20" s="36" t="str">
        <f t="shared" si="39"/>
        <v/>
      </c>
      <c r="CY20" s="37"/>
      <c r="CZ20" s="33"/>
      <c r="DA20" s="34"/>
      <c r="DB20" s="35" t="str">
        <f t="shared" si="40"/>
        <v/>
      </c>
      <c r="DC20" s="36" t="str">
        <f t="shared" si="41"/>
        <v/>
      </c>
      <c r="DD20" s="37"/>
      <c r="DE20" s="33"/>
      <c r="DF20" s="34"/>
      <c r="DG20" s="35" t="str">
        <f t="shared" si="42"/>
        <v/>
      </c>
      <c r="DH20" s="36" t="str">
        <f t="shared" si="43"/>
        <v/>
      </c>
      <c r="DI20" s="37"/>
      <c r="DJ20" s="33"/>
      <c r="DK20" s="34"/>
      <c r="DL20" s="35" t="str">
        <f t="shared" si="44"/>
        <v/>
      </c>
      <c r="DM20" s="36" t="str">
        <f t="shared" si="45"/>
        <v/>
      </c>
      <c r="DN20" s="37"/>
      <c r="DO20" s="33"/>
      <c r="DP20" s="34"/>
      <c r="DQ20" s="35" t="str">
        <f t="shared" si="46"/>
        <v/>
      </c>
      <c r="DR20" s="36" t="str">
        <f t="shared" si="47"/>
        <v/>
      </c>
      <c r="DS20" s="37"/>
      <c r="DT20" s="33"/>
      <c r="DU20" s="34"/>
      <c r="DV20" s="35" t="str">
        <f t="shared" si="48"/>
        <v/>
      </c>
      <c r="DW20" s="36" t="str">
        <f t="shared" si="49"/>
        <v/>
      </c>
      <c r="DX20" s="37"/>
      <c r="DY20" s="33"/>
      <c r="DZ20" s="34"/>
      <c r="EA20" s="35" t="str">
        <f t="shared" si="50"/>
        <v/>
      </c>
      <c r="EB20" s="36" t="str">
        <f t="shared" si="51"/>
        <v/>
      </c>
      <c r="EC20" s="37"/>
      <c r="ED20" s="33"/>
      <c r="EE20" s="34"/>
      <c r="EF20" s="35" t="str">
        <f t="shared" si="52"/>
        <v/>
      </c>
      <c r="EG20" s="36" t="str">
        <f t="shared" si="53"/>
        <v/>
      </c>
      <c r="EH20" s="37"/>
      <c r="EI20" s="33"/>
      <c r="EJ20" s="34"/>
      <c r="EK20" s="35" t="str">
        <f t="shared" si="54"/>
        <v/>
      </c>
      <c r="EL20" s="36" t="str">
        <f t="shared" si="55"/>
        <v/>
      </c>
      <c r="EM20" s="37"/>
      <c r="EN20" s="33"/>
      <c r="EO20" s="34"/>
      <c r="EP20" s="35" t="str">
        <f t="shared" si="56"/>
        <v/>
      </c>
      <c r="EQ20" s="36" t="str">
        <f t="shared" si="57"/>
        <v/>
      </c>
      <c r="ER20" s="37"/>
      <c r="ES20" s="33"/>
      <c r="ET20" s="34"/>
      <c r="EU20" s="35" t="str">
        <f t="shared" si="58"/>
        <v/>
      </c>
      <c r="EV20" s="36" t="str">
        <f t="shared" si="59"/>
        <v/>
      </c>
      <c r="EW20" s="37"/>
    </row>
    <row r="21" spans="1:153" ht="19.5" customHeight="1">
      <c r="A21" s="32">
        <f>IF(DAY(DATE(対象年度,2,18))&lt;&gt;18,"",18)</f>
        <v>18</v>
      </c>
      <c r="B21" s="32" t="str">
        <f>IF(DAY(DATE(対象年度,2,18))&lt;&gt;18,"",CHOOSE(WEEKDAY(DATE(対象年度,2,18),2),"月","火","水","木","金","土","日"))</f>
        <v>水</v>
      </c>
      <c r="C21" s="32" t="str">
        <f>IF(DAY(DATE(対象年度,2,18))&lt;&gt;18,"",IF(ISNUMBER(MATCH(DATE(対象年度,2,18),祝日リスト,0)),"祝",""))</f>
        <v/>
      </c>
      <c r="D21" s="38" t="s">
        <v>104</v>
      </c>
      <c r="E21" s="34"/>
      <c r="F21" s="35" t="str">
        <f t="shared" si="0"/>
        <v>○</v>
      </c>
      <c r="G21" s="36" t="str">
        <f t="shared" si="1"/>
        <v/>
      </c>
      <c r="H21" s="37"/>
      <c r="I21" s="38" t="s">
        <v>116</v>
      </c>
      <c r="J21" s="34"/>
      <c r="K21" s="35" t="str">
        <f t="shared" si="2"/>
        <v>○</v>
      </c>
      <c r="L21" s="36" t="str">
        <f t="shared" si="3"/>
        <v/>
      </c>
      <c r="M21" s="37"/>
      <c r="N21" s="38" t="s">
        <v>116</v>
      </c>
      <c r="O21" s="34"/>
      <c r="P21" s="35" t="str">
        <f t="shared" si="4"/>
        <v>○</v>
      </c>
      <c r="Q21" s="36" t="str">
        <f t="shared" si="5"/>
        <v/>
      </c>
      <c r="R21" s="37"/>
      <c r="S21" s="38" t="s">
        <v>116</v>
      </c>
      <c r="T21" s="34"/>
      <c r="U21" s="35" t="str">
        <f t="shared" si="6"/>
        <v>○</v>
      </c>
      <c r="V21" s="36" t="str">
        <f t="shared" si="7"/>
        <v/>
      </c>
      <c r="W21" s="37"/>
      <c r="X21" s="38" t="s">
        <v>116</v>
      </c>
      <c r="Y21" s="34"/>
      <c r="Z21" s="35" t="str">
        <f t="shared" si="8"/>
        <v>○</v>
      </c>
      <c r="AA21" s="36" t="str">
        <f t="shared" si="9"/>
        <v/>
      </c>
      <c r="AB21" s="37"/>
      <c r="AC21" s="38" t="s">
        <v>116</v>
      </c>
      <c r="AD21" s="34"/>
      <c r="AE21" s="35" t="str">
        <f t="shared" si="10"/>
        <v>○</v>
      </c>
      <c r="AF21" s="36" t="str">
        <f t="shared" si="11"/>
        <v/>
      </c>
      <c r="AG21" s="37"/>
      <c r="AH21" s="38" t="s">
        <v>117</v>
      </c>
      <c r="AI21" s="34"/>
      <c r="AJ21" s="35" t="str">
        <f t="shared" si="12"/>
        <v>○</v>
      </c>
      <c r="AK21" s="36" t="str">
        <f t="shared" si="13"/>
        <v/>
      </c>
      <c r="AL21" s="37"/>
      <c r="AM21" s="38" t="s">
        <v>116</v>
      </c>
      <c r="AN21" s="34"/>
      <c r="AO21" s="35" t="str">
        <f t="shared" si="14"/>
        <v>○</v>
      </c>
      <c r="AP21" s="36" t="str">
        <f t="shared" si="15"/>
        <v/>
      </c>
      <c r="AQ21" s="37"/>
      <c r="AR21" s="38" t="s">
        <v>116</v>
      </c>
      <c r="AS21" s="34"/>
      <c r="AT21" s="35" t="str">
        <f t="shared" si="16"/>
        <v>○</v>
      </c>
      <c r="AU21" s="36" t="str">
        <f t="shared" si="17"/>
        <v/>
      </c>
      <c r="AV21" s="37"/>
      <c r="AW21" s="38" t="s">
        <v>124</v>
      </c>
      <c r="AX21" s="34"/>
      <c r="AY21" s="35" t="str">
        <f t="shared" si="18"/>
        <v>○</v>
      </c>
      <c r="AZ21" s="36" t="str">
        <f t="shared" si="19"/>
        <v/>
      </c>
      <c r="BA21" s="37"/>
      <c r="BB21" s="38" t="s">
        <v>104</v>
      </c>
      <c r="BC21" s="34"/>
      <c r="BD21" s="35" t="str">
        <f t="shared" si="20"/>
        <v>○</v>
      </c>
      <c r="BE21" s="36" t="str">
        <f t="shared" si="21"/>
        <v/>
      </c>
      <c r="BF21" s="37"/>
      <c r="BG21" s="38" t="s">
        <v>116</v>
      </c>
      <c r="BH21" s="34"/>
      <c r="BI21" s="35" t="str">
        <f t="shared" si="22"/>
        <v>○</v>
      </c>
      <c r="BJ21" s="36" t="str">
        <f t="shared" si="23"/>
        <v/>
      </c>
      <c r="BK21" s="37"/>
      <c r="BL21" s="33"/>
      <c r="BM21" s="34"/>
      <c r="BN21" s="35" t="str">
        <f t="shared" si="24"/>
        <v/>
      </c>
      <c r="BO21" s="36" t="str">
        <f t="shared" si="25"/>
        <v/>
      </c>
      <c r="BP21" s="37"/>
      <c r="BQ21" s="33"/>
      <c r="BR21" s="34"/>
      <c r="BS21" s="35" t="str">
        <f t="shared" si="26"/>
        <v/>
      </c>
      <c r="BT21" s="36" t="str">
        <f t="shared" si="27"/>
        <v/>
      </c>
      <c r="BU21" s="37"/>
      <c r="BV21" s="33"/>
      <c r="BW21" s="34"/>
      <c r="BX21" s="35" t="str">
        <f t="shared" si="28"/>
        <v/>
      </c>
      <c r="BY21" s="36" t="str">
        <f t="shared" si="29"/>
        <v/>
      </c>
      <c r="BZ21" s="37"/>
      <c r="CA21" s="33"/>
      <c r="CB21" s="34"/>
      <c r="CC21" s="35" t="str">
        <f t="shared" si="30"/>
        <v/>
      </c>
      <c r="CD21" s="36" t="str">
        <f t="shared" si="31"/>
        <v/>
      </c>
      <c r="CE21" s="37"/>
      <c r="CF21" s="33"/>
      <c r="CG21" s="34"/>
      <c r="CH21" s="35" t="str">
        <f t="shared" si="32"/>
        <v/>
      </c>
      <c r="CI21" s="36" t="str">
        <f t="shared" si="33"/>
        <v/>
      </c>
      <c r="CJ21" s="37"/>
      <c r="CK21" s="33"/>
      <c r="CL21" s="34"/>
      <c r="CM21" s="35" t="str">
        <f t="shared" si="34"/>
        <v/>
      </c>
      <c r="CN21" s="36" t="str">
        <f t="shared" si="35"/>
        <v/>
      </c>
      <c r="CO21" s="37"/>
      <c r="CP21" s="33"/>
      <c r="CQ21" s="34"/>
      <c r="CR21" s="35" t="str">
        <f t="shared" si="36"/>
        <v/>
      </c>
      <c r="CS21" s="36" t="str">
        <f t="shared" si="37"/>
        <v/>
      </c>
      <c r="CT21" s="37"/>
      <c r="CU21" s="33"/>
      <c r="CV21" s="34"/>
      <c r="CW21" s="35" t="str">
        <f t="shared" si="38"/>
        <v/>
      </c>
      <c r="CX21" s="36" t="str">
        <f t="shared" si="39"/>
        <v/>
      </c>
      <c r="CY21" s="37"/>
      <c r="CZ21" s="33"/>
      <c r="DA21" s="34"/>
      <c r="DB21" s="35" t="str">
        <f t="shared" si="40"/>
        <v/>
      </c>
      <c r="DC21" s="36" t="str">
        <f t="shared" si="41"/>
        <v/>
      </c>
      <c r="DD21" s="37"/>
      <c r="DE21" s="33"/>
      <c r="DF21" s="34"/>
      <c r="DG21" s="35" t="str">
        <f t="shared" si="42"/>
        <v/>
      </c>
      <c r="DH21" s="36" t="str">
        <f t="shared" si="43"/>
        <v/>
      </c>
      <c r="DI21" s="37"/>
      <c r="DJ21" s="33"/>
      <c r="DK21" s="34"/>
      <c r="DL21" s="35" t="str">
        <f t="shared" si="44"/>
        <v/>
      </c>
      <c r="DM21" s="36" t="str">
        <f t="shared" si="45"/>
        <v/>
      </c>
      <c r="DN21" s="37"/>
      <c r="DO21" s="33"/>
      <c r="DP21" s="34"/>
      <c r="DQ21" s="35" t="str">
        <f t="shared" si="46"/>
        <v/>
      </c>
      <c r="DR21" s="36" t="str">
        <f t="shared" si="47"/>
        <v/>
      </c>
      <c r="DS21" s="37"/>
      <c r="DT21" s="33"/>
      <c r="DU21" s="34"/>
      <c r="DV21" s="35" t="str">
        <f t="shared" si="48"/>
        <v/>
      </c>
      <c r="DW21" s="36" t="str">
        <f t="shared" si="49"/>
        <v/>
      </c>
      <c r="DX21" s="37"/>
      <c r="DY21" s="33"/>
      <c r="DZ21" s="34"/>
      <c r="EA21" s="35" t="str">
        <f t="shared" si="50"/>
        <v/>
      </c>
      <c r="EB21" s="36" t="str">
        <f t="shared" si="51"/>
        <v/>
      </c>
      <c r="EC21" s="37"/>
      <c r="ED21" s="33"/>
      <c r="EE21" s="34"/>
      <c r="EF21" s="35" t="str">
        <f t="shared" si="52"/>
        <v/>
      </c>
      <c r="EG21" s="36" t="str">
        <f t="shared" si="53"/>
        <v/>
      </c>
      <c r="EH21" s="37"/>
      <c r="EI21" s="33"/>
      <c r="EJ21" s="34"/>
      <c r="EK21" s="35" t="str">
        <f t="shared" si="54"/>
        <v/>
      </c>
      <c r="EL21" s="36" t="str">
        <f t="shared" si="55"/>
        <v/>
      </c>
      <c r="EM21" s="37"/>
      <c r="EN21" s="33"/>
      <c r="EO21" s="34"/>
      <c r="EP21" s="35" t="str">
        <f t="shared" si="56"/>
        <v/>
      </c>
      <c r="EQ21" s="36" t="str">
        <f t="shared" si="57"/>
        <v/>
      </c>
      <c r="ER21" s="37"/>
      <c r="ES21" s="33"/>
      <c r="ET21" s="34"/>
      <c r="EU21" s="35" t="str">
        <f t="shared" si="58"/>
        <v/>
      </c>
      <c r="EV21" s="36" t="str">
        <f t="shared" si="59"/>
        <v/>
      </c>
      <c r="EW21" s="37"/>
    </row>
    <row r="22" spans="1:153" ht="19.5" customHeight="1">
      <c r="A22" s="32">
        <f>IF(DAY(DATE(対象年度,2,19))&lt;&gt;19,"",19)</f>
        <v>19</v>
      </c>
      <c r="B22" s="32" t="str">
        <f>IF(DAY(DATE(対象年度,2,19))&lt;&gt;19,"",CHOOSE(WEEKDAY(DATE(対象年度,2,19),2),"月","火","水","木","金","土","日"))</f>
        <v>木</v>
      </c>
      <c r="C22" s="32" t="str">
        <f>IF(DAY(DATE(対象年度,2,19))&lt;&gt;19,"",IF(ISNUMBER(MATCH(DATE(対象年度,2,19),祝日リスト,0)),"祝",""))</f>
        <v/>
      </c>
      <c r="D22" s="38" t="s">
        <v>104</v>
      </c>
      <c r="E22" s="34"/>
      <c r="F22" s="35" t="str">
        <f t="shared" si="0"/>
        <v>○</v>
      </c>
      <c r="G22" s="36" t="str">
        <f t="shared" si="1"/>
        <v/>
      </c>
      <c r="H22" s="37"/>
      <c r="I22" s="33"/>
      <c r="J22" s="46" t="s">
        <v>125</v>
      </c>
      <c r="K22" s="35" t="str">
        <f t="shared" si="2"/>
        <v/>
      </c>
      <c r="L22" s="36" t="str">
        <f t="shared" si="3"/>
        <v>○</v>
      </c>
      <c r="M22" s="37"/>
      <c r="N22" s="38" t="s">
        <v>116</v>
      </c>
      <c r="O22" s="34"/>
      <c r="P22" s="35" t="str">
        <f t="shared" si="4"/>
        <v>○</v>
      </c>
      <c r="Q22" s="36" t="str">
        <f t="shared" si="5"/>
        <v/>
      </c>
      <c r="R22" s="37"/>
      <c r="S22" s="38" t="s">
        <v>116</v>
      </c>
      <c r="T22" s="34"/>
      <c r="U22" s="35" t="str">
        <f t="shared" si="6"/>
        <v>○</v>
      </c>
      <c r="V22" s="36" t="str">
        <f t="shared" si="7"/>
        <v/>
      </c>
      <c r="W22" s="37"/>
      <c r="X22" s="38" t="s">
        <v>116</v>
      </c>
      <c r="Y22" s="34"/>
      <c r="Z22" s="35" t="str">
        <f t="shared" si="8"/>
        <v>○</v>
      </c>
      <c r="AA22" s="36" t="str">
        <f t="shared" si="9"/>
        <v/>
      </c>
      <c r="AB22" s="37"/>
      <c r="AC22" s="33"/>
      <c r="AD22" s="46" t="s">
        <v>125</v>
      </c>
      <c r="AE22" s="35" t="str">
        <f t="shared" si="10"/>
        <v/>
      </c>
      <c r="AF22" s="36" t="str">
        <f t="shared" si="11"/>
        <v>○</v>
      </c>
      <c r="AG22" s="37"/>
      <c r="AH22" s="33"/>
      <c r="AI22" s="34"/>
      <c r="AJ22" s="35" t="str">
        <f t="shared" si="12"/>
        <v/>
      </c>
      <c r="AK22" s="36" t="str">
        <f t="shared" si="13"/>
        <v/>
      </c>
      <c r="AL22" s="37"/>
      <c r="AM22" s="33"/>
      <c r="AN22" s="46" t="s">
        <v>125</v>
      </c>
      <c r="AO22" s="35" t="str">
        <f t="shared" si="14"/>
        <v/>
      </c>
      <c r="AP22" s="36" t="str">
        <f t="shared" si="15"/>
        <v>○</v>
      </c>
      <c r="AQ22" s="37"/>
      <c r="AR22" s="38" t="s">
        <v>116</v>
      </c>
      <c r="AS22" s="34"/>
      <c r="AT22" s="35" t="str">
        <f t="shared" si="16"/>
        <v>○</v>
      </c>
      <c r="AU22" s="36" t="str">
        <f t="shared" si="17"/>
        <v/>
      </c>
      <c r="AV22" s="37"/>
      <c r="AW22" s="38" t="s">
        <v>124</v>
      </c>
      <c r="AX22" s="34"/>
      <c r="AY22" s="35" t="str">
        <f t="shared" si="18"/>
        <v>○</v>
      </c>
      <c r="AZ22" s="36" t="str">
        <f t="shared" si="19"/>
        <v/>
      </c>
      <c r="BA22" s="37"/>
      <c r="BB22" s="38" t="s">
        <v>104</v>
      </c>
      <c r="BC22" s="34"/>
      <c r="BD22" s="35" t="str">
        <f t="shared" si="20"/>
        <v>○</v>
      </c>
      <c r="BE22" s="36" t="str">
        <f t="shared" si="21"/>
        <v/>
      </c>
      <c r="BF22" s="37"/>
      <c r="BG22" s="38" t="s">
        <v>116</v>
      </c>
      <c r="BH22" s="34"/>
      <c r="BI22" s="35" t="str">
        <f t="shared" si="22"/>
        <v>○</v>
      </c>
      <c r="BJ22" s="36" t="str">
        <f t="shared" si="23"/>
        <v/>
      </c>
      <c r="BK22" s="37"/>
      <c r="BL22" s="33"/>
      <c r="BM22" s="34"/>
      <c r="BN22" s="35" t="str">
        <f t="shared" si="24"/>
        <v/>
      </c>
      <c r="BO22" s="36" t="str">
        <f t="shared" si="25"/>
        <v/>
      </c>
      <c r="BP22" s="37"/>
      <c r="BQ22" s="33"/>
      <c r="BR22" s="34"/>
      <c r="BS22" s="35" t="str">
        <f t="shared" si="26"/>
        <v/>
      </c>
      <c r="BT22" s="36" t="str">
        <f t="shared" si="27"/>
        <v/>
      </c>
      <c r="BU22" s="37"/>
      <c r="BV22" s="33"/>
      <c r="BW22" s="34"/>
      <c r="BX22" s="35" t="str">
        <f t="shared" si="28"/>
        <v/>
      </c>
      <c r="BY22" s="36" t="str">
        <f t="shared" si="29"/>
        <v/>
      </c>
      <c r="BZ22" s="37"/>
      <c r="CA22" s="33"/>
      <c r="CB22" s="34"/>
      <c r="CC22" s="35" t="str">
        <f t="shared" si="30"/>
        <v/>
      </c>
      <c r="CD22" s="36" t="str">
        <f t="shared" si="31"/>
        <v/>
      </c>
      <c r="CE22" s="37"/>
      <c r="CF22" s="33"/>
      <c r="CG22" s="34"/>
      <c r="CH22" s="35" t="str">
        <f t="shared" si="32"/>
        <v/>
      </c>
      <c r="CI22" s="36" t="str">
        <f t="shared" si="33"/>
        <v/>
      </c>
      <c r="CJ22" s="37"/>
      <c r="CK22" s="33"/>
      <c r="CL22" s="34"/>
      <c r="CM22" s="35" t="str">
        <f t="shared" si="34"/>
        <v/>
      </c>
      <c r="CN22" s="36" t="str">
        <f t="shared" si="35"/>
        <v/>
      </c>
      <c r="CO22" s="37"/>
      <c r="CP22" s="33"/>
      <c r="CQ22" s="34"/>
      <c r="CR22" s="35" t="str">
        <f t="shared" si="36"/>
        <v/>
      </c>
      <c r="CS22" s="36" t="str">
        <f t="shared" si="37"/>
        <v/>
      </c>
      <c r="CT22" s="37"/>
      <c r="CU22" s="33"/>
      <c r="CV22" s="34"/>
      <c r="CW22" s="35" t="str">
        <f t="shared" si="38"/>
        <v/>
      </c>
      <c r="CX22" s="36" t="str">
        <f t="shared" si="39"/>
        <v/>
      </c>
      <c r="CY22" s="37"/>
      <c r="CZ22" s="33"/>
      <c r="DA22" s="34"/>
      <c r="DB22" s="35" t="str">
        <f t="shared" si="40"/>
        <v/>
      </c>
      <c r="DC22" s="36" t="str">
        <f t="shared" si="41"/>
        <v/>
      </c>
      <c r="DD22" s="37"/>
      <c r="DE22" s="33"/>
      <c r="DF22" s="34"/>
      <c r="DG22" s="35" t="str">
        <f t="shared" si="42"/>
        <v/>
      </c>
      <c r="DH22" s="36" t="str">
        <f t="shared" si="43"/>
        <v/>
      </c>
      <c r="DI22" s="37"/>
      <c r="DJ22" s="33"/>
      <c r="DK22" s="34"/>
      <c r="DL22" s="35" t="str">
        <f t="shared" si="44"/>
        <v/>
      </c>
      <c r="DM22" s="36" t="str">
        <f t="shared" si="45"/>
        <v/>
      </c>
      <c r="DN22" s="37"/>
      <c r="DO22" s="33"/>
      <c r="DP22" s="34"/>
      <c r="DQ22" s="35" t="str">
        <f t="shared" si="46"/>
        <v/>
      </c>
      <c r="DR22" s="36" t="str">
        <f t="shared" si="47"/>
        <v/>
      </c>
      <c r="DS22" s="37"/>
      <c r="DT22" s="33"/>
      <c r="DU22" s="34"/>
      <c r="DV22" s="35" t="str">
        <f t="shared" si="48"/>
        <v/>
      </c>
      <c r="DW22" s="36" t="str">
        <f t="shared" si="49"/>
        <v/>
      </c>
      <c r="DX22" s="37"/>
      <c r="DY22" s="33"/>
      <c r="DZ22" s="34"/>
      <c r="EA22" s="35" t="str">
        <f t="shared" si="50"/>
        <v/>
      </c>
      <c r="EB22" s="36" t="str">
        <f t="shared" si="51"/>
        <v/>
      </c>
      <c r="EC22" s="37"/>
      <c r="ED22" s="33"/>
      <c r="EE22" s="34"/>
      <c r="EF22" s="35" t="str">
        <f t="shared" si="52"/>
        <v/>
      </c>
      <c r="EG22" s="36" t="str">
        <f t="shared" si="53"/>
        <v/>
      </c>
      <c r="EH22" s="37"/>
      <c r="EI22" s="33"/>
      <c r="EJ22" s="34"/>
      <c r="EK22" s="35" t="str">
        <f t="shared" si="54"/>
        <v/>
      </c>
      <c r="EL22" s="36" t="str">
        <f t="shared" si="55"/>
        <v/>
      </c>
      <c r="EM22" s="37"/>
      <c r="EN22" s="33"/>
      <c r="EO22" s="34"/>
      <c r="EP22" s="35" t="str">
        <f t="shared" si="56"/>
        <v/>
      </c>
      <c r="EQ22" s="36" t="str">
        <f t="shared" si="57"/>
        <v/>
      </c>
      <c r="ER22" s="37"/>
      <c r="ES22" s="33"/>
      <c r="ET22" s="34"/>
      <c r="EU22" s="35" t="str">
        <f t="shared" si="58"/>
        <v/>
      </c>
      <c r="EV22" s="36" t="str">
        <f t="shared" si="59"/>
        <v/>
      </c>
      <c r="EW22" s="37"/>
    </row>
    <row r="23" spans="1:153" ht="19.5" customHeight="1">
      <c r="A23" s="32">
        <f>IF(DAY(DATE(対象年度,2,20))&lt;&gt;20,"",20)</f>
        <v>20</v>
      </c>
      <c r="B23" s="32" t="str">
        <f>IF(DAY(DATE(対象年度,2,20))&lt;&gt;20,"",CHOOSE(WEEKDAY(DATE(対象年度,2,20),2),"月","火","水","木","金","土","日"))</f>
        <v>金</v>
      </c>
      <c r="C23" s="32" t="str">
        <f>IF(DAY(DATE(対象年度,2,20))&lt;&gt;20,"",IF(ISNUMBER(MATCH(DATE(対象年度,2,20),祝日リスト,0)),"祝",""))</f>
        <v/>
      </c>
      <c r="D23" s="38" t="s">
        <v>104</v>
      </c>
      <c r="E23" s="34"/>
      <c r="F23" s="35" t="str">
        <f t="shared" si="0"/>
        <v>○</v>
      </c>
      <c r="G23" s="36" t="str">
        <f t="shared" si="1"/>
        <v/>
      </c>
      <c r="H23" s="37"/>
      <c r="I23" s="38" t="s">
        <v>116</v>
      </c>
      <c r="J23" s="34"/>
      <c r="K23" s="35" t="str">
        <f t="shared" si="2"/>
        <v>○</v>
      </c>
      <c r="L23" s="36" t="str">
        <f t="shared" si="3"/>
        <v/>
      </c>
      <c r="M23" s="37"/>
      <c r="N23" s="38" t="s">
        <v>116</v>
      </c>
      <c r="O23" s="34"/>
      <c r="P23" s="35" t="str">
        <f t="shared" si="4"/>
        <v>○</v>
      </c>
      <c r="Q23" s="36" t="str">
        <f t="shared" si="5"/>
        <v/>
      </c>
      <c r="R23" s="37"/>
      <c r="S23" s="38" t="s">
        <v>116</v>
      </c>
      <c r="T23" s="34"/>
      <c r="U23" s="35" t="str">
        <f t="shared" si="6"/>
        <v>○</v>
      </c>
      <c r="V23" s="36" t="str">
        <f t="shared" si="7"/>
        <v/>
      </c>
      <c r="W23" s="37"/>
      <c r="X23" s="38" t="s">
        <v>116</v>
      </c>
      <c r="Y23" s="34"/>
      <c r="Z23" s="35" t="str">
        <f t="shared" si="8"/>
        <v>○</v>
      </c>
      <c r="AA23" s="36" t="str">
        <f t="shared" si="9"/>
        <v/>
      </c>
      <c r="AB23" s="37"/>
      <c r="AC23" s="38" t="s">
        <v>116</v>
      </c>
      <c r="AD23" s="34"/>
      <c r="AE23" s="35" t="str">
        <f t="shared" si="10"/>
        <v>○</v>
      </c>
      <c r="AF23" s="36" t="str">
        <f t="shared" si="11"/>
        <v/>
      </c>
      <c r="AG23" s="37"/>
      <c r="AH23" s="38" t="s">
        <v>117</v>
      </c>
      <c r="AI23" s="34"/>
      <c r="AJ23" s="35" t="str">
        <f t="shared" si="12"/>
        <v>○</v>
      </c>
      <c r="AK23" s="36" t="str">
        <f t="shared" si="13"/>
        <v/>
      </c>
      <c r="AL23" s="37"/>
      <c r="AM23" s="38" t="s">
        <v>116</v>
      </c>
      <c r="AN23" s="34"/>
      <c r="AO23" s="35" t="str">
        <f t="shared" si="14"/>
        <v>○</v>
      </c>
      <c r="AP23" s="36" t="str">
        <f t="shared" si="15"/>
        <v/>
      </c>
      <c r="AQ23" s="37"/>
      <c r="AR23" s="38" t="s">
        <v>116</v>
      </c>
      <c r="AS23" s="34"/>
      <c r="AT23" s="35" t="str">
        <f t="shared" si="16"/>
        <v>○</v>
      </c>
      <c r="AU23" s="36" t="str">
        <f t="shared" si="17"/>
        <v/>
      </c>
      <c r="AV23" s="37"/>
      <c r="AW23" s="38" t="s">
        <v>124</v>
      </c>
      <c r="AX23" s="34"/>
      <c r="AY23" s="35" t="str">
        <f t="shared" si="18"/>
        <v>○</v>
      </c>
      <c r="AZ23" s="36" t="str">
        <f t="shared" si="19"/>
        <v/>
      </c>
      <c r="BA23" s="37"/>
      <c r="BB23" s="38" t="s">
        <v>104</v>
      </c>
      <c r="BC23" s="34"/>
      <c r="BD23" s="35" t="str">
        <f t="shared" si="20"/>
        <v>○</v>
      </c>
      <c r="BE23" s="36" t="str">
        <f t="shared" si="21"/>
        <v/>
      </c>
      <c r="BF23" s="37"/>
      <c r="BG23" s="38" t="s">
        <v>116</v>
      </c>
      <c r="BH23" s="34"/>
      <c r="BI23" s="35" t="str">
        <f t="shared" si="22"/>
        <v>○</v>
      </c>
      <c r="BJ23" s="36" t="str">
        <f t="shared" si="23"/>
        <v/>
      </c>
      <c r="BK23" s="37"/>
      <c r="BL23" s="33"/>
      <c r="BM23" s="34"/>
      <c r="BN23" s="35" t="str">
        <f t="shared" si="24"/>
        <v/>
      </c>
      <c r="BO23" s="36" t="str">
        <f t="shared" si="25"/>
        <v/>
      </c>
      <c r="BP23" s="37"/>
      <c r="BQ23" s="33"/>
      <c r="BR23" s="34"/>
      <c r="BS23" s="35" t="str">
        <f t="shared" si="26"/>
        <v/>
      </c>
      <c r="BT23" s="36" t="str">
        <f t="shared" si="27"/>
        <v/>
      </c>
      <c r="BU23" s="37"/>
      <c r="BV23" s="33"/>
      <c r="BW23" s="34"/>
      <c r="BX23" s="35" t="str">
        <f t="shared" si="28"/>
        <v/>
      </c>
      <c r="BY23" s="36" t="str">
        <f t="shared" si="29"/>
        <v/>
      </c>
      <c r="BZ23" s="37"/>
      <c r="CA23" s="33"/>
      <c r="CB23" s="34"/>
      <c r="CC23" s="35" t="str">
        <f t="shared" si="30"/>
        <v/>
      </c>
      <c r="CD23" s="36" t="str">
        <f t="shared" si="31"/>
        <v/>
      </c>
      <c r="CE23" s="37"/>
      <c r="CF23" s="33"/>
      <c r="CG23" s="34"/>
      <c r="CH23" s="35" t="str">
        <f t="shared" si="32"/>
        <v/>
      </c>
      <c r="CI23" s="36" t="str">
        <f t="shared" si="33"/>
        <v/>
      </c>
      <c r="CJ23" s="37"/>
      <c r="CK23" s="33"/>
      <c r="CL23" s="34"/>
      <c r="CM23" s="35" t="str">
        <f t="shared" si="34"/>
        <v/>
      </c>
      <c r="CN23" s="36" t="str">
        <f t="shared" si="35"/>
        <v/>
      </c>
      <c r="CO23" s="37"/>
      <c r="CP23" s="33"/>
      <c r="CQ23" s="34"/>
      <c r="CR23" s="35" t="str">
        <f t="shared" si="36"/>
        <v/>
      </c>
      <c r="CS23" s="36" t="str">
        <f t="shared" si="37"/>
        <v/>
      </c>
      <c r="CT23" s="37"/>
      <c r="CU23" s="33"/>
      <c r="CV23" s="34"/>
      <c r="CW23" s="35" t="str">
        <f t="shared" si="38"/>
        <v/>
      </c>
      <c r="CX23" s="36" t="str">
        <f t="shared" si="39"/>
        <v/>
      </c>
      <c r="CY23" s="37"/>
      <c r="CZ23" s="33"/>
      <c r="DA23" s="34"/>
      <c r="DB23" s="35" t="str">
        <f t="shared" si="40"/>
        <v/>
      </c>
      <c r="DC23" s="36" t="str">
        <f t="shared" si="41"/>
        <v/>
      </c>
      <c r="DD23" s="37"/>
      <c r="DE23" s="33"/>
      <c r="DF23" s="34"/>
      <c r="DG23" s="35" t="str">
        <f t="shared" si="42"/>
        <v/>
      </c>
      <c r="DH23" s="36" t="str">
        <f t="shared" si="43"/>
        <v/>
      </c>
      <c r="DI23" s="37"/>
      <c r="DJ23" s="33"/>
      <c r="DK23" s="34"/>
      <c r="DL23" s="35" t="str">
        <f t="shared" si="44"/>
        <v/>
      </c>
      <c r="DM23" s="36" t="str">
        <f t="shared" si="45"/>
        <v/>
      </c>
      <c r="DN23" s="37"/>
      <c r="DO23" s="33"/>
      <c r="DP23" s="34"/>
      <c r="DQ23" s="35" t="str">
        <f t="shared" si="46"/>
        <v/>
      </c>
      <c r="DR23" s="36" t="str">
        <f t="shared" si="47"/>
        <v/>
      </c>
      <c r="DS23" s="37"/>
      <c r="DT23" s="33"/>
      <c r="DU23" s="34"/>
      <c r="DV23" s="35" t="str">
        <f t="shared" si="48"/>
        <v/>
      </c>
      <c r="DW23" s="36" t="str">
        <f t="shared" si="49"/>
        <v/>
      </c>
      <c r="DX23" s="37"/>
      <c r="DY23" s="33"/>
      <c r="DZ23" s="34"/>
      <c r="EA23" s="35" t="str">
        <f t="shared" si="50"/>
        <v/>
      </c>
      <c r="EB23" s="36" t="str">
        <f t="shared" si="51"/>
        <v/>
      </c>
      <c r="EC23" s="37"/>
      <c r="ED23" s="33"/>
      <c r="EE23" s="34"/>
      <c r="EF23" s="35" t="str">
        <f t="shared" si="52"/>
        <v/>
      </c>
      <c r="EG23" s="36" t="str">
        <f t="shared" si="53"/>
        <v/>
      </c>
      <c r="EH23" s="37"/>
      <c r="EI23" s="33"/>
      <c r="EJ23" s="34"/>
      <c r="EK23" s="35" t="str">
        <f t="shared" si="54"/>
        <v/>
      </c>
      <c r="EL23" s="36" t="str">
        <f t="shared" si="55"/>
        <v/>
      </c>
      <c r="EM23" s="37"/>
      <c r="EN23" s="33"/>
      <c r="EO23" s="34"/>
      <c r="EP23" s="35" t="str">
        <f t="shared" si="56"/>
        <v/>
      </c>
      <c r="EQ23" s="36" t="str">
        <f t="shared" si="57"/>
        <v/>
      </c>
      <c r="ER23" s="37"/>
      <c r="ES23" s="33"/>
      <c r="ET23" s="34"/>
      <c r="EU23" s="35" t="str">
        <f t="shared" si="58"/>
        <v/>
      </c>
      <c r="EV23" s="36" t="str">
        <f t="shared" si="59"/>
        <v/>
      </c>
      <c r="EW23" s="37"/>
    </row>
    <row r="24" spans="1:153" ht="19.5" customHeight="1">
      <c r="A24" s="32">
        <f>IF(DAY(DATE(対象年度,2,21))&lt;&gt;21,"",21)</f>
        <v>21</v>
      </c>
      <c r="B24" s="32" t="str">
        <f>IF(DAY(DATE(対象年度,2,21))&lt;&gt;21,"",CHOOSE(WEEKDAY(DATE(対象年度,2,21),2),"月","火","水","木","金","土","日"))</f>
        <v>土</v>
      </c>
      <c r="C24" s="32" t="str">
        <f>IF(DAY(DATE(対象年度,2,21))&lt;&gt;21,"",IF(ISNUMBER(MATCH(DATE(対象年度,2,21),祝日リスト,0)),"祝",""))</f>
        <v/>
      </c>
      <c r="D24" s="33"/>
      <c r="E24" s="34"/>
      <c r="F24" s="35" t="str">
        <f t="shared" si="0"/>
        <v/>
      </c>
      <c r="G24" s="36" t="str">
        <f t="shared" si="1"/>
        <v/>
      </c>
      <c r="H24" s="37"/>
      <c r="I24" s="33"/>
      <c r="J24" s="34"/>
      <c r="K24" s="35" t="str">
        <f t="shared" si="2"/>
        <v/>
      </c>
      <c r="L24" s="36" t="str">
        <f t="shared" si="3"/>
        <v/>
      </c>
      <c r="M24" s="37"/>
      <c r="N24" s="33"/>
      <c r="O24" s="34"/>
      <c r="P24" s="35" t="str">
        <f t="shared" si="4"/>
        <v/>
      </c>
      <c r="Q24" s="36" t="str">
        <f t="shared" si="5"/>
        <v/>
      </c>
      <c r="R24" s="37"/>
      <c r="S24" s="33"/>
      <c r="T24" s="34"/>
      <c r="U24" s="35" t="str">
        <f t="shared" si="6"/>
        <v/>
      </c>
      <c r="V24" s="36" t="str">
        <f t="shared" si="7"/>
        <v/>
      </c>
      <c r="W24" s="37"/>
      <c r="X24" s="33"/>
      <c r="Y24" s="34"/>
      <c r="Z24" s="35" t="str">
        <f t="shared" si="8"/>
        <v/>
      </c>
      <c r="AA24" s="36" t="str">
        <f t="shared" si="9"/>
        <v/>
      </c>
      <c r="AB24" s="37"/>
      <c r="AC24" s="33"/>
      <c r="AD24" s="34"/>
      <c r="AE24" s="35" t="str">
        <f t="shared" si="10"/>
        <v/>
      </c>
      <c r="AF24" s="36" t="str">
        <f t="shared" si="11"/>
        <v/>
      </c>
      <c r="AG24" s="37"/>
      <c r="AH24" s="33"/>
      <c r="AI24" s="34"/>
      <c r="AJ24" s="35" t="str">
        <f t="shared" si="12"/>
        <v/>
      </c>
      <c r="AK24" s="36" t="str">
        <f t="shared" si="13"/>
        <v/>
      </c>
      <c r="AL24" s="37"/>
      <c r="AM24" s="33"/>
      <c r="AN24" s="34"/>
      <c r="AO24" s="35" t="str">
        <f t="shared" si="14"/>
        <v/>
      </c>
      <c r="AP24" s="36" t="str">
        <f t="shared" si="15"/>
        <v/>
      </c>
      <c r="AQ24" s="37"/>
      <c r="AR24" s="33"/>
      <c r="AS24" s="34"/>
      <c r="AT24" s="35" t="str">
        <f t="shared" si="16"/>
        <v/>
      </c>
      <c r="AU24" s="36" t="str">
        <f t="shared" si="17"/>
        <v/>
      </c>
      <c r="AV24" s="37"/>
      <c r="AW24" s="33"/>
      <c r="AX24" s="34"/>
      <c r="AY24" s="35" t="str">
        <f t="shared" si="18"/>
        <v/>
      </c>
      <c r="AZ24" s="36" t="str">
        <f t="shared" si="19"/>
        <v/>
      </c>
      <c r="BA24" s="37"/>
      <c r="BB24" s="33"/>
      <c r="BC24" s="34"/>
      <c r="BD24" s="35" t="str">
        <f t="shared" si="20"/>
        <v/>
      </c>
      <c r="BE24" s="36" t="str">
        <f t="shared" si="21"/>
        <v/>
      </c>
      <c r="BF24" s="37"/>
      <c r="BG24" s="33"/>
      <c r="BH24" s="34"/>
      <c r="BI24" s="35" t="str">
        <f t="shared" si="22"/>
        <v/>
      </c>
      <c r="BJ24" s="36" t="str">
        <f t="shared" si="23"/>
        <v/>
      </c>
      <c r="BK24" s="37"/>
      <c r="BL24" s="33"/>
      <c r="BM24" s="34"/>
      <c r="BN24" s="35" t="str">
        <f t="shared" si="24"/>
        <v/>
      </c>
      <c r="BO24" s="36" t="str">
        <f t="shared" si="25"/>
        <v/>
      </c>
      <c r="BP24" s="37"/>
      <c r="BQ24" s="33"/>
      <c r="BR24" s="34"/>
      <c r="BS24" s="35" t="str">
        <f t="shared" si="26"/>
        <v/>
      </c>
      <c r="BT24" s="36" t="str">
        <f t="shared" si="27"/>
        <v/>
      </c>
      <c r="BU24" s="37"/>
      <c r="BV24" s="33"/>
      <c r="BW24" s="34"/>
      <c r="BX24" s="35" t="str">
        <f t="shared" si="28"/>
        <v/>
      </c>
      <c r="BY24" s="36" t="str">
        <f t="shared" si="29"/>
        <v/>
      </c>
      <c r="BZ24" s="37"/>
      <c r="CA24" s="33"/>
      <c r="CB24" s="34"/>
      <c r="CC24" s="35" t="str">
        <f t="shared" si="30"/>
        <v/>
      </c>
      <c r="CD24" s="36" t="str">
        <f t="shared" si="31"/>
        <v/>
      </c>
      <c r="CE24" s="37"/>
      <c r="CF24" s="33"/>
      <c r="CG24" s="34"/>
      <c r="CH24" s="35" t="str">
        <f t="shared" si="32"/>
        <v/>
      </c>
      <c r="CI24" s="36" t="str">
        <f t="shared" si="33"/>
        <v/>
      </c>
      <c r="CJ24" s="37"/>
      <c r="CK24" s="33"/>
      <c r="CL24" s="34"/>
      <c r="CM24" s="35" t="str">
        <f t="shared" si="34"/>
        <v/>
      </c>
      <c r="CN24" s="36" t="str">
        <f t="shared" si="35"/>
        <v/>
      </c>
      <c r="CO24" s="37"/>
      <c r="CP24" s="33"/>
      <c r="CQ24" s="34"/>
      <c r="CR24" s="35" t="str">
        <f t="shared" si="36"/>
        <v/>
      </c>
      <c r="CS24" s="36" t="str">
        <f t="shared" si="37"/>
        <v/>
      </c>
      <c r="CT24" s="37"/>
      <c r="CU24" s="33"/>
      <c r="CV24" s="34"/>
      <c r="CW24" s="35" t="str">
        <f t="shared" si="38"/>
        <v/>
      </c>
      <c r="CX24" s="36" t="str">
        <f t="shared" si="39"/>
        <v/>
      </c>
      <c r="CY24" s="37"/>
      <c r="CZ24" s="33"/>
      <c r="DA24" s="34"/>
      <c r="DB24" s="35" t="str">
        <f t="shared" si="40"/>
        <v/>
      </c>
      <c r="DC24" s="36" t="str">
        <f t="shared" si="41"/>
        <v/>
      </c>
      <c r="DD24" s="37"/>
      <c r="DE24" s="33"/>
      <c r="DF24" s="34"/>
      <c r="DG24" s="35" t="str">
        <f t="shared" si="42"/>
        <v/>
      </c>
      <c r="DH24" s="36" t="str">
        <f t="shared" si="43"/>
        <v/>
      </c>
      <c r="DI24" s="37"/>
      <c r="DJ24" s="33"/>
      <c r="DK24" s="34"/>
      <c r="DL24" s="35" t="str">
        <f t="shared" si="44"/>
        <v/>
      </c>
      <c r="DM24" s="36" t="str">
        <f t="shared" si="45"/>
        <v/>
      </c>
      <c r="DN24" s="37"/>
      <c r="DO24" s="33"/>
      <c r="DP24" s="34"/>
      <c r="DQ24" s="35" t="str">
        <f t="shared" si="46"/>
        <v/>
      </c>
      <c r="DR24" s="36" t="str">
        <f t="shared" si="47"/>
        <v/>
      </c>
      <c r="DS24" s="37"/>
      <c r="DT24" s="33"/>
      <c r="DU24" s="34"/>
      <c r="DV24" s="35" t="str">
        <f t="shared" si="48"/>
        <v/>
      </c>
      <c r="DW24" s="36" t="str">
        <f t="shared" si="49"/>
        <v/>
      </c>
      <c r="DX24" s="37"/>
      <c r="DY24" s="33"/>
      <c r="DZ24" s="34"/>
      <c r="EA24" s="35" t="str">
        <f t="shared" si="50"/>
        <v/>
      </c>
      <c r="EB24" s="36" t="str">
        <f t="shared" si="51"/>
        <v/>
      </c>
      <c r="EC24" s="37"/>
      <c r="ED24" s="33"/>
      <c r="EE24" s="34"/>
      <c r="EF24" s="35" t="str">
        <f t="shared" si="52"/>
        <v/>
      </c>
      <c r="EG24" s="36" t="str">
        <f t="shared" si="53"/>
        <v/>
      </c>
      <c r="EH24" s="37"/>
      <c r="EI24" s="33"/>
      <c r="EJ24" s="34"/>
      <c r="EK24" s="35" t="str">
        <f t="shared" si="54"/>
        <v/>
      </c>
      <c r="EL24" s="36" t="str">
        <f t="shared" si="55"/>
        <v/>
      </c>
      <c r="EM24" s="37"/>
      <c r="EN24" s="33"/>
      <c r="EO24" s="34"/>
      <c r="EP24" s="35" t="str">
        <f t="shared" si="56"/>
        <v/>
      </c>
      <c r="EQ24" s="36" t="str">
        <f t="shared" si="57"/>
        <v/>
      </c>
      <c r="ER24" s="37"/>
      <c r="ES24" s="33"/>
      <c r="ET24" s="34"/>
      <c r="EU24" s="35" t="str">
        <f t="shared" si="58"/>
        <v/>
      </c>
      <c r="EV24" s="36" t="str">
        <f t="shared" si="59"/>
        <v/>
      </c>
      <c r="EW24" s="37"/>
    </row>
    <row r="25" spans="1:153" ht="19.5" customHeight="1">
      <c r="A25" s="32">
        <f>IF(DAY(DATE(対象年度,2,22))&lt;&gt;22,"",22)</f>
        <v>22</v>
      </c>
      <c r="B25" s="32" t="str">
        <f>IF(DAY(DATE(対象年度,2,22))&lt;&gt;22,"",CHOOSE(WEEKDAY(DATE(対象年度,2,22),2),"月","火","水","木","金","土","日"))</f>
        <v>日</v>
      </c>
      <c r="C25" s="32" t="str">
        <f>IF(DAY(DATE(対象年度,2,22))&lt;&gt;22,"",IF(ISNUMBER(MATCH(DATE(対象年度,2,22),祝日リスト,0)),"祝",""))</f>
        <v/>
      </c>
      <c r="D25" s="33"/>
      <c r="E25" s="34"/>
      <c r="F25" s="35" t="str">
        <f t="shared" si="0"/>
        <v/>
      </c>
      <c r="G25" s="36" t="str">
        <f t="shared" si="1"/>
        <v/>
      </c>
      <c r="H25" s="37"/>
      <c r="I25" s="33"/>
      <c r="J25" s="34"/>
      <c r="K25" s="35" t="str">
        <f t="shared" si="2"/>
        <v/>
      </c>
      <c r="L25" s="36" t="str">
        <f t="shared" si="3"/>
        <v/>
      </c>
      <c r="M25" s="37"/>
      <c r="N25" s="33"/>
      <c r="O25" s="34"/>
      <c r="P25" s="35" t="str">
        <f t="shared" si="4"/>
        <v/>
      </c>
      <c r="Q25" s="36" t="str">
        <f t="shared" si="5"/>
        <v/>
      </c>
      <c r="R25" s="37"/>
      <c r="S25" s="33"/>
      <c r="T25" s="34"/>
      <c r="U25" s="35" t="str">
        <f t="shared" si="6"/>
        <v/>
      </c>
      <c r="V25" s="36" t="str">
        <f t="shared" si="7"/>
        <v/>
      </c>
      <c r="W25" s="37"/>
      <c r="X25" s="33"/>
      <c r="Y25" s="34"/>
      <c r="Z25" s="35" t="str">
        <f t="shared" si="8"/>
        <v/>
      </c>
      <c r="AA25" s="36" t="str">
        <f t="shared" si="9"/>
        <v/>
      </c>
      <c r="AB25" s="37"/>
      <c r="AC25" s="33"/>
      <c r="AD25" s="34"/>
      <c r="AE25" s="35" t="str">
        <f t="shared" si="10"/>
        <v/>
      </c>
      <c r="AF25" s="36" t="str">
        <f t="shared" si="11"/>
        <v/>
      </c>
      <c r="AG25" s="37"/>
      <c r="AH25" s="33"/>
      <c r="AI25" s="34"/>
      <c r="AJ25" s="35" t="str">
        <f t="shared" si="12"/>
        <v/>
      </c>
      <c r="AK25" s="36" t="str">
        <f t="shared" si="13"/>
        <v/>
      </c>
      <c r="AL25" s="37"/>
      <c r="AM25" s="33"/>
      <c r="AN25" s="34"/>
      <c r="AO25" s="35" t="str">
        <f t="shared" si="14"/>
        <v/>
      </c>
      <c r="AP25" s="36" t="str">
        <f t="shared" si="15"/>
        <v/>
      </c>
      <c r="AQ25" s="37"/>
      <c r="AR25" s="33"/>
      <c r="AS25" s="34"/>
      <c r="AT25" s="35" t="str">
        <f t="shared" si="16"/>
        <v/>
      </c>
      <c r="AU25" s="36" t="str">
        <f t="shared" si="17"/>
        <v/>
      </c>
      <c r="AV25" s="37"/>
      <c r="AW25" s="33"/>
      <c r="AX25" s="34"/>
      <c r="AY25" s="35" t="str">
        <f t="shared" si="18"/>
        <v/>
      </c>
      <c r="AZ25" s="36" t="str">
        <f t="shared" si="19"/>
        <v/>
      </c>
      <c r="BA25" s="37"/>
      <c r="BB25" s="33"/>
      <c r="BC25" s="34"/>
      <c r="BD25" s="35" t="str">
        <f t="shared" si="20"/>
        <v/>
      </c>
      <c r="BE25" s="36" t="str">
        <f t="shared" si="21"/>
        <v/>
      </c>
      <c r="BF25" s="37"/>
      <c r="BG25" s="33"/>
      <c r="BH25" s="34"/>
      <c r="BI25" s="35" t="str">
        <f t="shared" si="22"/>
        <v/>
      </c>
      <c r="BJ25" s="36" t="str">
        <f t="shared" si="23"/>
        <v/>
      </c>
      <c r="BK25" s="37"/>
      <c r="BL25" s="33"/>
      <c r="BM25" s="34"/>
      <c r="BN25" s="35" t="str">
        <f t="shared" si="24"/>
        <v/>
      </c>
      <c r="BO25" s="36" t="str">
        <f t="shared" si="25"/>
        <v/>
      </c>
      <c r="BP25" s="37"/>
      <c r="BQ25" s="33"/>
      <c r="BR25" s="34"/>
      <c r="BS25" s="35" t="str">
        <f t="shared" si="26"/>
        <v/>
      </c>
      <c r="BT25" s="36" t="str">
        <f t="shared" si="27"/>
        <v/>
      </c>
      <c r="BU25" s="37"/>
      <c r="BV25" s="33"/>
      <c r="BW25" s="34"/>
      <c r="BX25" s="35" t="str">
        <f t="shared" si="28"/>
        <v/>
      </c>
      <c r="BY25" s="36" t="str">
        <f t="shared" si="29"/>
        <v/>
      </c>
      <c r="BZ25" s="37"/>
      <c r="CA25" s="33"/>
      <c r="CB25" s="34"/>
      <c r="CC25" s="35" t="str">
        <f t="shared" si="30"/>
        <v/>
      </c>
      <c r="CD25" s="36" t="str">
        <f t="shared" si="31"/>
        <v/>
      </c>
      <c r="CE25" s="37"/>
      <c r="CF25" s="33"/>
      <c r="CG25" s="34"/>
      <c r="CH25" s="35" t="str">
        <f t="shared" si="32"/>
        <v/>
      </c>
      <c r="CI25" s="36" t="str">
        <f t="shared" si="33"/>
        <v/>
      </c>
      <c r="CJ25" s="37"/>
      <c r="CK25" s="33"/>
      <c r="CL25" s="34"/>
      <c r="CM25" s="35" t="str">
        <f t="shared" si="34"/>
        <v/>
      </c>
      <c r="CN25" s="36" t="str">
        <f t="shared" si="35"/>
        <v/>
      </c>
      <c r="CO25" s="37"/>
      <c r="CP25" s="33"/>
      <c r="CQ25" s="34"/>
      <c r="CR25" s="35" t="str">
        <f t="shared" si="36"/>
        <v/>
      </c>
      <c r="CS25" s="36" t="str">
        <f t="shared" si="37"/>
        <v/>
      </c>
      <c r="CT25" s="37"/>
      <c r="CU25" s="33"/>
      <c r="CV25" s="34"/>
      <c r="CW25" s="35" t="str">
        <f t="shared" si="38"/>
        <v/>
      </c>
      <c r="CX25" s="36" t="str">
        <f t="shared" si="39"/>
        <v/>
      </c>
      <c r="CY25" s="37"/>
      <c r="CZ25" s="33"/>
      <c r="DA25" s="34"/>
      <c r="DB25" s="35" t="str">
        <f t="shared" si="40"/>
        <v/>
      </c>
      <c r="DC25" s="36" t="str">
        <f t="shared" si="41"/>
        <v/>
      </c>
      <c r="DD25" s="37"/>
      <c r="DE25" s="33"/>
      <c r="DF25" s="34"/>
      <c r="DG25" s="35" t="str">
        <f t="shared" si="42"/>
        <v/>
      </c>
      <c r="DH25" s="36" t="str">
        <f t="shared" si="43"/>
        <v/>
      </c>
      <c r="DI25" s="37"/>
      <c r="DJ25" s="33"/>
      <c r="DK25" s="34"/>
      <c r="DL25" s="35" t="str">
        <f t="shared" si="44"/>
        <v/>
      </c>
      <c r="DM25" s="36" t="str">
        <f t="shared" si="45"/>
        <v/>
      </c>
      <c r="DN25" s="37"/>
      <c r="DO25" s="33"/>
      <c r="DP25" s="34"/>
      <c r="DQ25" s="35" t="str">
        <f t="shared" si="46"/>
        <v/>
      </c>
      <c r="DR25" s="36" t="str">
        <f t="shared" si="47"/>
        <v/>
      </c>
      <c r="DS25" s="37"/>
      <c r="DT25" s="33"/>
      <c r="DU25" s="34"/>
      <c r="DV25" s="35" t="str">
        <f t="shared" si="48"/>
        <v/>
      </c>
      <c r="DW25" s="36" t="str">
        <f t="shared" si="49"/>
        <v/>
      </c>
      <c r="DX25" s="37"/>
      <c r="DY25" s="33"/>
      <c r="DZ25" s="34"/>
      <c r="EA25" s="35" t="str">
        <f t="shared" si="50"/>
        <v/>
      </c>
      <c r="EB25" s="36" t="str">
        <f t="shared" si="51"/>
        <v/>
      </c>
      <c r="EC25" s="37"/>
      <c r="ED25" s="33"/>
      <c r="EE25" s="34"/>
      <c r="EF25" s="35" t="str">
        <f t="shared" si="52"/>
        <v/>
      </c>
      <c r="EG25" s="36" t="str">
        <f t="shared" si="53"/>
        <v/>
      </c>
      <c r="EH25" s="37"/>
      <c r="EI25" s="33"/>
      <c r="EJ25" s="34"/>
      <c r="EK25" s="35" t="str">
        <f t="shared" si="54"/>
        <v/>
      </c>
      <c r="EL25" s="36" t="str">
        <f t="shared" si="55"/>
        <v/>
      </c>
      <c r="EM25" s="37"/>
      <c r="EN25" s="33"/>
      <c r="EO25" s="34"/>
      <c r="EP25" s="35" t="str">
        <f t="shared" si="56"/>
        <v/>
      </c>
      <c r="EQ25" s="36" t="str">
        <f t="shared" si="57"/>
        <v/>
      </c>
      <c r="ER25" s="37"/>
      <c r="ES25" s="33"/>
      <c r="ET25" s="34"/>
      <c r="EU25" s="35" t="str">
        <f t="shared" si="58"/>
        <v/>
      </c>
      <c r="EV25" s="36" t="str">
        <f t="shared" si="59"/>
        <v/>
      </c>
      <c r="EW25" s="37"/>
    </row>
    <row r="26" spans="1:153" ht="19.5" customHeight="1">
      <c r="A26" s="32">
        <f>IF(DAY(DATE(対象年度,2,23))&lt;&gt;23,"",23)</f>
        <v>23</v>
      </c>
      <c r="B26" s="32" t="str">
        <f>IF(DAY(DATE(対象年度,2,23))&lt;&gt;23,"",CHOOSE(WEEKDAY(DATE(対象年度,2,23),2),"月","火","水","木","金","土","日"))</f>
        <v>月</v>
      </c>
      <c r="C26" s="32" t="str">
        <f>IF(DAY(DATE(対象年度,2,23))&lt;&gt;23,"",IF(ISNUMBER(MATCH(DATE(対象年度,2,23),祝日リスト,0)),"祝",""))</f>
        <v>祝</v>
      </c>
      <c r="D26" s="33"/>
      <c r="E26" s="34"/>
      <c r="F26" s="35" t="str">
        <f t="shared" si="0"/>
        <v/>
      </c>
      <c r="G26" s="36" t="str">
        <f t="shared" si="1"/>
        <v/>
      </c>
      <c r="H26" s="37"/>
      <c r="I26" s="38" t="s">
        <v>116</v>
      </c>
      <c r="J26" s="34"/>
      <c r="K26" s="35" t="str">
        <f t="shared" si="2"/>
        <v>○</v>
      </c>
      <c r="L26" s="36" t="str">
        <f t="shared" si="3"/>
        <v/>
      </c>
      <c r="M26" s="37"/>
      <c r="N26" s="38" t="s">
        <v>116</v>
      </c>
      <c r="O26" s="34"/>
      <c r="P26" s="35" t="str">
        <f t="shared" si="4"/>
        <v>○</v>
      </c>
      <c r="Q26" s="36" t="str">
        <f t="shared" si="5"/>
        <v/>
      </c>
      <c r="R26" s="37"/>
      <c r="S26" s="38" t="s">
        <v>116</v>
      </c>
      <c r="T26" s="34"/>
      <c r="U26" s="35" t="str">
        <f t="shared" si="6"/>
        <v>○</v>
      </c>
      <c r="V26" s="36" t="str">
        <f t="shared" si="7"/>
        <v/>
      </c>
      <c r="W26" s="37"/>
      <c r="X26" s="38" t="s">
        <v>116</v>
      </c>
      <c r="Y26" s="34"/>
      <c r="Z26" s="35" t="str">
        <f t="shared" si="8"/>
        <v>○</v>
      </c>
      <c r="AA26" s="36" t="str">
        <f t="shared" si="9"/>
        <v/>
      </c>
      <c r="AB26" s="37"/>
      <c r="AC26" s="38" t="s">
        <v>116</v>
      </c>
      <c r="AD26" s="34"/>
      <c r="AE26" s="35" t="str">
        <f t="shared" si="10"/>
        <v>○</v>
      </c>
      <c r="AF26" s="36" t="str">
        <f t="shared" si="11"/>
        <v/>
      </c>
      <c r="AG26" s="37"/>
      <c r="AH26" s="33"/>
      <c r="AI26" s="34"/>
      <c r="AJ26" s="35" t="str">
        <f t="shared" si="12"/>
        <v/>
      </c>
      <c r="AK26" s="36" t="str">
        <f t="shared" si="13"/>
        <v/>
      </c>
      <c r="AL26" s="37"/>
      <c r="AM26" s="38" t="s">
        <v>116</v>
      </c>
      <c r="AN26" s="34"/>
      <c r="AO26" s="35" t="str">
        <f t="shared" si="14"/>
        <v>○</v>
      </c>
      <c r="AP26" s="36" t="str">
        <f t="shared" si="15"/>
        <v/>
      </c>
      <c r="AQ26" s="37"/>
      <c r="AR26" s="38" t="s">
        <v>116</v>
      </c>
      <c r="AS26" s="34"/>
      <c r="AT26" s="35" t="str">
        <f t="shared" si="16"/>
        <v>○</v>
      </c>
      <c r="AU26" s="36" t="str">
        <f t="shared" si="17"/>
        <v/>
      </c>
      <c r="AV26" s="37"/>
      <c r="AW26" s="33"/>
      <c r="AX26" s="34"/>
      <c r="AY26" s="35" t="str">
        <f t="shared" si="18"/>
        <v/>
      </c>
      <c r="AZ26" s="36" t="str">
        <f t="shared" si="19"/>
        <v/>
      </c>
      <c r="BA26" s="37"/>
      <c r="BB26" s="33"/>
      <c r="BC26" s="34"/>
      <c r="BD26" s="35" t="str">
        <f t="shared" si="20"/>
        <v/>
      </c>
      <c r="BE26" s="36" t="str">
        <f t="shared" si="21"/>
        <v/>
      </c>
      <c r="BF26" s="37"/>
      <c r="BG26" s="38" t="s">
        <v>105</v>
      </c>
      <c r="BH26" s="34"/>
      <c r="BI26" s="35" t="str">
        <f t="shared" si="22"/>
        <v>○</v>
      </c>
      <c r="BJ26" s="36" t="str">
        <f t="shared" si="23"/>
        <v/>
      </c>
      <c r="BK26" s="37"/>
      <c r="BL26" s="33"/>
      <c r="BM26" s="34"/>
      <c r="BN26" s="35" t="str">
        <f t="shared" si="24"/>
        <v/>
      </c>
      <c r="BO26" s="36" t="str">
        <f t="shared" si="25"/>
        <v/>
      </c>
      <c r="BP26" s="37"/>
      <c r="BQ26" s="33"/>
      <c r="BR26" s="34"/>
      <c r="BS26" s="35" t="str">
        <f t="shared" si="26"/>
        <v/>
      </c>
      <c r="BT26" s="36" t="str">
        <f t="shared" si="27"/>
        <v/>
      </c>
      <c r="BU26" s="37"/>
      <c r="BV26" s="33"/>
      <c r="BW26" s="34"/>
      <c r="BX26" s="35" t="str">
        <f t="shared" si="28"/>
        <v/>
      </c>
      <c r="BY26" s="36" t="str">
        <f t="shared" si="29"/>
        <v/>
      </c>
      <c r="BZ26" s="37"/>
      <c r="CA26" s="33"/>
      <c r="CB26" s="34"/>
      <c r="CC26" s="35" t="str">
        <f t="shared" si="30"/>
        <v/>
      </c>
      <c r="CD26" s="36" t="str">
        <f t="shared" si="31"/>
        <v/>
      </c>
      <c r="CE26" s="37"/>
      <c r="CF26" s="33"/>
      <c r="CG26" s="34"/>
      <c r="CH26" s="35" t="str">
        <f t="shared" si="32"/>
        <v/>
      </c>
      <c r="CI26" s="36" t="str">
        <f t="shared" si="33"/>
        <v/>
      </c>
      <c r="CJ26" s="37"/>
      <c r="CK26" s="33"/>
      <c r="CL26" s="34"/>
      <c r="CM26" s="35" t="str">
        <f t="shared" si="34"/>
        <v/>
      </c>
      <c r="CN26" s="36" t="str">
        <f t="shared" si="35"/>
        <v/>
      </c>
      <c r="CO26" s="37"/>
      <c r="CP26" s="33"/>
      <c r="CQ26" s="34"/>
      <c r="CR26" s="35" t="str">
        <f t="shared" si="36"/>
        <v/>
      </c>
      <c r="CS26" s="36" t="str">
        <f t="shared" si="37"/>
        <v/>
      </c>
      <c r="CT26" s="37"/>
      <c r="CU26" s="33"/>
      <c r="CV26" s="34"/>
      <c r="CW26" s="35" t="str">
        <f t="shared" si="38"/>
        <v/>
      </c>
      <c r="CX26" s="36" t="str">
        <f t="shared" si="39"/>
        <v/>
      </c>
      <c r="CY26" s="37"/>
      <c r="CZ26" s="33"/>
      <c r="DA26" s="34"/>
      <c r="DB26" s="35" t="str">
        <f t="shared" si="40"/>
        <v/>
      </c>
      <c r="DC26" s="36" t="str">
        <f t="shared" si="41"/>
        <v/>
      </c>
      <c r="DD26" s="37"/>
      <c r="DE26" s="33"/>
      <c r="DF26" s="34"/>
      <c r="DG26" s="35" t="str">
        <f t="shared" si="42"/>
        <v/>
      </c>
      <c r="DH26" s="36" t="str">
        <f t="shared" si="43"/>
        <v/>
      </c>
      <c r="DI26" s="37"/>
      <c r="DJ26" s="33"/>
      <c r="DK26" s="34"/>
      <c r="DL26" s="35" t="str">
        <f t="shared" si="44"/>
        <v/>
      </c>
      <c r="DM26" s="36" t="str">
        <f t="shared" si="45"/>
        <v/>
      </c>
      <c r="DN26" s="37"/>
      <c r="DO26" s="33"/>
      <c r="DP26" s="34"/>
      <c r="DQ26" s="35" t="str">
        <f t="shared" si="46"/>
        <v/>
      </c>
      <c r="DR26" s="36" t="str">
        <f t="shared" si="47"/>
        <v/>
      </c>
      <c r="DS26" s="37"/>
      <c r="DT26" s="33"/>
      <c r="DU26" s="34"/>
      <c r="DV26" s="35" t="str">
        <f t="shared" si="48"/>
        <v/>
      </c>
      <c r="DW26" s="36" t="str">
        <f t="shared" si="49"/>
        <v/>
      </c>
      <c r="DX26" s="37"/>
      <c r="DY26" s="33"/>
      <c r="DZ26" s="34"/>
      <c r="EA26" s="35" t="str">
        <f t="shared" si="50"/>
        <v/>
      </c>
      <c r="EB26" s="36" t="str">
        <f t="shared" si="51"/>
        <v/>
      </c>
      <c r="EC26" s="37"/>
      <c r="ED26" s="33"/>
      <c r="EE26" s="34"/>
      <c r="EF26" s="35" t="str">
        <f t="shared" si="52"/>
        <v/>
      </c>
      <c r="EG26" s="36" t="str">
        <f t="shared" si="53"/>
        <v/>
      </c>
      <c r="EH26" s="37"/>
      <c r="EI26" s="33"/>
      <c r="EJ26" s="34"/>
      <c r="EK26" s="35" t="str">
        <f t="shared" si="54"/>
        <v/>
      </c>
      <c r="EL26" s="36" t="str">
        <f t="shared" si="55"/>
        <v/>
      </c>
      <c r="EM26" s="37"/>
      <c r="EN26" s="33"/>
      <c r="EO26" s="34"/>
      <c r="EP26" s="35" t="str">
        <f t="shared" si="56"/>
        <v/>
      </c>
      <c r="EQ26" s="36" t="str">
        <f t="shared" si="57"/>
        <v/>
      </c>
      <c r="ER26" s="37"/>
      <c r="ES26" s="33"/>
      <c r="ET26" s="34"/>
      <c r="EU26" s="35" t="str">
        <f t="shared" si="58"/>
        <v/>
      </c>
      <c r="EV26" s="36" t="str">
        <f t="shared" si="59"/>
        <v/>
      </c>
      <c r="EW26" s="37"/>
    </row>
    <row r="27" spans="1:153" ht="19.5" customHeight="1">
      <c r="A27" s="32">
        <f>IF(DAY(DATE(対象年度,2,24))&lt;&gt;24,"",24)</f>
        <v>24</v>
      </c>
      <c r="B27" s="32" t="str">
        <f>IF(DAY(DATE(対象年度,2,24))&lt;&gt;24,"",CHOOSE(WEEKDAY(DATE(対象年度,2,24),2),"月","火","水","木","金","土","日"))</f>
        <v>火</v>
      </c>
      <c r="C27" s="32" t="str">
        <f>IF(DAY(DATE(対象年度,2,24))&lt;&gt;24,"",IF(ISNUMBER(MATCH(DATE(対象年度,2,24),祝日リスト,0)),"祝",""))</f>
        <v/>
      </c>
      <c r="D27" s="38" t="s">
        <v>104</v>
      </c>
      <c r="E27" s="34"/>
      <c r="F27" s="35" t="str">
        <f t="shared" si="0"/>
        <v>○</v>
      </c>
      <c r="G27" s="36" t="str">
        <f t="shared" si="1"/>
        <v/>
      </c>
      <c r="H27" s="37"/>
      <c r="I27" s="38" t="s">
        <v>116</v>
      </c>
      <c r="J27" s="34"/>
      <c r="K27" s="35" t="str">
        <f t="shared" si="2"/>
        <v>○</v>
      </c>
      <c r="L27" s="36" t="str">
        <f t="shared" si="3"/>
        <v/>
      </c>
      <c r="M27" s="37"/>
      <c r="N27" s="38" t="s">
        <v>116</v>
      </c>
      <c r="O27" s="34"/>
      <c r="P27" s="35" t="str">
        <f t="shared" si="4"/>
        <v>○</v>
      </c>
      <c r="Q27" s="36" t="str">
        <f t="shared" si="5"/>
        <v/>
      </c>
      <c r="R27" s="37"/>
      <c r="S27" s="38" t="s">
        <v>116</v>
      </c>
      <c r="T27" s="34"/>
      <c r="U27" s="35" t="str">
        <f t="shared" si="6"/>
        <v>○</v>
      </c>
      <c r="V27" s="36" t="str">
        <f t="shared" si="7"/>
        <v/>
      </c>
      <c r="W27" s="37"/>
      <c r="X27" s="38" t="s">
        <v>116</v>
      </c>
      <c r="Y27" s="34"/>
      <c r="Z27" s="35" t="str">
        <f t="shared" si="8"/>
        <v>○</v>
      </c>
      <c r="AA27" s="36" t="str">
        <f t="shared" si="9"/>
        <v/>
      </c>
      <c r="AB27" s="37"/>
      <c r="AC27" s="38" t="s">
        <v>116</v>
      </c>
      <c r="AD27" s="34"/>
      <c r="AE27" s="35" t="str">
        <f t="shared" si="10"/>
        <v>○</v>
      </c>
      <c r="AF27" s="36" t="str">
        <f t="shared" si="11"/>
        <v/>
      </c>
      <c r="AG27" s="37"/>
      <c r="AH27" s="33"/>
      <c r="AI27" s="34"/>
      <c r="AJ27" s="35" t="str">
        <f t="shared" si="12"/>
        <v/>
      </c>
      <c r="AK27" s="36" t="str">
        <f t="shared" si="13"/>
        <v/>
      </c>
      <c r="AL27" s="37"/>
      <c r="AM27" s="38" t="s">
        <v>116</v>
      </c>
      <c r="AN27" s="34"/>
      <c r="AO27" s="35" t="str">
        <f t="shared" si="14"/>
        <v>○</v>
      </c>
      <c r="AP27" s="36" t="str">
        <f t="shared" si="15"/>
        <v/>
      </c>
      <c r="AQ27" s="37"/>
      <c r="AR27" s="38" t="s">
        <v>116</v>
      </c>
      <c r="AS27" s="34"/>
      <c r="AT27" s="35" t="str">
        <f t="shared" si="16"/>
        <v>○</v>
      </c>
      <c r="AU27" s="36" t="str">
        <f t="shared" si="17"/>
        <v/>
      </c>
      <c r="AV27" s="37"/>
      <c r="AW27" s="38" t="s">
        <v>124</v>
      </c>
      <c r="AX27" s="34"/>
      <c r="AY27" s="35" t="str">
        <f t="shared" si="18"/>
        <v>○</v>
      </c>
      <c r="AZ27" s="36" t="str">
        <f t="shared" si="19"/>
        <v/>
      </c>
      <c r="BA27" s="37"/>
      <c r="BB27" s="38" t="s">
        <v>104</v>
      </c>
      <c r="BC27" s="34"/>
      <c r="BD27" s="35" t="str">
        <f t="shared" si="20"/>
        <v>○</v>
      </c>
      <c r="BE27" s="36" t="str">
        <f t="shared" si="21"/>
        <v/>
      </c>
      <c r="BF27" s="37"/>
      <c r="BG27" s="38" t="s">
        <v>116</v>
      </c>
      <c r="BH27" s="34"/>
      <c r="BI27" s="35" t="str">
        <f t="shared" si="22"/>
        <v>○</v>
      </c>
      <c r="BJ27" s="36" t="str">
        <f t="shared" si="23"/>
        <v/>
      </c>
      <c r="BK27" s="37"/>
      <c r="BL27" s="33"/>
      <c r="BM27" s="34"/>
      <c r="BN27" s="35" t="str">
        <f t="shared" si="24"/>
        <v/>
      </c>
      <c r="BO27" s="36" t="str">
        <f t="shared" si="25"/>
        <v/>
      </c>
      <c r="BP27" s="37"/>
      <c r="BQ27" s="33"/>
      <c r="BR27" s="34"/>
      <c r="BS27" s="35" t="str">
        <f t="shared" si="26"/>
        <v/>
      </c>
      <c r="BT27" s="36" t="str">
        <f t="shared" si="27"/>
        <v/>
      </c>
      <c r="BU27" s="37"/>
      <c r="BV27" s="33"/>
      <c r="BW27" s="34"/>
      <c r="BX27" s="35" t="str">
        <f t="shared" si="28"/>
        <v/>
      </c>
      <c r="BY27" s="36" t="str">
        <f t="shared" si="29"/>
        <v/>
      </c>
      <c r="BZ27" s="37"/>
      <c r="CA27" s="33"/>
      <c r="CB27" s="34"/>
      <c r="CC27" s="35" t="str">
        <f t="shared" si="30"/>
        <v/>
      </c>
      <c r="CD27" s="36" t="str">
        <f t="shared" si="31"/>
        <v/>
      </c>
      <c r="CE27" s="37"/>
      <c r="CF27" s="33"/>
      <c r="CG27" s="34"/>
      <c r="CH27" s="35" t="str">
        <f t="shared" si="32"/>
        <v/>
      </c>
      <c r="CI27" s="36" t="str">
        <f t="shared" si="33"/>
        <v/>
      </c>
      <c r="CJ27" s="37"/>
      <c r="CK27" s="33"/>
      <c r="CL27" s="34"/>
      <c r="CM27" s="35" t="str">
        <f t="shared" si="34"/>
        <v/>
      </c>
      <c r="CN27" s="36" t="str">
        <f t="shared" si="35"/>
        <v/>
      </c>
      <c r="CO27" s="37"/>
      <c r="CP27" s="33"/>
      <c r="CQ27" s="34"/>
      <c r="CR27" s="35" t="str">
        <f t="shared" si="36"/>
        <v/>
      </c>
      <c r="CS27" s="36" t="str">
        <f t="shared" si="37"/>
        <v/>
      </c>
      <c r="CT27" s="37"/>
      <c r="CU27" s="33"/>
      <c r="CV27" s="34"/>
      <c r="CW27" s="35" t="str">
        <f t="shared" si="38"/>
        <v/>
      </c>
      <c r="CX27" s="36" t="str">
        <f t="shared" si="39"/>
        <v/>
      </c>
      <c r="CY27" s="37"/>
      <c r="CZ27" s="33"/>
      <c r="DA27" s="34"/>
      <c r="DB27" s="35" t="str">
        <f t="shared" si="40"/>
        <v/>
      </c>
      <c r="DC27" s="36" t="str">
        <f t="shared" si="41"/>
        <v/>
      </c>
      <c r="DD27" s="37"/>
      <c r="DE27" s="33"/>
      <c r="DF27" s="34"/>
      <c r="DG27" s="35" t="str">
        <f t="shared" si="42"/>
        <v/>
      </c>
      <c r="DH27" s="36" t="str">
        <f t="shared" si="43"/>
        <v/>
      </c>
      <c r="DI27" s="37"/>
      <c r="DJ27" s="33"/>
      <c r="DK27" s="34"/>
      <c r="DL27" s="35" t="str">
        <f t="shared" si="44"/>
        <v/>
      </c>
      <c r="DM27" s="36" t="str">
        <f t="shared" si="45"/>
        <v/>
      </c>
      <c r="DN27" s="37"/>
      <c r="DO27" s="33"/>
      <c r="DP27" s="34"/>
      <c r="DQ27" s="35" t="str">
        <f t="shared" si="46"/>
        <v/>
      </c>
      <c r="DR27" s="36" t="str">
        <f t="shared" si="47"/>
        <v/>
      </c>
      <c r="DS27" s="37"/>
      <c r="DT27" s="33"/>
      <c r="DU27" s="34"/>
      <c r="DV27" s="35" t="str">
        <f t="shared" si="48"/>
        <v/>
      </c>
      <c r="DW27" s="36" t="str">
        <f t="shared" si="49"/>
        <v/>
      </c>
      <c r="DX27" s="37"/>
      <c r="DY27" s="33"/>
      <c r="DZ27" s="34"/>
      <c r="EA27" s="35" t="str">
        <f t="shared" si="50"/>
        <v/>
      </c>
      <c r="EB27" s="36" t="str">
        <f t="shared" si="51"/>
        <v/>
      </c>
      <c r="EC27" s="37"/>
      <c r="ED27" s="33"/>
      <c r="EE27" s="34"/>
      <c r="EF27" s="35" t="str">
        <f t="shared" si="52"/>
        <v/>
      </c>
      <c r="EG27" s="36" t="str">
        <f t="shared" si="53"/>
        <v/>
      </c>
      <c r="EH27" s="37"/>
      <c r="EI27" s="33"/>
      <c r="EJ27" s="34"/>
      <c r="EK27" s="35" t="str">
        <f t="shared" si="54"/>
        <v/>
      </c>
      <c r="EL27" s="36" t="str">
        <f t="shared" si="55"/>
        <v/>
      </c>
      <c r="EM27" s="37"/>
      <c r="EN27" s="33"/>
      <c r="EO27" s="34"/>
      <c r="EP27" s="35" t="str">
        <f t="shared" si="56"/>
        <v/>
      </c>
      <c r="EQ27" s="36" t="str">
        <f t="shared" si="57"/>
        <v/>
      </c>
      <c r="ER27" s="37"/>
      <c r="ES27" s="33"/>
      <c r="ET27" s="34"/>
      <c r="EU27" s="35" t="str">
        <f t="shared" si="58"/>
        <v/>
      </c>
      <c r="EV27" s="36" t="str">
        <f t="shared" si="59"/>
        <v/>
      </c>
      <c r="EW27" s="37"/>
    </row>
    <row r="28" spans="1:153" ht="19.5" customHeight="1">
      <c r="A28" s="32">
        <f>IF(DAY(DATE(対象年度,2,25))&lt;&gt;25,"",25)</f>
        <v>25</v>
      </c>
      <c r="B28" s="32" t="str">
        <f>IF(DAY(DATE(対象年度,2,25))&lt;&gt;25,"",CHOOSE(WEEKDAY(DATE(対象年度,2,25),2),"月","火","水","木","金","土","日"))</f>
        <v>水</v>
      </c>
      <c r="C28" s="32" t="str">
        <f>IF(DAY(DATE(対象年度,2,25))&lt;&gt;25,"",IF(ISNUMBER(MATCH(DATE(対象年度,2,25),祝日リスト,0)),"祝",""))</f>
        <v/>
      </c>
      <c r="D28" s="38" t="s">
        <v>104</v>
      </c>
      <c r="E28" s="34"/>
      <c r="F28" s="35" t="str">
        <f t="shared" si="0"/>
        <v>○</v>
      </c>
      <c r="G28" s="36" t="str">
        <f t="shared" si="1"/>
        <v/>
      </c>
      <c r="H28" s="37"/>
      <c r="I28" s="33"/>
      <c r="J28" s="46" t="s">
        <v>125</v>
      </c>
      <c r="K28" s="35" t="str">
        <f t="shared" si="2"/>
        <v/>
      </c>
      <c r="L28" s="36" t="str">
        <f t="shared" si="3"/>
        <v>○</v>
      </c>
      <c r="M28" s="37"/>
      <c r="N28" s="38" t="s">
        <v>116</v>
      </c>
      <c r="O28" s="34"/>
      <c r="P28" s="35" t="str">
        <f t="shared" si="4"/>
        <v>○</v>
      </c>
      <c r="Q28" s="36" t="str">
        <f t="shared" si="5"/>
        <v/>
      </c>
      <c r="R28" s="37"/>
      <c r="S28" s="38" t="s">
        <v>116</v>
      </c>
      <c r="T28" s="34"/>
      <c r="U28" s="35" t="str">
        <f t="shared" si="6"/>
        <v>○</v>
      </c>
      <c r="V28" s="36" t="str">
        <f t="shared" si="7"/>
        <v/>
      </c>
      <c r="W28" s="37"/>
      <c r="X28" s="38" t="s">
        <v>116</v>
      </c>
      <c r="Y28" s="34"/>
      <c r="Z28" s="35" t="str">
        <f t="shared" si="8"/>
        <v>○</v>
      </c>
      <c r="AA28" s="36" t="str">
        <f t="shared" si="9"/>
        <v/>
      </c>
      <c r="AB28" s="37"/>
      <c r="AC28" s="33"/>
      <c r="AD28" s="46" t="s">
        <v>125</v>
      </c>
      <c r="AE28" s="35" t="str">
        <f t="shared" si="10"/>
        <v/>
      </c>
      <c r="AF28" s="36" t="str">
        <f t="shared" si="11"/>
        <v>○</v>
      </c>
      <c r="AG28" s="37"/>
      <c r="AH28" s="38" t="s">
        <v>117</v>
      </c>
      <c r="AI28" s="34"/>
      <c r="AJ28" s="35" t="str">
        <f t="shared" si="12"/>
        <v>○</v>
      </c>
      <c r="AK28" s="36" t="str">
        <f t="shared" si="13"/>
        <v/>
      </c>
      <c r="AL28" s="37"/>
      <c r="AM28" s="33"/>
      <c r="AN28" s="46" t="s">
        <v>125</v>
      </c>
      <c r="AO28" s="35" t="str">
        <f t="shared" si="14"/>
        <v/>
      </c>
      <c r="AP28" s="36" t="str">
        <f t="shared" si="15"/>
        <v>○</v>
      </c>
      <c r="AQ28" s="37"/>
      <c r="AR28" s="38" t="s">
        <v>116</v>
      </c>
      <c r="AS28" s="34"/>
      <c r="AT28" s="35" t="str">
        <f t="shared" si="16"/>
        <v>○</v>
      </c>
      <c r="AU28" s="36" t="str">
        <f t="shared" si="17"/>
        <v/>
      </c>
      <c r="AV28" s="37"/>
      <c r="AW28" s="38" t="s">
        <v>124</v>
      </c>
      <c r="AX28" s="34"/>
      <c r="AY28" s="35" t="str">
        <f t="shared" si="18"/>
        <v>○</v>
      </c>
      <c r="AZ28" s="36" t="str">
        <f t="shared" si="19"/>
        <v/>
      </c>
      <c r="BA28" s="37"/>
      <c r="BB28" s="38" t="s">
        <v>104</v>
      </c>
      <c r="BC28" s="34"/>
      <c r="BD28" s="35" t="str">
        <f t="shared" si="20"/>
        <v>○</v>
      </c>
      <c r="BE28" s="36" t="str">
        <f t="shared" si="21"/>
        <v/>
      </c>
      <c r="BF28" s="37"/>
      <c r="BG28" s="38" t="s">
        <v>116</v>
      </c>
      <c r="BH28" s="34"/>
      <c r="BI28" s="35" t="str">
        <f t="shared" si="22"/>
        <v>○</v>
      </c>
      <c r="BJ28" s="36" t="str">
        <f t="shared" si="23"/>
        <v/>
      </c>
      <c r="BK28" s="37"/>
      <c r="BL28" s="33"/>
      <c r="BM28" s="34"/>
      <c r="BN28" s="35" t="str">
        <f t="shared" si="24"/>
        <v/>
      </c>
      <c r="BO28" s="36" t="str">
        <f t="shared" si="25"/>
        <v/>
      </c>
      <c r="BP28" s="37"/>
      <c r="BQ28" s="33"/>
      <c r="BR28" s="34"/>
      <c r="BS28" s="35" t="str">
        <f t="shared" si="26"/>
        <v/>
      </c>
      <c r="BT28" s="36" t="str">
        <f t="shared" si="27"/>
        <v/>
      </c>
      <c r="BU28" s="37"/>
      <c r="BV28" s="33"/>
      <c r="BW28" s="34"/>
      <c r="BX28" s="35" t="str">
        <f t="shared" si="28"/>
        <v/>
      </c>
      <c r="BY28" s="36" t="str">
        <f t="shared" si="29"/>
        <v/>
      </c>
      <c r="BZ28" s="37"/>
      <c r="CA28" s="33"/>
      <c r="CB28" s="34"/>
      <c r="CC28" s="35" t="str">
        <f t="shared" si="30"/>
        <v/>
      </c>
      <c r="CD28" s="36" t="str">
        <f t="shared" si="31"/>
        <v/>
      </c>
      <c r="CE28" s="37"/>
      <c r="CF28" s="33"/>
      <c r="CG28" s="34"/>
      <c r="CH28" s="35" t="str">
        <f t="shared" si="32"/>
        <v/>
      </c>
      <c r="CI28" s="36" t="str">
        <f t="shared" si="33"/>
        <v/>
      </c>
      <c r="CJ28" s="37"/>
      <c r="CK28" s="33"/>
      <c r="CL28" s="34"/>
      <c r="CM28" s="35" t="str">
        <f t="shared" si="34"/>
        <v/>
      </c>
      <c r="CN28" s="36" t="str">
        <f t="shared" si="35"/>
        <v/>
      </c>
      <c r="CO28" s="37"/>
      <c r="CP28" s="33"/>
      <c r="CQ28" s="34"/>
      <c r="CR28" s="35" t="str">
        <f t="shared" si="36"/>
        <v/>
      </c>
      <c r="CS28" s="36" t="str">
        <f t="shared" si="37"/>
        <v/>
      </c>
      <c r="CT28" s="37"/>
      <c r="CU28" s="33"/>
      <c r="CV28" s="34"/>
      <c r="CW28" s="35" t="str">
        <f t="shared" si="38"/>
        <v/>
      </c>
      <c r="CX28" s="36" t="str">
        <f t="shared" si="39"/>
        <v/>
      </c>
      <c r="CY28" s="37"/>
      <c r="CZ28" s="33"/>
      <c r="DA28" s="34"/>
      <c r="DB28" s="35" t="str">
        <f t="shared" si="40"/>
        <v/>
      </c>
      <c r="DC28" s="36" t="str">
        <f t="shared" si="41"/>
        <v/>
      </c>
      <c r="DD28" s="37"/>
      <c r="DE28" s="33"/>
      <c r="DF28" s="34"/>
      <c r="DG28" s="35" t="str">
        <f t="shared" si="42"/>
        <v/>
      </c>
      <c r="DH28" s="36" t="str">
        <f t="shared" si="43"/>
        <v/>
      </c>
      <c r="DI28" s="37"/>
      <c r="DJ28" s="33"/>
      <c r="DK28" s="34"/>
      <c r="DL28" s="35" t="str">
        <f t="shared" si="44"/>
        <v/>
      </c>
      <c r="DM28" s="36" t="str">
        <f t="shared" si="45"/>
        <v/>
      </c>
      <c r="DN28" s="37"/>
      <c r="DO28" s="33"/>
      <c r="DP28" s="34"/>
      <c r="DQ28" s="35" t="str">
        <f t="shared" si="46"/>
        <v/>
      </c>
      <c r="DR28" s="36" t="str">
        <f t="shared" si="47"/>
        <v/>
      </c>
      <c r="DS28" s="37"/>
      <c r="DT28" s="33"/>
      <c r="DU28" s="34"/>
      <c r="DV28" s="35" t="str">
        <f t="shared" si="48"/>
        <v/>
      </c>
      <c r="DW28" s="36" t="str">
        <f t="shared" si="49"/>
        <v/>
      </c>
      <c r="DX28" s="37"/>
      <c r="DY28" s="33"/>
      <c r="DZ28" s="34"/>
      <c r="EA28" s="35" t="str">
        <f t="shared" si="50"/>
        <v/>
      </c>
      <c r="EB28" s="36" t="str">
        <f t="shared" si="51"/>
        <v/>
      </c>
      <c r="EC28" s="37"/>
      <c r="ED28" s="33"/>
      <c r="EE28" s="34"/>
      <c r="EF28" s="35" t="str">
        <f t="shared" si="52"/>
        <v/>
      </c>
      <c r="EG28" s="36" t="str">
        <f t="shared" si="53"/>
        <v/>
      </c>
      <c r="EH28" s="37"/>
      <c r="EI28" s="33"/>
      <c r="EJ28" s="34"/>
      <c r="EK28" s="35" t="str">
        <f t="shared" si="54"/>
        <v/>
      </c>
      <c r="EL28" s="36" t="str">
        <f t="shared" si="55"/>
        <v/>
      </c>
      <c r="EM28" s="37"/>
      <c r="EN28" s="33"/>
      <c r="EO28" s="34"/>
      <c r="EP28" s="35" t="str">
        <f t="shared" si="56"/>
        <v/>
      </c>
      <c r="EQ28" s="36" t="str">
        <f t="shared" si="57"/>
        <v/>
      </c>
      <c r="ER28" s="37"/>
      <c r="ES28" s="33"/>
      <c r="ET28" s="34"/>
      <c r="EU28" s="35" t="str">
        <f t="shared" si="58"/>
        <v/>
      </c>
      <c r="EV28" s="36" t="str">
        <f t="shared" si="59"/>
        <v/>
      </c>
      <c r="EW28" s="37"/>
    </row>
    <row r="29" spans="1:153" ht="19.5" customHeight="1">
      <c r="A29" s="32">
        <f>IF(DAY(DATE(対象年度,2,26))&lt;&gt;26,"",26)</f>
        <v>26</v>
      </c>
      <c r="B29" s="32" t="str">
        <f>IF(DAY(DATE(対象年度,2,26))&lt;&gt;26,"",CHOOSE(WEEKDAY(DATE(対象年度,2,26),2),"月","火","水","木","金","土","日"))</f>
        <v>木</v>
      </c>
      <c r="C29" s="32" t="str">
        <f>IF(DAY(DATE(対象年度,2,26))&lt;&gt;26,"",IF(ISNUMBER(MATCH(DATE(対象年度,2,26),祝日リスト,0)),"祝",""))</f>
        <v/>
      </c>
      <c r="D29" s="38" t="s">
        <v>104</v>
      </c>
      <c r="E29" s="34"/>
      <c r="F29" s="35" t="str">
        <f t="shared" si="0"/>
        <v>○</v>
      </c>
      <c r="G29" s="36" t="str">
        <f t="shared" si="1"/>
        <v/>
      </c>
      <c r="H29" s="37"/>
      <c r="I29" s="33"/>
      <c r="J29" s="46" t="s">
        <v>125</v>
      </c>
      <c r="K29" s="35" t="str">
        <f t="shared" si="2"/>
        <v/>
      </c>
      <c r="L29" s="36" t="str">
        <f t="shared" si="3"/>
        <v>○</v>
      </c>
      <c r="M29" s="37"/>
      <c r="N29" s="38" t="s">
        <v>116</v>
      </c>
      <c r="O29" s="34"/>
      <c r="P29" s="35" t="str">
        <f t="shared" si="4"/>
        <v>○</v>
      </c>
      <c r="Q29" s="36" t="str">
        <f t="shared" si="5"/>
        <v/>
      </c>
      <c r="R29" s="37"/>
      <c r="S29" s="38" t="s">
        <v>116</v>
      </c>
      <c r="T29" s="34"/>
      <c r="U29" s="35" t="str">
        <f t="shared" si="6"/>
        <v>○</v>
      </c>
      <c r="V29" s="36" t="str">
        <f t="shared" si="7"/>
        <v/>
      </c>
      <c r="W29" s="37"/>
      <c r="X29" s="38" t="s">
        <v>116</v>
      </c>
      <c r="Y29" s="34"/>
      <c r="Z29" s="35" t="str">
        <f t="shared" si="8"/>
        <v>○</v>
      </c>
      <c r="AA29" s="36" t="str">
        <f t="shared" si="9"/>
        <v/>
      </c>
      <c r="AB29" s="37"/>
      <c r="AC29" s="33"/>
      <c r="AD29" s="46" t="s">
        <v>125</v>
      </c>
      <c r="AE29" s="35" t="str">
        <f t="shared" si="10"/>
        <v/>
      </c>
      <c r="AF29" s="36" t="str">
        <f t="shared" si="11"/>
        <v>○</v>
      </c>
      <c r="AG29" s="37"/>
      <c r="AH29" s="38" t="s">
        <v>117</v>
      </c>
      <c r="AI29" s="34"/>
      <c r="AJ29" s="35" t="str">
        <f t="shared" si="12"/>
        <v>○</v>
      </c>
      <c r="AK29" s="36" t="str">
        <f t="shared" si="13"/>
        <v/>
      </c>
      <c r="AL29" s="37"/>
      <c r="AM29" s="33"/>
      <c r="AN29" s="46" t="s">
        <v>125</v>
      </c>
      <c r="AO29" s="35" t="str">
        <f t="shared" si="14"/>
        <v/>
      </c>
      <c r="AP29" s="36" t="str">
        <f t="shared" si="15"/>
        <v>○</v>
      </c>
      <c r="AQ29" s="37"/>
      <c r="AR29" s="38" t="s">
        <v>116</v>
      </c>
      <c r="AS29" s="34"/>
      <c r="AT29" s="35" t="str">
        <f t="shared" si="16"/>
        <v>○</v>
      </c>
      <c r="AU29" s="36" t="str">
        <f t="shared" si="17"/>
        <v/>
      </c>
      <c r="AV29" s="37"/>
      <c r="AW29" s="38" t="s">
        <v>124</v>
      </c>
      <c r="AX29" s="34"/>
      <c r="AY29" s="35" t="str">
        <f t="shared" si="18"/>
        <v>○</v>
      </c>
      <c r="AZ29" s="36" t="str">
        <f t="shared" si="19"/>
        <v/>
      </c>
      <c r="BA29" s="37"/>
      <c r="BB29" s="38" t="s">
        <v>104</v>
      </c>
      <c r="BC29" s="34"/>
      <c r="BD29" s="35" t="str">
        <f t="shared" si="20"/>
        <v>○</v>
      </c>
      <c r="BE29" s="36" t="str">
        <f t="shared" si="21"/>
        <v/>
      </c>
      <c r="BF29" s="37"/>
      <c r="BG29" s="38" t="s">
        <v>116</v>
      </c>
      <c r="BH29" s="34"/>
      <c r="BI29" s="35" t="str">
        <f t="shared" si="22"/>
        <v>○</v>
      </c>
      <c r="BJ29" s="36" t="str">
        <f t="shared" si="23"/>
        <v/>
      </c>
      <c r="BK29" s="37"/>
      <c r="BL29" s="33"/>
      <c r="BM29" s="34"/>
      <c r="BN29" s="35" t="str">
        <f t="shared" si="24"/>
        <v/>
      </c>
      <c r="BO29" s="36" t="str">
        <f t="shared" si="25"/>
        <v/>
      </c>
      <c r="BP29" s="37"/>
      <c r="BQ29" s="33"/>
      <c r="BR29" s="34"/>
      <c r="BS29" s="35" t="str">
        <f t="shared" si="26"/>
        <v/>
      </c>
      <c r="BT29" s="36" t="str">
        <f t="shared" si="27"/>
        <v/>
      </c>
      <c r="BU29" s="37"/>
      <c r="BV29" s="33"/>
      <c r="BW29" s="34"/>
      <c r="BX29" s="35" t="str">
        <f t="shared" si="28"/>
        <v/>
      </c>
      <c r="BY29" s="36" t="str">
        <f t="shared" si="29"/>
        <v/>
      </c>
      <c r="BZ29" s="37"/>
      <c r="CA29" s="33"/>
      <c r="CB29" s="34"/>
      <c r="CC29" s="35" t="str">
        <f t="shared" si="30"/>
        <v/>
      </c>
      <c r="CD29" s="36" t="str">
        <f t="shared" si="31"/>
        <v/>
      </c>
      <c r="CE29" s="37"/>
      <c r="CF29" s="33"/>
      <c r="CG29" s="34"/>
      <c r="CH29" s="35" t="str">
        <f t="shared" si="32"/>
        <v/>
      </c>
      <c r="CI29" s="36" t="str">
        <f t="shared" si="33"/>
        <v/>
      </c>
      <c r="CJ29" s="37"/>
      <c r="CK29" s="33"/>
      <c r="CL29" s="34"/>
      <c r="CM29" s="35" t="str">
        <f t="shared" si="34"/>
        <v/>
      </c>
      <c r="CN29" s="36" t="str">
        <f t="shared" si="35"/>
        <v/>
      </c>
      <c r="CO29" s="37"/>
      <c r="CP29" s="33"/>
      <c r="CQ29" s="34"/>
      <c r="CR29" s="35" t="str">
        <f t="shared" si="36"/>
        <v/>
      </c>
      <c r="CS29" s="36" t="str">
        <f t="shared" si="37"/>
        <v/>
      </c>
      <c r="CT29" s="37"/>
      <c r="CU29" s="33"/>
      <c r="CV29" s="34"/>
      <c r="CW29" s="35" t="str">
        <f t="shared" si="38"/>
        <v/>
      </c>
      <c r="CX29" s="36" t="str">
        <f t="shared" si="39"/>
        <v/>
      </c>
      <c r="CY29" s="37"/>
      <c r="CZ29" s="33"/>
      <c r="DA29" s="34"/>
      <c r="DB29" s="35" t="str">
        <f t="shared" si="40"/>
        <v/>
      </c>
      <c r="DC29" s="36" t="str">
        <f t="shared" si="41"/>
        <v/>
      </c>
      <c r="DD29" s="37"/>
      <c r="DE29" s="33"/>
      <c r="DF29" s="34"/>
      <c r="DG29" s="35" t="str">
        <f t="shared" si="42"/>
        <v/>
      </c>
      <c r="DH29" s="36" t="str">
        <f t="shared" si="43"/>
        <v/>
      </c>
      <c r="DI29" s="37"/>
      <c r="DJ29" s="33"/>
      <c r="DK29" s="34"/>
      <c r="DL29" s="35" t="str">
        <f t="shared" si="44"/>
        <v/>
      </c>
      <c r="DM29" s="36" t="str">
        <f t="shared" si="45"/>
        <v/>
      </c>
      <c r="DN29" s="37"/>
      <c r="DO29" s="33"/>
      <c r="DP29" s="34"/>
      <c r="DQ29" s="35" t="str">
        <f t="shared" si="46"/>
        <v/>
      </c>
      <c r="DR29" s="36" t="str">
        <f t="shared" si="47"/>
        <v/>
      </c>
      <c r="DS29" s="37"/>
      <c r="DT29" s="33"/>
      <c r="DU29" s="34"/>
      <c r="DV29" s="35" t="str">
        <f t="shared" si="48"/>
        <v/>
      </c>
      <c r="DW29" s="36" t="str">
        <f t="shared" si="49"/>
        <v/>
      </c>
      <c r="DX29" s="37"/>
      <c r="DY29" s="33"/>
      <c r="DZ29" s="34"/>
      <c r="EA29" s="35" t="str">
        <f t="shared" si="50"/>
        <v/>
      </c>
      <c r="EB29" s="36" t="str">
        <f t="shared" si="51"/>
        <v/>
      </c>
      <c r="EC29" s="37"/>
      <c r="ED29" s="33"/>
      <c r="EE29" s="34"/>
      <c r="EF29" s="35" t="str">
        <f t="shared" si="52"/>
        <v/>
      </c>
      <c r="EG29" s="36" t="str">
        <f t="shared" si="53"/>
        <v/>
      </c>
      <c r="EH29" s="37"/>
      <c r="EI29" s="33"/>
      <c r="EJ29" s="34"/>
      <c r="EK29" s="35" t="str">
        <f t="shared" si="54"/>
        <v/>
      </c>
      <c r="EL29" s="36" t="str">
        <f t="shared" si="55"/>
        <v/>
      </c>
      <c r="EM29" s="37"/>
      <c r="EN29" s="33"/>
      <c r="EO29" s="34"/>
      <c r="EP29" s="35" t="str">
        <f t="shared" si="56"/>
        <v/>
      </c>
      <c r="EQ29" s="36" t="str">
        <f t="shared" si="57"/>
        <v/>
      </c>
      <c r="ER29" s="37"/>
      <c r="ES29" s="33"/>
      <c r="ET29" s="34"/>
      <c r="EU29" s="35" t="str">
        <f t="shared" si="58"/>
        <v/>
      </c>
      <c r="EV29" s="36" t="str">
        <f t="shared" si="59"/>
        <v/>
      </c>
      <c r="EW29" s="37"/>
    </row>
    <row r="30" spans="1:153" ht="19.5" customHeight="1">
      <c r="A30" s="32">
        <f>IF(DAY(DATE(対象年度,2,27))&lt;&gt;27,"",27)</f>
        <v>27</v>
      </c>
      <c r="B30" s="32" t="str">
        <f>IF(DAY(DATE(対象年度,2,27))&lt;&gt;27,"",CHOOSE(WEEKDAY(DATE(対象年度,2,27),2),"月","火","水","木","金","土","日"))</f>
        <v>金</v>
      </c>
      <c r="C30" s="32" t="str">
        <f>IF(DAY(DATE(対象年度,2,27))&lt;&gt;27,"",IF(ISNUMBER(MATCH(DATE(対象年度,2,27),祝日リスト,0)),"祝",""))</f>
        <v/>
      </c>
      <c r="D30" s="38" t="s">
        <v>104</v>
      </c>
      <c r="E30" s="34"/>
      <c r="F30" s="35" t="str">
        <f t="shared" si="0"/>
        <v>○</v>
      </c>
      <c r="G30" s="36" t="str">
        <f t="shared" si="1"/>
        <v/>
      </c>
      <c r="H30" s="37"/>
      <c r="I30" s="33"/>
      <c r="J30" s="46" t="s">
        <v>125</v>
      </c>
      <c r="K30" s="35" t="str">
        <f t="shared" si="2"/>
        <v/>
      </c>
      <c r="L30" s="36" t="str">
        <f t="shared" si="3"/>
        <v>○</v>
      </c>
      <c r="M30" s="37"/>
      <c r="N30" s="38" t="s">
        <v>116</v>
      </c>
      <c r="O30" s="34"/>
      <c r="P30" s="35" t="str">
        <f t="shared" si="4"/>
        <v>○</v>
      </c>
      <c r="Q30" s="36" t="str">
        <f t="shared" si="5"/>
        <v/>
      </c>
      <c r="R30" s="37"/>
      <c r="S30" s="38" t="s">
        <v>116</v>
      </c>
      <c r="T30" s="34"/>
      <c r="U30" s="35" t="str">
        <f t="shared" si="6"/>
        <v>○</v>
      </c>
      <c r="V30" s="36" t="str">
        <f t="shared" si="7"/>
        <v/>
      </c>
      <c r="W30" s="37"/>
      <c r="X30" s="38" t="s">
        <v>116</v>
      </c>
      <c r="Y30" s="34"/>
      <c r="Z30" s="35" t="str">
        <f t="shared" si="8"/>
        <v>○</v>
      </c>
      <c r="AA30" s="36" t="str">
        <f t="shared" si="9"/>
        <v/>
      </c>
      <c r="AB30" s="37"/>
      <c r="AC30" s="33"/>
      <c r="AD30" s="46" t="s">
        <v>125</v>
      </c>
      <c r="AE30" s="35" t="str">
        <f t="shared" si="10"/>
        <v/>
      </c>
      <c r="AF30" s="36" t="str">
        <f t="shared" si="11"/>
        <v>○</v>
      </c>
      <c r="AG30" s="37"/>
      <c r="AH30" s="38" t="s">
        <v>117</v>
      </c>
      <c r="AI30" s="34"/>
      <c r="AJ30" s="35" t="str">
        <f t="shared" si="12"/>
        <v>○</v>
      </c>
      <c r="AK30" s="36" t="str">
        <f t="shared" si="13"/>
        <v/>
      </c>
      <c r="AL30" s="37"/>
      <c r="AM30" s="33"/>
      <c r="AN30" s="46" t="s">
        <v>125</v>
      </c>
      <c r="AO30" s="35" t="str">
        <f t="shared" si="14"/>
        <v/>
      </c>
      <c r="AP30" s="36" t="str">
        <f t="shared" si="15"/>
        <v>○</v>
      </c>
      <c r="AQ30" s="37"/>
      <c r="AR30" s="38" t="s">
        <v>116</v>
      </c>
      <c r="AS30" s="34"/>
      <c r="AT30" s="35" t="str">
        <f t="shared" si="16"/>
        <v>○</v>
      </c>
      <c r="AU30" s="36" t="str">
        <f t="shared" si="17"/>
        <v/>
      </c>
      <c r="AV30" s="37"/>
      <c r="AW30" s="38" t="s">
        <v>124</v>
      </c>
      <c r="AX30" s="34"/>
      <c r="AY30" s="35" t="str">
        <f t="shared" si="18"/>
        <v>○</v>
      </c>
      <c r="AZ30" s="36" t="str">
        <f t="shared" si="19"/>
        <v/>
      </c>
      <c r="BA30" s="37"/>
      <c r="BB30" s="38" t="s">
        <v>104</v>
      </c>
      <c r="BC30" s="34"/>
      <c r="BD30" s="35" t="str">
        <f t="shared" si="20"/>
        <v>○</v>
      </c>
      <c r="BE30" s="36" t="str">
        <f t="shared" si="21"/>
        <v/>
      </c>
      <c r="BF30" s="37"/>
      <c r="BG30" s="38" t="s">
        <v>116</v>
      </c>
      <c r="BH30" s="34"/>
      <c r="BI30" s="35" t="str">
        <f t="shared" si="22"/>
        <v>○</v>
      </c>
      <c r="BJ30" s="36" t="str">
        <f t="shared" si="23"/>
        <v/>
      </c>
      <c r="BK30" s="37"/>
      <c r="BL30" s="33"/>
      <c r="BM30" s="34"/>
      <c r="BN30" s="35" t="str">
        <f t="shared" si="24"/>
        <v/>
      </c>
      <c r="BO30" s="36" t="str">
        <f t="shared" si="25"/>
        <v/>
      </c>
      <c r="BP30" s="37"/>
      <c r="BQ30" s="33"/>
      <c r="BR30" s="34"/>
      <c r="BS30" s="35" t="str">
        <f t="shared" si="26"/>
        <v/>
      </c>
      <c r="BT30" s="36" t="str">
        <f t="shared" si="27"/>
        <v/>
      </c>
      <c r="BU30" s="37"/>
      <c r="BV30" s="33"/>
      <c r="BW30" s="34"/>
      <c r="BX30" s="35" t="str">
        <f t="shared" si="28"/>
        <v/>
      </c>
      <c r="BY30" s="36" t="str">
        <f t="shared" si="29"/>
        <v/>
      </c>
      <c r="BZ30" s="37"/>
      <c r="CA30" s="33"/>
      <c r="CB30" s="34"/>
      <c r="CC30" s="35" t="str">
        <f t="shared" si="30"/>
        <v/>
      </c>
      <c r="CD30" s="36" t="str">
        <f t="shared" si="31"/>
        <v/>
      </c>
      <c r="CE30" s="37"/>
      <c r="CF30" s="33"/>
      <c r="CG30" s="34"/>
      <c r="CH30" s="35" t="str">
        <f t="shared" si="32"/>
        <v/>
      </c>
      <c r="CI30" s="36" t="str">
        <f t="shared" si="33"/>
        <v/>
      </c>
      <c r="CJ30" s="37"/>
      <c r="CK30" s="33"/>
      <c r="CL30" s="34"/>
      <c r="CM30" s="35" t="str">
        <f t="shared" si="34"/>
        <v/>
      </c>
      <c r="CN30" s="36" t="str">
        <f t="shared" si="35"/>
        <v/>
      </c>
      <c r="CO30" s="37"/>
      <c r="CP30" s="33"/>
      <c r="CQ30" s="34"/>
      <c r="CR30" s="35" t="str">
        <f t="shared" si="36"/>
        <v/>
      </c>
      <c r="CS30" s="36" t="str">
        <f t="shared" si="37"/>
        <v/>
      </c>
      <c r="CT30" s="37"/>
      <c r="CU30" s="33"/>
      <c r="CV30" s="34"/>
      <c r="CW30" s="35" t="str">
        <f t="shared" si="38"/>
        <v/>
      </c>
      <c r="CX30" s="36" t="str">
        <f t="shared" si="39"/>
        <v/>
      </c>
      <c r="CY30" s="37"/>
      <c r="CZ30" s="33"/>
      <c r="DA30" s="34"/>
      <c r="DB30" s="35" t="str">
        <f t="shared" si="40"/>
        <v/>
      </c>
      <c r="DC30" s="36" t="str">
        <f t="shared" si="41"/>
        <v/>
      </c>
      <c r="DD30" s="37"/>
      <c r="DE30" s="33"/>
      <c r="DF30" s="34"/>
      <c r="DG30" s="35" t="str">
        <f t="shared" si="42"/>
        <v/>
      </c>
      <c r="DH30" s="36" t="str">
        <f t="shared" si="43"/>
        <v/>
      </c>
      <c r="DI30" s="37"/>
      <c r="DJ30" s="33"/>
      <c r="DK30" s="34"/>
      <c r="DL30" s="35" t="str">
        <f t="shared" si="44"/>
        <v/>
      </c>
      <c r="DM30" s="36" t="str">
        <f t="shared" si="45"/>
        <v/>
      </c>
      <c r="DN30" s="37"/>
      <c r="DO30" s="33"/>
      <c r="DP30" s="34"/>
      <c r="DQ30" s="35" t="str">
        <f t="shared" si="46"/>
        <v/>
      </c>
      <c r="DR30" s="36" t="str">
        <f t="shared" si="47"/>
        <v/>
      </c>
      <c r="DS30" s="37"/>
      <c r="DT30" s="33"/>
      <c r="DU30" s="34"/>
      <c r="DV30" s="35" t="str">
        <f t="shared" si="48"/>
        <v/>
      </c>
      <c r="DW30" s="36" t="str">
        <f t="shared" si="49"/>
        <v/>
      </c>
      <c r="DX30" s="37"/>
      <c r="DY30" s="33"/>
      <c r="DZ30" s="34"/>
      <c r="EA30" s="35" t="str">
        <f t="shared" si="50"/>
        <v/>
      </c>
      <c r="EB30" s="36" t="str">
        <f t="shared" si="51"/>
        <v/>
      </c>
      <c r="EC30" s="37"/>
      <c r="ED30" s="33"/>
      <c r="EE30" s="34"/>
      <c r="EF30" s="35" t="str">
        <f t="shared" si="52"/>
        <v/>
      </c>
      <c r="EG30" s="36" t="str">
        <f t="shared" si="53"/>
        <v/>
      </c>
      <c r="EH30" s="37"/>
      <c r="EI30" s="33"/>
      <c r="EJ30" s="34"/>
      <c r="EK30" s="35" t="str">
        <f t="shared" si="54"/>
        <v/>
      </c>
      <c r="EL30" s="36" t="str">
        <f t="shared" si="55"/>
        <v/>
      </c>
      <c r="EM30" s="37"/>
      <c r="EN30" s="33"/>
      <c r="EO30" s="34"/>
      <c r="EP30" s="35" t="str">
        <f t="shared" si="56"/>
        <v/>
      </c>
      <c r="EQ30" s="36" t="str">
        <f t="shared" si="57"/>
        <v/>
      </c>
      <c r="ER30" s="37"/>
      <c r="ES30" s="33"/>
      <c r="ET30" s="34"/>
      <c r="EU30" s="35" t="str">
        <f t="shared" si="58"/>
        <v/>
      </c>
      <c r="EV30" s="36" t="str">
        <f t="shared" si="59"/>
        <v/>
      </c>
      <c r="EW30" s="37"/>
    </row>
    <row r="31" spans="1:153" ht="19.5" customHeight="1">
      <c r="A31" s="32">
        <f>IF(DAY(DATE(対象年度,2,28))&lt;&gt;28,"",28)</f>
        <v>28</v>
      </c>
      <c r="B31" s="32" t="str">
        <f>IF(DAY(DATE(対象年度,2,28))&lt;&gt;28,"",CHOOSE(WEEKDAY(DATE(対象年度,2,28),2),"月","火","水","木","金","土","日"))</f>
        <v>土</v>
      </c>
      <c r="C31" s="32" t="str">
        <f>IF(DAY(DATE(対象年度,2,28))&lt;&gt;28,"",IF(ISNUMBER(MATCH(DATE(対象年度,2,28),祝日リスト,0)),"祝",""))</f>
        <v/>
      </c>
      <c r="D31" s="33"/>
      <c r="E31" s="34"/>
      <c r="F31" s="35" t="str">
        <f t="shared" si="0"/>
        <v/>
      </c>
      <c r="G31" s="36" t="str">
        <f t="shared" si="1"/>
        <v/>
      </c>
      <c r="H31" s="37"/>
      <c r="I31" s="38" t="s">
        <v>116</v>
      </c>
      <c r="J31" s="34"/>
      <c r="K31" s="35" t="str">
        <f t="shared" si="2"/>
        <v>○</v>
      </c>
      <c r="L31" s="36" t="str">
        <f t="shared" si="3"/>
        <v/>
      </c>
      <c r="M31" s="37"/>
      <c r="N31" s="38" t="s">
        <v>116</v>
      </c>
      <c r="O31" s="34"/>
      <c r="P31" s="35" t="str">
        <f t="shared" si="4"/>
        <v>○</v>
      </c>
      <c r="Q31" s="36" t="str">
        <f t="shared" si="5"/>
        <v/>
      </c>
      <c r="R31" s="37"/>
      <c r="S31" s="38" t="s">
        <v>116</v>
      </c>
      <c r="T31" s="34"/>
      <c r="U31" s="35" t="str">
        <f t="shared" si="6"/>
        <v>○</v>
      </c>
      <c r="V31" s="36" t="str">
        <f t="shared" si="7"/>
        <v/>
      </c>
      <c r="W31" s="37"/>
      <c r="X31" s="38" t="s">
        <v>116</v>
      </c>
      <c r="Y31" s="34"/>
      <c r="Z31" s="35" t="str">
        <f t="shared" si="8"/>
        <v>○</v>
      </c>
      <c r="AA31" s="36" t="str">
        <f t="shared" si="9"/>
        <v/>
      </c>
      <c r="AB31" s="37"/>
      <c r="AC31" s="33"/>
      <c r="AD31" s="34"/>
      <c r="AE31" s="35" t="str">
        <f t="shared" si="10"/>
        <v/>
      </c>
      <c r="AF31" s="36" t="str">
        <f t="shared" si="11"/>
        <v/>
      </c>
      <c r="AG31" s="37"/>
      <c r="AH31" s="33"/>
      <c r="AI31" s="34"/>
      <c r="AJ31" s="35" t="str">
        <f t="shared" si="12"/>
        <v/>
      </c>
      <c r="AK31" s="36" t="str">
        <f t="shared" si="13"/>
        <v/>
      </c>
      <c r="AL31" s="37"/>
      <c r="AM31" s="33"/>
      <c r="AN31" s="34"/>
      <c r="AO31" s="35" t="str">
        <f t="shared" si="14"/>
        <v/>
      </c>
      <c r="AP31" s="36" t="str">
        <f t="shared" si="15"/>
        <v/>
      </c>
      <c r="AQ31" s="37"/>
      <c r="AR31" s="38" t="s">
        <v>116</v>
      </c>
      <c r="AS31" s="34"/>
      <c r="AT31" s="35" t="str">
        <f t="shared" si="16"/>
        <v>○</v>
      </c>
      <c r="AU31" s="36" t="str">
        <f t="shared" si="17"/>
        <v/>
      </c>
      <c r="AV31" s="37"/>
      <c r="AW31" s="33"/>
      <c r="AX31" s="34"/>
      <c r="AY31" s="35" t="str">
        <f t="shared" si="18"/>
        <v/>
      </c>
      <c r="AZ31" s="36" t="str">
        <f t="shared" si="19"/>
        <v/>
      </c>
      <c r="BA31" s="37"/>
      <c r="BB31" s="33"/>
      <c r="BC31" s="34"/>
      <c r="BD31" s="35" t="str">
        <f t="shared" si="20"/>
        <v/>
      </c>
      <c r="BE31" s="36" t="str">
        <f t="shared" si="21"/>
        <v/>
      </c>
      <c r="BF31" s="37"/>
      <c r="BG31" s="38" t="s">
        <v>116</v>
      </c>
      <c r="BH31" s="34"/>
      <c r="BI31" s="35" t="str">
        <f t="shared" si="22"/>
        <v>○</v>
      </c>
      <c r="BJ31" s="36" t="str">
        <f t="shared" si="23"/>
        <v/>
      </c>
      <c r="BK31" s="37"/>
      <c r="BL31" s="33"/>
      <c r="BM31" s="34"/>
      <c r="BN31" s="35" t="str">
        <f t="shared" si="24"/>
        <v/>
      </c>
      <c r="BO31" s="36" t="str">
        <f t="shared" si="25"/>
        <v/>
      </c>
      <c r="BP31" s="37"/>
      <c r="BQ31" s="33"/>
      <c r="BR31" s="34"/>
      <c r="BS31" s="35" t="str">
        <f t="shared" si="26"/>
        <v/>
      </c>
      <c r="BT31" s="36" t="str">
        <f t="shared" si="27"/>
        <v/>
      </c>
      <c r="BU31" s="37"/>
      <c r="BV31" s="33"/>
      <c r="BW31" s="34"/>
      <c r="BX31" s="35" t="str">
        <f t="shared" si="28"/>
        <v/>
      </c>
      <c r="BY31" s="36" t="str">
        <f t="shared" si="29"/>
        <v/>
      </c>
      <c r="BZ31" s="37"/>
      <c r="CA31" s="33"/>
      <c r="CB31" s="34"/>
      <c r="CC31" s="35" t="str">
        <f t="shared" si="30"/>
        <v/>
      </c>
      <c r="CD31" s="36" t="str">
        <f t="shared" si="31"/>
        <v/>
      </c>
      <c r="CE31" s="37"/>
      <c r="CF31" s="33"/>
      <c r="CG31" s="34"/>
      <c r="CH31" s="35" t="str">
        <f t="shared" si="32"/>
        <v/>
      </c>
      <c r="CI31" s="36" t="str">
        <f t="shared" si="33"/>
        <v/>
      </c>
      <c r="CJ31" s="37"/>
      <c r="CK31" s="33"/>
      <c r="CL31" s="34"/>
      <c r="CM31" s="35" t="str">
        <f t="shared" si="34"/>
        <v/>
      </c>
      <c r="CN31" s="36" t="str">
        <f t="shared" si="35"/>
        <v/>
      </c>
      <c r="CO31" s="37"/>
      <c r="CP31" s="33"/>
      <c r="CQ31" s="34"/>
      <c r="CR31" s="35" t="str">
        <f t="shared" si="36"/>
        <v/>
      </c>
      <c r="CS31" s="36" t="str">
        <f t="shared" si="37"/>
        <v/>
      </c>
      <c r="CT31" s="37"/>
      <c r="CU31" s="33"/>
      <c r="CV31" s="34"/>
      <c r="CW31" s="35" t="str">
        <f t="shared" si="38"/>
        <v/>
      </c>
      <c r="CX31" s="36" t="str">
        <f t="shared" si="39"/>
        <v/>
      </c>
      <c r="CY31" s="37"/>
      <c r="CZ31" s="33"/>
      <c r="DA31" s="34"/>
      <c r="DB31" s="35" t="str">
        <f t="shared" si="40"/>
        <v/>
      </c>
      <c r="DC31" s="36" t="str">
        <f t="shared" si="41"/>
        <v/>
      </c>
      <c r="DD31" s="37"/>
      <c r="DE31" s="33"/>
      <c r="DF31" s="34"/>
      <c r="DG31" s="35" t="str">
        <f t="shared" si="42"/>
        <v/>
      </c>
      <c r="DH31" s="36" t="str">
        <f t="shared" si="43"/>
        <v/>
      </c>
      <c r="DI31" s="37"/>
      <c r="DJ31" s="33"/>
      <c r="DK31" s="34"/>
      <c r="DL31" s="35" t="str">
        <f t="shared" si="44"/>
        <v/>
      </c>
      <c r="DM31" s="36" t="str">
        <f t="shared" si="45"/>
        <v/>
      </c>
      <c r="DN31" s="37"/>
      <c r="DO31" s="33"/>
      <c r="DP31" s="34"/>
      <c r="DQ31" s="35" t="str">
        <f t="shared" si="46"/>
        <v/>
      </c>
      <c r="DR31" s="36" t="str">
        <f t="shared" si="47"/>
        <v/>
      </c>
      <c r="DS31" s="37"/>
      <c r="DT31" s="33"/>
      <c r="DU31" s="34"/>
      <c r="DV31" s="35" t="str">
        <f t="shared" si="48"/>
        <v/>
      </c>
      <c r="DW31" s="36" t="str">
        <f t="shared" si="49"/>
        <v/>
      </c>
      <c r="DX31" s="37"/>
      <c r="DY31" s="33"/>
      <c r="DZ31" s="34"/>
      <c r="EA31" s="35" t="str">
        <f t="shared" si="50"/>
        <v/>
      </c>
      <c r="EB31" s="36" t="str">
        <f t="shared" si="51"/>
        <v/>
      </c>
      <c r="EC31" s="37"/>
      <c r="ED31" s="33"/>
      <c r="EE31" s="34"/>
      <c r="EF31" s="35" t="str">
        <f t="shared" si="52"/>
        <v/>
      </c>
      <c r="EG31" s="36" t="str">
        <f t="shared" si="53"/>
        <v/>
      </c>
      <c r="EH31" s="37"/>
      <c r="EI31" s="33"/>
      <c r="EJ31" s="34"/>
      <c r="EK31" s="35" t="str">
        <f t="shared" si="54"/>
        <v/>
      </c>
      <c r="EL31" s="36" t="str">
        <f t="shared" si="55"/>
        <v/>
      </c>
      <c r="EM31" s="37"/>
      <c r="EN31" s="33"/>
      <c r="EO31" s="34"/>
      <c r="EP31" s="35" t="str">
        <f t="shared" si="56"/>
        <v/>
      </c>
      <c r="EQ31" s="36" t="str">
        <f t="shared" si="57"/>
        <v/>
      </c>
      <c r="ER31" s="37"/>
      <c r="ES31" s="33"/>
      <c r="ET31" s="34"/>
      <c r="EU31" s="35" t="str">
        <f t="shared" si="58"/>
        <v/>
      </c>
      <c r="EV31" s="36" t="str">
        <f t="shared" si="59"/>
        <v/>
      </c>
      <c r="EW31" s="37"/>
    </row>
    <row r="32" spans="1:153" ht="19.5" customHeight="1">
      <c r="A32" s="32" t="str">
        <f>IF(DAY(DATE(対象年度,2,29))&lt;&gt;29,"",29)</f>
        <v/>
      </c>
      <c r="B32" s="32" t="str">
        <f>IF(DAY(DATE(対象年度,2,29))&lt;&gt;29,"",CHOOSE(WEEKDAY(DATE(対象年度,2,29),2),"月","火","水","木","金","土","日"))</f>
        <v/>
      </c>
      <c r="C32" s="32" t="str">
        <f>IF(DAY(DATE(対象年度,2,29))&lt;&gt;29,"",IF(ISNUMBER(MATCH(DATE(対象年度,2,29),祝日リスト,0)),"祝",""))</f>
        <v/>
      </c>
      <c r="D32" s="33"/>
      <c r="E32" s="34"/>
      <c r="F32" s="35" t="str">
        <f t="shared" si="0"/>
        <v/>
      </c>
      <c r="G32" s="36" t="str">
        <f t="shared" si="1"/>
        <v/>
      </c>
      <c r="H32" s="37"/>
      <c r="I32" s="33"/>
      <c r="J32" s="34"/>
      <c r="K32" s="35" t="str">
        <f t="shared" si="2"/>
        <v/>
      </c>
      <c r="L32" s="36" t="str">
        <f t="shared" si="3"/>
        <v/>
      </c>
      <c r="M32" s="37"/>
      <c r="N32" s="33"/>
      <c r="O32" s="34"/>
      <c r="P32" s="35" t="str">
        <f t="shared" si="4"/>
        <v/>
      </c>
      <c r="Q32" s="36" t="str">
        <f t="shared" si="5"/>
        <v/>
      </c>
      <c r="R32" s="37"/>
      <c r="S32" s="33"/>
      <c r="T32" s="34"/>
      <c r="U32" s="35" t="str">
        <f t="shared" si="6"/>
        <v/>
      </c>
      <c r="V32" s="36" t="str">
        <f t="shared" si="7"/>
        <v/>
      </c>
      <c r="W32" s="37"/>
      <c r="X32" s="33"/>
      <c r="Y32" s="34"/>
      <c r="Z32" s="35" t="str">
        <f t="shared" si="8"/>
        <v/>
      </c>
      <c r="AA32" s="36" t="str">
        <f t="shared" si="9"/>
        <v/>
      </c>
      <c r="AB32" s="37"/>
      <c r="AC32" s="33"/>
      <c r="AD32" s="34"/>
      <c r="AE32" s="35" t="str">
        <f t="shared" si="10"/>
        <v/>
      </c>
      <c r="AF32" s="36" t="str">
        <f t="shared" si="11"/>
        <v/>
      </c>
      <c r="AG32" s="37"/>
      <c r="AH32" s="33"/>
      <c r="AI32" s="34"/>
      <c r="AJ32" s="35" t="str">
        <f t="shared" si="12"/>
        <v/>
      </c>
      <c r="AK32" s="36" t="str">
        <f t="shared" si="13"/>
        <v/>
      </c>
      <c r="AL32" s="37"/>
      <c r="AM32" s="33"/>
      <c r="AN32" s="34"/>
      <c r="AO32" s="35" t="str">
        <f t="shared" si="14"/>
        <v/>
      </c>
      <c r="AP32" s="36" t="str">
        <f t="shared" si="15"/>
        <v/>
      </c>
      <c r="AQ32" s="37"/>
      <c r="AR32" s="33"/>
      <c r="AS32" s="34"/>
      <c r="AT32" s="35" t="str">
        <f t="shared" si="16"/>
        <v/>
      </c>
      <c r="AU32" s="36" t="str">
        <f t="shared" si="17"/>
        <v/>
      </c>
      <c r="AV32" s="37"/>
      <c r="AW32" s="33"/>
      <c r="AX32" s="34"/>
      <c r="AY32" s="35" t="str">
        <f t="shared" si="18"/>
        <v/>
      </c>
      <c r="AZ32" s="36" t="str">
        <f t="shared" si="19"/>
        <v/>
      </c>
      <c r="BA32" s="37"/>
      <c r="BB32" s="33"/>
      <c r="BC32" s="34"/>
      <c r="BD32" s="35" t="str">
        <f t="shared" si="20"/>
        <v/>
      </c>
      <c r="BE32" s="36" t="str">
        <f t="shared" si="21"/>
        <v/>
      </c>
      <c r="BF32" s="37"/>
      <c r="BG32" s="33"/>
      <c r="BH32" s="34"/>
      <c r="BI32" s="35" t="str">
        <f t="shared" si="22"/>
        <v/>
      </c>
      <c r="BJ32" s="36" t="str">
        <f t="shared" si="23"/>
        <v/>
      </c>
      <c r="BK32" s="37"/>
      <c r="BL32" s="33"/>
      <c r="BM32" s="34"/>
      <c r="BN32" s="35" t="str">
        <f t="shared" si="24"/>
        <v/>
      </c>
      <c r="BO32" s="36" t="str">
        <f t="shared" si="25"/>
        <v/>
      </c>
      <c r="BP32" s="37"/>
      <c r="BQ32" s="33"/>
      <c r="BR32" s="34"/>
      <c r="BS32" s="35" t="str">
        <f t="shared" si="26"/>
        <v/>
      </c>
      <c r="BT32" s="36" t="str">
        <f t="shared" si="27"/>
        <v/>
      </c>
      <c r="BU32" s="37"/>
      <c r="BV32" s="33"/>
      <c r="BW32" s="34"/>
      <c r="BX32" s="35" t="str">
        <f t="shared" si="28"/>
        <v/>
      </c>
      <c r="BY32" s="36" t="str">
        <f t="shared" si="29"/>
        <v/>
      </c>
      <c r="BZ32" s="37"/>
      <c r="CA32" s="33"/>
      <c r="CB32" s="34"/>
      <c r="CC32" s="35" t="str">
        <f t="shared" si="30"/>
        <v/>
      </c>
      <c r="CD32" s="36" t="str">
        <f t="shared" si="31"/>
        <v/>
      </c>
      <c r="CE32" s="37"/>
      <c r="CF32" s="33"/>
      <c r="CG32" s="34"/>
      <c r="CH32" s="35" t="str">
        <f t="shared" si="32"/>
        <v/>
      </c>
      <c r="CI32" s="36" t="str">
        <f t="shared" si="33"/>
        <v/>
      </c>
      <c r="CJ32" s="37"/>
      <c r="CK32" s="33"/>
      <c r="CL32" s="34"/>
      <c r="CM32" s="35" t="str">
        <f t="shared" si="34"/>
        <v/>
      </c>
      <c r="CN32" s="36" t="str">
        <f t="shared" si="35"/>
        <v/>
      </c>
      <c r="CO32" s="37"/>
      <c r="CP32" s="33"/>
      <c r="CQ32" s="34"/>
      <c r="CR32" s="35" t="str">
        <f t="shared" si="36"/>
        <v/>
      </c>
      <c r="CS32" s="36" t="str">
        <f t="shared" si="37"/>
        <v/>
      </c>
      <c r="CT32" s="37"/>
      <c r="CU32" s="33"/>
      <c r="CV32" s="34"/>
      <c r="CW32" s="35" t="str">
        <f t="shared" si="38"/>
        <v/>
      </c>
      <c r="CX32" s="36" t="str">
        <f t="shared" si="39"/>
        <v/>
      </c>
      <c r="CY32" s="37"/>
      <c r="CZ32" s="33"/>
      <c r="DA32" s="34"/>
      <c r="DB32" s="35" t="str">
        <f t="shared" si="40"/>
        <v/>
      </c>
      <c r="DC32" s="36" t="str">
        <f t="shared" si="41"/>
        <v/>
      </c>
      <c r="DD32" s="37"/>
      <c r="DE32" s="33"/>
      <c r="DF32" s="34"/>
      <c r="DG32" s="35" t="str">
        <f t="shared" si="42"/>
        <v/>
      </c>
      <c r="DH32" s="36" t="str">
        <f t="shared" si="43"/>
        <v/>
      </c>
      <c r="DI32" s="37"/>
      <c r="DJ32" s="33"/>
      <c r="DK32" s="34"/>
      <c r="DL32" s="35" t="str">
        <f t="shared" si="44"/>
        <v/>
      </c>
      <c r="DM32" s="36" t="str">
        <f t="shared" si="45"/>
        <v/>
      </c>
      <c r="DN32" s="37"/>
      <c r="DO32" s="33"/>
      <c r="DP32" s="34"/>
      <c r="DQ32" s="35" t="str">
        <f t="shared" si="46"/>
        <v/>
      </c>
      <c r="DR32" s="36" t="str">
        <f t="shared" si="47"/>
        <v/>
      </c>
      <c r="DS32" s="37"/>
      <c r="DT32" s="33"/>
      <c r="DU32" s="34"/>
      <c r="DV32" s="35" t="str">
        <f t="shared" si="48"/>
        <v/>
      </c>
      <c r="DW32" s="36" t="str">
        <f t="shared" si="49"/>
        <v/>
      </c>
      <c r="DX32" s="37"/>
      <c r="DY32" s="33"/>
      <c r="DZ32" s="34"/>
      <c r="EA32" s="35" t="str">
        <f t="shared" si="50"/>
        <v/>
      </c>
      <c r="EB32" s="36" t="str">
        <f t="shared" si="51"/>
        <v/>
      </c>
      <c r="EC32" s="37"/>
      <c r="ED32" s="33"/>
      <c r="EE32" s="34"/>
      <c r="EF32" s="35" t="str">
        <f t="shared" si="52"/>
        <v/>
      </c>
      <c r="EG32" s="36" t="str">
        <f t="shared" si="53"/>
        <v/>
      </c>
      <c r="EH32" s="37"/>
      <c r="EI32" s="33"/>
      <c r="EJ32" s="34"/>
      <c r="EK32" s="35" t="str">
        <f t="shared" si="54"/>
        <v/>
      </c>
      <c r="EL32" s="36" t="str">
        <f t="shared" si="55"/>
        <v/>
      </c>
      <c r="EM32" s="37"/>
      <c r="EN32" s="33"/>
      <c r="EO32" s="34"/>
      <c r="EP32" s="35" t="str">
        <f t="shared" si="56"/>
        <v/>
      </c>
      <c r="EQ32" s="36" t="str">
        <f t="shared" si="57"/>
        <v/>
      </c>
      <c r="ER32" s="37"/>
      <c r="ES32" s="33"/>
      <c r="ET32" s="34"/>
      <c r="EU32" s="35" t="str">
        <f t="shared" si="58"/>
        <v/>
      </c>
      <c r="EV32" s="36" t="str">
        <f t="shared" si="59"/>
        <v/>
      </c>
      <c r="EW32" s="37"/>
    </row>
    <row r="33" spans="1:153" ht="19.5" customHeight="1">
      <c r="A33" s="32" t="str">
        <f>IF(DAY(DATE(対象年度,2,30))&lt;&gt;30,"",30)</f>
        <v/>
      </c>
      <c r="B33" s="32" t="str">
        <f>IF(DAY(DATE(対象年度,2,30))&lt;&gt;30,"",CHOOSE(WEEKDAY(DATE(対象年度,2,30),2),"月","火","水","木","金","土","日"))</f>
        <v/>
      </c>
      <c r="C33" s="32" t="str">
        <f>IF(DAY(DATE(対象年度,2,30))&lt;&gt;30,"",IF(ISNUMBER(MATCH(DATE(対象年度,2,30),祝日リスト,0)),"祝",""))</f>
        <v/>
      </c>
      <c r="D33" s="33"/>
      <c r="E33" s="34"/>
      <c r="F33" s="35" t="str">
        <f t="shared" si="0"/>
        <v/>
      </c>
      <c r="G33" s="36" t="str">
        <f t="shared" si="1"/>
        <v/>
      </c>
      <c r="H33" s="37"/>
      <c r="I33" s="33"/>
      <c r="J33" s="34"/>
      <c r="K33" s="35" t="str">
        <f t="shared" si="2"/>
        <v/>
      </c>
      <c r="L33" s="36" t="str">
        <f t="shared" si="3"/>
        <v/>
      </c>
      <c r="M33" s="37"/>
      <c r="N33" s="33"/>
      <c r="O33" s="34"/>
      <c r="P33" s="35" t="str">
        <f t="shared" si="4"/>
        <v/>
      </c>
      <c r="Q33" s="36" t="str">
        <f t="shared" si="5"/>
        <v/>
      </c>
      <c r="R33" s="37"/>
      <c r="S33" s="33"/>
      <c r="T33" s="34"/>
      <c r="U33" s="35" t="str">
        <f t="shared" si="6"/>
        <v/>
      </c>
      <c r="V33" s="36" t="str">
        <f t="shared" si="7"/>
        <v/>
      </c>
      <c r="W33" s="37"/>
      <c r="X33" s="33"/>
      <c r="Y33" s="34"/>
      <c r="Z33" s="35" t="str">
        <f t="shared" si="8"/>
        <v/>
      </c>
      <c r="AA33" s="36" t="str">
        <f t="shared" si="9"/>
        <v/>
      </c>
      <c r="AB33" s="37"/>
      <c r="AC33" s="33"/>
      <c r="AD33" s="34"/>
      <c r="AE33" s="35" t="str">
        <f t="shared" si="10"/>
        <v/>
      </c>
      <c r="AF33" s="36" t="str">
        <f t="shared" si="11"/>
        <v/>
      </c>
      <c r="AG33" s="37"/>
      <c r="AH33" s="33"/>
      <c r="AI33" s="34"/>
      <c r="AJ33" s="35" t="str">
        <f t="shared" si="12"/>
        <v/>
      </c>
      <c r="AK33" s="36" t="str">
        <f t="shared" si="13"/>
        <v/>
      </c>
      <c r="AL33" s="37"/>
      <c r="AM33" s="33"/>
      <c r="AN33" s="34"/>
      <c r="AO33" s="35" t="str">
        <f t="shared" si="14"/>
        <v/>
      </c>
      <c r="AP33" s="36" t="str">
        <f t="shared" si="15"/>
        <v/>
      </c>
      <c r="AQ33" s="37"/>
      <c r="AR33" s="33"/>
      <c r="AS33" s="34"/>
      <c r="AT33" s="35" t="str">
        <f t="shared" si="16"/>
        <v/>
      </c>
      <c r="AU33" s="36" t="str">
        <f t="shared" si="17"/>
        <v/>
      </c>
      <c r="AV33" s="37"/>
      <c r="AW33" s="33"/>
      <c r="AX33" s="34"/>
      <c r="AY33" s="35" t="str">
        <f t="shared" si="18"/>
        <v/>
      </c>
      <c r="AZ33" s="36" t="str">
        <f t="shared" si="19"/>
        <v/>
      </c>
      <c r="BA33" s="37"/>
      <c r="BB33" s="33"/>
      <c r="BC33" s="34"/>
      <c r="BD33" s="35" t="str">
        <f t="shared" si="20"/>
        <v/>
      </c>
      <c r="BE33" s="36" t="str">
        <f t="shared" si="21"/>
        <v/>
      </c>
      <c r="BF33" s="37"/>
      <c r="BG33" s="33"/>
      <c r="BH33" s="34"/>
      <c r="BI33" s="35" t="str">
        <f t="shared" si="22"/>
        <v/>
      </c>
      <c r="BJ33" s="36" t="str">
        <f t="shared" si="23"/>
        <v/>
      </c>
      <c r="BK33" s="37"/>
      <c r="BL33" s="33"/>
      <c r="BM33" s="34"/>
      <c r="BN33" s="35" t="str">
        <f t="shared" si="24"/>
        <v/>
      </c>
      <c r="BO33" s="36" t="str">
        <f t="shared" si="25"/>
        <v/>
      </c>
      <c r="BP33" s="37"/>
      <c r="BQ33" s="33"/>
      <c r="BR33" s="34"/>
      <c r="BS33" s="35" t="str">
        <f t="shared" si="26"/>
        <v/>
      </c>
      <c r="BT33" s="36" t="str">
        <f t="shared" si="27"/>
        <v/>
      </c>
      <c r="BU33" s="37"/>
      <c r="BV33" s="33"/>
      <c r="BW33" s="34"/>
      <c r="BX33" s="35" t="str">
        <f t="shared" si="28"/>
        <v/>
      </c>
      <c r="BY33" s="36" t="str">
        <f t="shared" si="29"/>
        <v/>
      </c>
      <c r="BZ33" s="37"/>
      <c r="CA33" s="33"/>
      <c r="CB33" s="34"/>
      <c r="CC33" s="35" t="str">
        <f t="shared" si="30"/>
        <v/>
      </c>
      <c r="CD33" s="36" t="str">
        <f t="shared" si="31"/>
        <v/>
      </c>
      <c r="CE33" s="37"/>
      <c r="CF33" s="33"/>
      <c r="CG33" s="34"/>
      <c r="CH33" s="35" t="str">
        <f t="shared" si="32"/>
        <v/>
      </c>
      <c r="CI33" s="36" t="str">
        <f t="shared" si="33"/>
        <v/>
      </c>
      <c r="CJ33" s="37"/>
      <c r="CK33" s="33"/>
      <c r="CL33" s="34"/>
      <c r="CM33" s="35" t="str">
        <f t="shared" si="34"/>
        <v/>
      </c>
      <c r="CN33" s="36" t="str">
        <f t="shared" si="35"/>
        <v/>
      </c>
      <c r="CO33" s="37"/>
      <c r="CP33" s="33"/>
      <c r="CQ33" s="34"/>
      <c r="CR33" s="35" t="str">
        <f t="shared" si="36"/>
        <v/>
      </c>
      <c r="CS33" s="36" t="str">
        <f t="shared" si="37"/>
        <v/>
      </c>
      <c r="CT33" s="37"/>
      <c r="CU33" s="33"/>
      <c r="CV33" s="34"/>
      <c r="CW33" s="35" t="str">
        <f t="shared" si="38"/>
        <v/>
      </c>
      <c r="CX33" s="36" t="str">
        <f t="shared" si="39"/>
        <v/>
      </c>
      <c r="CY33" s="37"/>
      <c r="CZ33" s="33"/>
      <c r="DA33" s="34"/>
      <c r="DB33" s="35" t="str">
        <f t="shared" si="40"/>
        <v/>
      </c>
      <c r="DC33" s="36" t="str">
        <f t="shared" si="41"/>
        <v/>
      </c>
      <c r="DD33" s="37"/>
      <c r="DE33" s="33"/>
      <c r="DF33" s="34"/>
      <c r="DG33" s="35" t="str">
        <f t="shared" si="42"/>
        <v/>
      </c>
      <c r="DH33" s="36" t="str">
        <f t="shared" si="43"/>
        <v/>
      </c>
      <c r="DI33" s="37"/>
      <c r="DJ33" s="33"/>
      <c r="DK33" s="34"/>
      <c r="DL33" s="35" t="str">
        <f t="shared" si="44"/>
        <v/>
      </c>
      <c r="DM33" s="36" t="str">
        <f t="shared" si="45"/>
        <v/>
      </c>
      <c r="DN33" s="37"/>
      <c r="DO33" s="33"/>
      <c r="DP33" s="34"/>
      <c r="DQ33" s="35" t="str">
        <f t="shared" si="46"/>
        <v/>
      </c>
      <c r="DR33" s="36" t="str">
        <f t="shared" si="47"/>
        <v/>
      </c>
      <c r="DS33" s="37"/>
      <c r="DT33" s="33"/>
      <c r="DU33" s="34"/>
      <c r="DV33" s="35" t="str">
        <f t="shared" si="48"/>
        <v/>
      </c>
      <c r="DW33" s="36" t="str">
        <f t="shared" si="49"/>
        <v/>
      </c>
      <c r="DX33" s="37"/>
      <c r="DY33" s="33"/>
      <c r="DZ33" s="34"/>
      <c r="EA33" s="35" t="str">
        <f t="shared" si="50"/>
        <v/>
      </c>
      <c r="EB33" s="36" t="str">
        <f t="shared" si="51"/>
        <v/>
      </c>
      <c r="EC33" s="37"/>
      <c r="ED33" s="33"/>
      <c r="EE33" s="34"/>
      <c r="EF33" s="35" t="str">
        <f t="shared" si="52"/>
        <v/>
      </c>
      <c r="EG33" s="36" t="str">
        <f t="shared" si="53"/>
        <v/>
      </c>
      <c r="EH33" s="37"/>
      <c r="EI33" s="33"/>
      <c r="EJ33" s="34"/>
      <c r="EK33" s="35" t="str">
        <f t="shared" si="54"/>
        <v/>
      </c>
      <c r="EL33" s="36" t="str">
        <f t="shared" si="55"/>
        <v/>
      </c>
      <c r="EM33" s="37"/>
      <c r="EN33" s="33"/>
      <c r="EO33" s="34"/>
      <c r="EP33" s="35" t="str">
        <f t="shared" si="56"/>
        <v/>
      </c>
      <c r="EQ33" s="36" t="str">
        <f t="shared" si="57"/>
        <v/>
      </c>
      <c r="ER33" s="37"/>
      <c r="ES33" s="33"/>
      <c r="ET33" s="34"/>
      <c r="EU33" s="35" t="str">
        <f t="shared" si="58"/>
        <v/>
      </c>
      <c r="EV33" s="36" t="str">
        <f t="shared" si="59"/>
        <v/>
      </c>
      <c r="EW33" s="37"/>
    </row>
    <row r="34" spans="1:153" ht="19.5" customHeight="1">
      <c r="A34" s="39" t="str">
        <f>IF(DAY(DATE(対象年度,2,31))&lt;&gt;31,"",31)</f>
        <v/>
      </c>
      <c r="B34" s="39" t="str">
        <f>IF(DAY(DATE(対象年度,2,31))&lt;&gt;31,"",CHOOSE(WEEKDAY(DATE(対象年度,2,31),2),"月","火","水","木","金","土","日"))</f>
        <v/>
      </c>
      <c r="C34" s="39" t="str">
        <f>IF(DAY(DATE(対象年度,2,31))&lt;&gt;31,"",IF(ISNUMBER(MATCH(DATE(対象年度,2,31),祝日リスト,0)),"祝",""))</f>
        <v/>
      </c>
      <c r="D34" s="40"/>
      <c r="E34" s="41"/>
      <c r="F34" s="42" t="str">
        <f t="shared" si="0"/>
        <v/>
      </c>
      <c r="G34" s="43" t="str">
        <f t="shared" si="1"/>
        <v/>
      </c>
      <c r="H34" s="44"/>
      <c r="I34" s="40"/>
      <c r="J34" s="41"/>
      <c r="K34" s="42" t="str">
        <f t="shared" si="2"/>
        <v/>
      </c>
      <c r="L34" s="43" t="str">
        <f t="shared" si="3"/>
        <v/>
      </c>
      <c r="M34" s="44"/>
      <c r="N34" s="40"/>
      <c r="O34" s="41"/>
      <c r="P34" s="42" t="str">
        <f t="shared" si="4"/>
        <v/>
      </c>
      <c r="Q34" s="43" t="str">
        <f t="shared" si="5"/>
        <v/>
      </c>
      <c r="R34" s="44"/>
      <c r="S34" s="40"/>
      <c r="T34" s="41"/>
      <c r="U34" s="42" t="str">
        <f t="shared" si="6"/>
        <v/>
      </c>
      <c r="V34" s="43" t="str">
        <f t="shared" si="7"/>
        <v/>
      </c>
      <c r="W34" s="44"/>
      <c r="X34" s="40"/>
      <c r="Y34" s="41"/>
      <c r="Z34" s="42" t="str">
        <f t="shared" si="8"/>
        <v/>
      </c>
      <c r="AA34" s="43" t="str">
        <f t="shared" si="9"/>
        <v/>
      </c>
      <c r="AB34" s="44"/>
      <c r="AC34" s="40"/>
      <c r="AD34" s="41"/>
      <c r="AE34" s="42" t="str">
        <f t="shared" si="10"/>
        <v/>
      </c>
      <c r="AF34" s="43" t="str">
        <f t="shared" si="11"/>
        <v/>
      </c>
      <c r="AG34" s="44"/>
      <c r="AH34" s="40"/>
      <c r="AI34" s="41"/>
      <c r="AJ34" s="42" t="str">
        <f t="shared" si="12"/>
        <v/>
      </c>
      <c r="AK34" s="43" t="str">
        <f t="shared" si="13"/>
        <v/>
      </c>
      <c r="AL34" s="44"/>
      <c r="AM34" s="40"/>
      <c r="AN34" s="41"/>
      <c r="AO34" s="42" t="str">
        <f t="shared" si="14"/>
        <v/>
      </c>
      <c r="AP34" s="43" t="str">
        <f t="shared" si="15"/>
        <v/>
      </c>
      <c r="AQ34" s="44"/>
      <c r="AR34" s="40"/>
      <c r="AS34" s="41"/>
      <c r="AT34" s="42" t="str">
        <f t="shared" si="16"/>
        <v/>
      </c>
      <c r="AU34" s="43" t="str">
        <f t="shared" si="17"/>
        <v/>
      </c>
      <c r="AV34" s="44"/>
      <c r="AW34" s="40"/>
      <c r="AX34" s="41"/>
      <c r="AY34" s="42" t="str">
        <f t="shared" si="18"/>
        <v/>
      </c>
      <c r="AZ34" s="43" t="str">
        <f t="shared" si="19"/>
        <v/>
      </c>
      <c r="BA34" s="44"/>
      <c r="BB34" s="40"/>
      <c r="BC34" s="41"/>
      <c r="BD34" s="42" t="str">
        <f t="shared" si="20"/>
        <v/>
      </c>
      <c r="BE34" s="43" t="str">
        <f t="shared" si="21"/>
        <v/>
      </c>
      <c r="BF34" s="44"/>
      <c r="BG34" s="40"/>
      <c r="BH34" s="41"/>
      <c r="BI34" s="42" t="str">
        <f t="shared" si="22"/>
        <v/>
      </c>
      <c r="BJ34" s="43" t="str">
        <f t="shared" si="23"/>
        <v/>
      </c>
      <c r="BK34" s="44"/>
      <c r="BL34" s="40"/>
      <c r="BM34" s="41"/>
      <c r="BN34" s="42" t="str">
        <f t="shared" si="24"/>
        <v/>
      </c>
      <c r="BO34" s="43" t="str">
        <f t="shared" si="25"/>
        <v/>
      </c>
      <c r="BP34" s="44"/>
      <c r="BQ34" s="40"/>
      <c r="BR34" s="41"/>
      <c r="BS34" s="42" t="str">
        <f t="shared" si="26"/>
        <v/>
      </c>
      <c r="BT34" s="43" t="str">
        <f t="shared" si="27"/>
        <v/>
      </c>
      <c r="BU34" s="44"/>
      <c r="BV34" s="40"/>
      <c r="BW34" s="41"/>
      <c r="BX34" s="42" t="str">
        <f t="shared" si="28"/>
        <v/>
      </c>
      <c r="BY34" s="43" t="str">
        <f t="shared" si="29"/>
        <v/>
      </c>
      <c r="BZ34" s="44"/>
      <c r="CA34" s="40"/>
      <c r="CB34" s="41"/>
      <c r="CC34" s="42" t="str">
        <f t="shared" si="30"/>
        <v/>
      </c>
      <c r="CD34" s="43" t="str">
        <f t="shared" si="31"/>
        <v/>
      </c>
      <c r="CE34" s="44"/>
      <c r="CF34" s="40"/>
      <c r="CG34" s="41"/>
      <c r="CH34" s="42" t="str">
        <f t="shared" si="32"/>
        <v/>
      </c>
      <c r="CI34" s="43" t="str">
        <f t="shared" si="33"/>
        <v/>
      </c>
      <c r="CJ34" s="44"/>
      <c r="CK34" s="40"/>
      <c r="CL34" s="41"/>
      <c r="CM34" s="42" t="str">
        <f t="shared" si="34"/>
        <v/>
      </c>
      <c r="CN34" s="43" t="str">
        <f t="shared" si="35"/>
        <v/>
      </c>
      <c r="CO34" s="44"/>
      <c r="CP34" s="40"/>
      <c r="CQ34" s="41"/>
      <c r="CR34" s="42" t="str">
        <f t="shared" si="36"/>
        <v/>
      </c>
      <c r="CS34" s="43" t="str">
        <f t="shared" si="37"/>
        <v/>
      </c>
      <c r="CT34" s="44"/>
      <c r="CU34" s="40"/>
      <c r="CV34" s="41"/>
      <c r="CW34" s="42" t="str">
        <f t="shared" si="38"/>
        <v/>
      </c>
      <c r="CX34" s="43" t="str">
        <f t="shared" si="39"/>
        <v/>
      </c>
      <c r="CY34" s="44"/>
      <c r="CZ34" s="40"/>
      <c r="DA34" s="41"/>
      <c r="DB34" s="42" t="str">
        <f t="shared" si="40"/>
        <v/>
      </c>
      <c r="DC34" s="43" t="str">
        <f t="shared" si="41"/>
        <v/>
      </c>
      <c r="DD34" s="44"/>
      <c r="DE34" s="40"/>
      <c r="DF34" s="41"/>
      <c r="DG34" s="42" t="str">
        <f t="shared" si="42"/>
        <v/>
      </c>
      <c r="DH34" s="43" t="str">
        <f t="shared" si="43"/>
        <v/>
      </c>
      <c r="DI34" s="44"/>
      <c r="DJ34" s="40"/>
      <c r="DK34" s="41"/>
      <c r="DL34" s="42" t="str">
        <f t="shared" si="44"/>
        <v/>
      </c>
      <c r="DM34" s="43" t="str">
        <f t="shared" si="45"/>
        <v/>
      </c>
      <c r="DN34" s="44"/>
      <c r="DO34" s="40"/>
      <c r="DP34" s="41"/>
      <c r="DQ34" s="42" t="str">
        <f t="shared" si="46"/>
        <v/>
      </c>
      <c r="DR34" s="43" t="str">
        <f t="shared" si="47"/>
        <v/>
      </c>
      <c r="DS34" s="44"/>
      <c r="DT34" s="40"/>
      <c r="DU34" s="41"/>
      <c r="DV34" s="42" t="str">
        <f t="shared" si="48"/>
        <v/>
      </c>
      <c r="DW34" s="43" t="str">
        <f t="shared" si="49"/>
        <v/>
      </c>
      <c r="DX34" s="44"/>
      <c r="DY34" s="40"/>
      <c r="DZ34" s="41"/>
      <c r="EA34" s="42" t="str">
        <f t="shared" si="50"/>
        <v/>
      </c>
      <c r="EB34" s="43" t="str">
        <f t="shared" si="51"/>
        <v/>
      </c>
      <c r="EC34" s="44"/>
      <c r="ED34" s="40"/>
      <c r="EE34" s="41"/>
      <c r="EF34" s="42" t="str">
        <f t="shared" si="52"/>
        <v/>
      </c>
      <c r="EG34" s="43" t="str">
        <f t="shared" si="53"/>
        <v/>
      </c>
      <c r="EH34" s="44"/>
      <c r="EI34" s="40"/>
      <c r="EJ34" s="41"/>
      <c r="EK34" s="42" t="str">
        <f t="shared" si="54"/>
        <v/>
      </c>
      <c r="EL34" s="43" t="str">
        <f t="shared" si="55"/>
        <v/>
      </c>
      <c r="EM34" s="44"/>
      <c r="EN34" s="40"/>
      <c r="EO34" s="41"/>
      <c r="EP34" s="42" t="str">
        <f t="shared" si="56"/>
        <v/>
      </c>
      <c r="EQ34" s="43" t="str">
        <f t="shared" si="57"/>
        <v/>
      </c>
      <c r="ER34" s="44"/>
      <c r="ES34" s="40"/>
      <c r="ET34" s="41"/>
      <c r="EU34" s="42" t="str">
        <f t="shared" si="58"/>
        <v/>
      </c>
      <c r="EV34" s="43" t="str">
        <f t="shared" si="59"/>
        <v/>
      </c>
      <c r="EW34" s="44"/>
    </row>
    <row r="35" spans="1:153" ht="21.75" customHeight="1">
      <c r="A35" s="98" t="s">
        <v>120</v>
      </c>
      <c r="B35" s="98"/>
      <c r="C35" s="98"/>
      <c r="D35" s="99">
        <f>COUNTIF(F4:F34,"○")</f>
        <v>18</v>
      </c>
      <c r="E35" s="99"/>
      <c r="F35" s="99"/>
      <c r="G35" s="99"/>
      <c r="H35" s="99"/>
      <c r="I35" s="99">
        <f>COUNTIF(K4:K34,"○")</f>
        <v>19</v>
      </c>
      <c r="J35" s="99"/>
      <c r="K35" s="99"/>
      <c r="L35" s="99"/>
      <c r="M35" s="99"/>
      <c r="N35" s="99">
        <f>COUNTIF(P4:P34,"○")</f>
        <v>23</v>
      </c>
      <c r="O35" s="99"/>
      <c r="P35" s="99"/>
      <c r="Q35" s="99"/>
      <c r="R35" s="99"/>
      <c r="S35" s="99">
        <f>COUNTIF(U4:U34,"○")</f>
        <v>23</v>
      </c>
      <c r="T35" s="99"/>
      <c r="U35" s="99"/>
      <c r="V35" s="99"/>
      <c r="W35" s="99"/>
      <c r="X35" s="99">
        <f>COUNTIF(Z4:Z34,"○")</f>
        <v>23</v>
      </c>
      <c r="Y35" s="99"/>
      <c r="Z35" s="99"/>
      <c r="AA35" s="99"/>
      <c r="AB35" s="99"/>
      <c r="AC35" s="99">
        <f>COUNTIF(AE4:AE34,"○")</f>
        <v>18</v>
      </c>
      <c r="AD35" s="99"/>
      <c r="AE35" s="99"/>
      <c r="AF35" s="99"/>
      <c r="AG35" s="99"/>
      <c r="AH35" s="99">
        <f>COUNTIF(AJ4:AJ34,"○")</f>
        <v>13</v>
      </c>
      <c r="AI35" s="99"/>
      <c r="AJ35" s="99"/>
      <c r="AK35" s="99"/>
      <c r="AL35" s="99"/>
      <c r="AM35" s="99">
        <f>COUNTIF(AO4:AO34,"○")</f>
        <v>18</v>
      </c>
      <c r="AN35" s="99"/>
      <c r="AO35" s="99"/>
      <c r="AP35" s="99"/>
      <c r="AQ35" s="99"/>
      <c r="AR35" s="99">
        <f>COUNTIF(AT4:AT34,"○")</f>
        <v>23</v>
      </c>
      <c r="AS35" s="99"/>
      <c r="AT35" s="99"/>
      <c r="AU35" s="99"/>
      <c r="AV35" s="99"/>
      <c r="AW35" s="99">
        <f>COUNTIF(AY4:AY34,"○")</f>
        <v>18</v>
      </c>
      <c r="AX35" s="99"/>
      <c r="AY35" s="99"/>
      <c r="AZ35" s="99"/>
      <c r="BA35" s="99"/>
      <c r="BB35" s="99">
        <f>COUNTIF(BD4:BD34,"○")</f>
        <v>18</v>
      </c>
      <c r="BC35" s="99"/>
      <c r="BD35" s="99"/>
      <c r="BE35" s="99"/>
      <c r="BF35" s="99"/>
      <c r="BG35" s="99">
        <f>COUNTIF(BI4:BI34,"○")</f>
        <v>23</v>
      </c>
      <c r="BH35" s="99"/>
      <c r="BI35" s="99"/>
      <c r="BJ35" s="99"/>
      <c r="BK35" s="99"/>
      <c r="BL35" s="99">
        <f>COUNTIF(BN4:BN34,"○")</f>
        <v>0</v>
      </c>
      <c r="BM35" s="99"/>
      <c r="BN35" s="99"/>
      <c r="BO35" s="99"/>
      <c r="BP35" s="99"/>
      <c r="BQ35" s="99">
        <f>COUNTIF(BS4:BS34,"○")</f>
        <v>0</v>
      </c>
      <c r="BR35" s="99"/>
      <c r="BS35" s="99"/>
      <c r="BT35" s="99"/>
      <c r="BU35" s="99"/>
      <c r="BV35" s="99">
        <f>COUNTIF(BX4:BX34,"○")</f>
        <v>0</v>
      </c>
      <c r="BW35" s="99"/>
      <c r="BX35" s="99"/>
      <c r="BY35" s="99"/>
      <c r="BZ35" s="99"/>
      <c r="CA35" s="99">
        <f>COUNTIF(CC4:CC34,"○")</f>
        <v>0</v>
      </c>
      <c r="CB35" s="99"/>
      <c r="CC35" s="99"/>
      <c r="CD35" s="99"/>
      <c r="CE35" s="99"/>
      <c r="CF35" s="99">
        <f>COUNTIF(CH4:CH34,"○")</f>
        <v>0</v>
      </c>
      <c r="CG35" s="99"/>
      <c r="CH35" s="99"/>
      <c r="CI35" s="99"/>
      <c r="CJ35" s="99"/>
      <c r="CK35" s="99">
        <f>COUNTIF(CM4:CM34,"○")</f>
        <v>0</v>
      </c>
      <c r="CL35" s="99"/>
      <c r="CM35" s="99"/>
      <c r="CN35" s="99"/>
      <c r="CO35" s="99"/>
      <c r="CP35" s="99">
        <f>COUNTIF(CR4:CR34,"○")</f>
        <v>0</v>
      </c>
      <c r="CQ35" s="99"/>
      <c r="CR35" s="99"/>
      <c r="CS35" s="99"/>
      <c r="CT35" s="99"/>
      <c r="CU35" s="99">
        <f>COUNTIF(CW4:CW34,"○")</f>
        <v>0</v>
      </c>
      <c r="CV35" s="99"/>
      <c r="CW35" s="99"/>
      <c r="CX35" s="99"/>
      <c r="CY35" s="99"/>
      <c r="CZ35" s="99">
        <f>COUNTIF(DB4:DB34,"○")</f>
        <v>0</v>
      </c>
      <c r="DA35" s="99"/>
      <c r="DB35" s="99"/>
      <c r="DC35" s="99"/>
      <c r="DD35" s="99"/>
      <c r="DE35" s="99">
        <f>COUNTIF(DG4:DG34,"○")</f>
        <v>0</v>
      </c>
      <c r="DF35" s="99"/>
      <c r="DG35" s="99"/>
      <c r="DH35" s="99"/>
      <c r="DI35" s="99"/>
      <c r="DJ35" s="99">
        <f>COUNTIF(DL4:DL34,"○")</f>
        <v>0</v>
      </c>
      <c r="DK35" s="99"/>
      <c r="DL35" s="99"/>
      <c r="DM35" s="99"/>
      <c r="DN35" s="99"/>
      <c r="DO35" s="99">
        <f>COUNTIF(DQ4:DQ34,"○")</f>
        <v>0</v>
      </c>
      <c r="DP35" s="99"/>
      <c r="DQ35" s="99"/>
      <c r="DR35" s="99"/>
      <c r="DS35" s="99"/>
      <c r="DT35" s="99">
        <f>COUNTIF(DV4:DV34,"○")</f>
        <v>0</v>
      </c>
      <c r="DU35" s="99"/>
      <c r="DV35" s="99"/>
      <c r="DW35" s="99"/>
      <c r="DX35" s="99"/>
      <c r="DY35" s="99">
        <f>COUNTIF(EA4:EA34,"○")</f>
        <v>0</v>
      </c>
      <c r="DZ35" s="99"/>
      <c r="EA35" s="99"/>
      <c r="EB35" s="99"/>
      <c r="EC35" s="99"/>
      <c r="ED35" s="99">
        <f>COUNTIF(EF4:EF34,"○")</f>
        <v>0</v>
      </c>
      <c r="EE35" s="99"/>
      <c r="EF35" s="99"/>
      <c r="EG35" s="99"/>
      <c r="EH35" s="99"/>
      <c r="EI35" s="99">
        <f>COUNTIF(EK4:EK34,"○")</f>
        <v>0</v>
      </c>
      <c r="EJ35" s="99"/>
      <c r="EK35" s="99"/>
      <c r="EL35" s="99"/>
      <c r="EM35" s="99"/>
      <c r="EN35" s="99">
        <f>COUNTIF(EP4:EP34,"○")</f>
        <v>0</v>
      </c>
      <c r="EO35" s="99"/>
      <c r="EP35" s="99"/>
      <c r="EQ35" s="99"/>
      <c r="ER35" s="99"/>
      <c r="ES35" s="99">
        <f>COUNTIF(EU4:EU34,"○")</f>
        <v>0</v>
      </c>
      <c r="ET35" s="99"/>
      <c r="EU35" s="99"/>
      <c r="EV35" s="99"/>
      <c r="EW35" s="99"/>
    </row>
    <row r="36" spans="1:153" ht="21.75" customHeight="1">
      <c r="A36" s="100" t="s">
        <v>121</v>
      </c>
      <c r="B36" s="100"/>
      <c r="C36" s="100"/>
      <c r="D36" s="101">
        <f>COUNTIF(G4:G34,"○")</f>
        <v>0</v>
      </c>
      <c r="E36" s="101"/>
      <c r="F36" s="101"/>
      <c r="G36" s="101"/>
      <c r="H36" s="101"/>
      <c r="I36" s="101">
        <f>COUNTIF(L4:L34,"○")</f>
        <v>4</v>
      </c>
      <c r="J36" s="101"/>
      <c r="K36" s="101"/>
      <c r="L36" s="101"/>
      <c r="M36" s="101"/>
      <c r="N36" s="101">
        <f>COUNTIF(Q4:Q34,"○")</f>
        <v>0</v>
      </c>
      <c r="O36" s="101"/>
      <c r="P36" s="101"/>
      <c r="Q36" s="101"/>
      <c r="R36" s="101"/>
      <c r="S36" s="101">
        <f>COUNTIF(V4:V34,"○")</f>
        <v>0</v>
      </c>
      <c r="T36" s="101"/>
      <c r="U36" s="101"/>
      <c r="V36" s="101"/>
      <c r="W36" s="101"/>
      <c r="X36" s="101">
        <f>COUNTIF(AA4:AA34,"○")</f>
        <v>0</v>
      </c>
      <c r="Y36" s="101"/>
      <c r="Z36" s="101"/>
      <c r="AA36" s="101"/>
      <c r="AB36" s="101"/>
      <c r="AC36" s="101">
        <f>COUNTIF(AF4:AF34,"○")</f>
        <v>4</v>
      </c>
      <c r="AD36" s="101"/>
      <c r="AE36" s="101"/>
      <c r="AF36" s="101"/>
      <c r="AG36" s="101"/>
      <c r="AH36" s="101">
        <f>COUNTIF(AK4:AK34,"○")</f>
        <v>0</v>
      </c>
      <c r="AI36" s="101"/>
      <c r="AJ36" s="101"/>
      <c r="AK36" s="101"/>
      <c r="AL36" s="101"/>
      <c r="AM36" s="101">
        <f>COUNTIF(AP4:AP34,"○")</f>
        <v>4</v>
      </c>
      <c r="AN36" s="101"/>
      <c r="AO36" s="101"/>
      <c r="AP36" s="101"/>
      <c r="AQ36" s="101"/>
      <c r="AR36" s="101">
        <f>COUNTIF(AU4:AU34,"○")</f>
        <v>0</v>
      </c>
      <c r="AS36" s="101"/>
      <c r="AT36" s="101"/>
      <c r="AU36" s="101"/>
      <c r="AV36" s="101"/>
      <c r="AW36" s="101">
        <f>COUNTIF(AZ4:AZ34,"○")</f>
        <v>0</v>
      </c>
      <c r="AX36" s="101"/>
      <c r="AY36" s="101"/>
      <c r="AZ36" s="101"/>
      <c r="BA36" s="101"/>
      <c r="BB36" s="101">
        <f>COUNTIF(BE4:BE34,"○")</f>
        <v>0</v>
      </c>
      <c r="BC36" s="101"/>
      <c r="BD36" s="101"/>
      <c r="BE36" s="101"/>
      <c r="BF36" s="101"/>
      <c r="BG36" s="101">
        <f>COUNTIF(BJ4:BJ34,"○")</f>
        <v>0</v>
      </c>
      <c r="BH36" s="101"/>
      <c r="BI36" s="101"/>
      <c r="BJ36" s="101"/>
      <c r="BK36" s="101"/>
      <c r="BL36" s="101">
        <f>COUNTIF(BO4:BO34,"○")</f>
        <v>0</v>
      </c>
      <c r="BM36" s="101"/>
      <c r="BN36" s="101"/>
      <c r="BO36" s="101"/>
      <c r="BP36" s="101"/>
      <c r="BQ36" s="101">
        <f>COUNTIF(BT4:BT34,"○")</f>
        <v>0</v>
      </c>
      <c r="BR36" s="101"/>
      <c r="BS36" s="101"/>
      <c r="BT36" s="101"/>
      <c r="BU36" s="101"/>
      <c r="BV36" s="101">
        <f>COUNTIF(BY4:BY34,"○")</f>
        <v>0</v>
      </c>
      <c r="BW36" s="101"/>
      <c r="BX36" s="101"/>
      <c r="BY36" s="101"/>
      <c r="BZ36" s="101"/>
      <c r="CA36" s="101">
        <f>COUNTIF(CD4:CD34,"○")</f>
        <v>0</v>
      </c>
      <c r="CB36" s="101"/>
      <c r="CC36" s="101"/>
      <c r="CD36" s="101"/>
      <c r="CE36" s="101"/>
      <c r="CF36" s="101">
        <f>COUNTIF(CI4:CI34,"○")</f>
        <v>0</v>
      </c>
      <c r="CG36" s="101"/>
      <c r="CH36" s="101"/>
      <c r="CI36" s="101"/>
      <c r="CJ36" s="101"/>
      <c r="CK36" s="101">
        <f>COUNTIF(CN4:CN34,"○")</f>
        <v>0</v>
      </c>
      <c r="CL36" s="101"/>
      <c r="CM36" s="101"/>
      <c r="CN36" s="101"/>
      <c r="CO36" s="101"/>
      <c r="CP36" s="101">
        <f>COUNTIF(CS4:CS34,"○")</f>
        <v>0</v>
      </c>
      <c r="CQ36" s="101"/>
      <c r="CR36" s="101"/>
      <c r="CS36" s="101"/>
      <c r="CT36" s="101"/>
      <c r="CU36" s="101">
        <f>COUNTIF(CX4:CX34,"○")</f>
        <v>0</v>
      </c>
      <c r="CV36" s="101"/>
      <c r="CW36" s="101"/>
      <c r="CX36" s="101"/>
      <c r="CY36" s="101"/>
      <c r="CZ36" s="101">
        <f>COUNTIF(DC4:DC34,"○")</f>
        <v>0</v>
      </c>
      <c r="DA36" s="101"/>
      <c r="DB36" s="101"/>
      <c r="DC36" s="101"/>
      <c r="DD36" s="101"/>
      <c r="DE36" s="101">
        <f>COUNTIF(DH4:DH34,"○")</f>
        <v>0</v>
      </c>
      <c r="DF36" s="101"/>
      <c r="DG36" s="101"/>
      <c r="DH36" s="101"/>
      <c r="DI36" s="101"/>
      <c r="DJ36" s="101">
        <f>COUNTIF(DM4:DM34,"○")</f>
        <v>0</v>
      </c>
      <c r="DK36" s="101"/>
      <c r="DL36" s="101"/>
      <c r="DM36" s="101"/>
      <c r="DN36" s="101"/>
      <c r="DO36" s="101">
        <f>COUNTIF(DR4:DR34,"○")</f>
        <v>0</v>
      </c>
      <c r="DP36" s="101"/>
      <c r="DQ36" s="101"/>
      <c r="DR36" s="101"/>
      <c r="DS36" s="101"/>
      <c r="DT36" s="101">
        <f>COUNTIF(DW4:DW34,"○")</f>
        <v>0</v>
      </c>
      <c r="DU36" s="101"/>
      <c r="DV36" s="101"/>
      <c r="DW36" s="101"/>
      <c r="DX36" s="101"/>
      <c r="DY36" s="101">
        <f>COUNTIF(EB4:EB34,"○")</f>
        <v>0</v>
      </c>
      <c r="DZ36" s="101"/>
      <c r="EA36" s="101"/>
      <c r="EB36" s="101"/>
      <c r="EC36" s="101"/>
      <c r="ED36" s="101">
        <f>COUNTIF(EG4:EG34,"○")</f>
        <v>0</v>
      </c>
      <c r="EE36" s="101"/>
      <c r="EF36" s="101"/>
      <c r="EG36" s="101"/>
      <c r="EH36" s="101"/>
      <c r="EI36" s="101">
        <f>COUNTIF(EL4:EL34,"○")</f>
        <v>0</v>
      </c>
      <c r="EJ36" s="101"/>
      <c r="EK36" s="101"/>
      <c r="EL36" s="101"/>
      <c r="EM36" s="101"/>
      <c r="EN36" s="101">
        <f>COUNTIF(EQ4:EQ34,"○")</f>
        <v>0</v>
      </c>
      <c r="EO36" s="101"/>
      <c r="EP36" s="101"/>
      <c r="EQ36" s="101"/>
      <c r="ER36" s="101"/>
      <c r="ES36" s="101">
        <f>COUNTIF(EV4:EV34,"○")</f>
        <v>0</v>
      </c>
      <c r="ET36" s="101"/>
      <c r="EU36" s="101"/>
      <c r="EV36" s="101"/>
      <c r="EW36" s="101"/>
    </row>
    <row r="37" spans="1:153" ht="21.75" customHeight="1">
      <c r="A37" s="102" t="s">
        <v>122</v>
      </c>
      <c r="B37" s="102"/>
      <c r="C37" s="102"/>
      <c r="D37" s="103">
        <f>D35+D36</f>
        <v>18</v>
      </c>
      <c r="E37" s="103"/>
      <c r="F37" s="103"/>
      <c r="G37" s="103"/>
      <c r="H37" s="103"/>
      <c r="I37" s="103">
        <f>I35+I36</f>
        <v>23</v>
      </c>
      <c r="J37" s="103"/>
      <c r="K37" s="103"/>
      <c r="L37" s="103"/>
      <c r="M37" s="103"/>
      <c r="N37" s="103">
        <f>N35+N36</f>
        <v>23</v>
      </c>
      <c r="O37" s="103"/>
      <c r="P37" s="103"/>
      <c r="Q37" s="103"/>
      <c r="R37" s="103"/>
      <c r="S37" s="103">
        <f>S35+S36</f>
        <v>23</v>
      </c>
      <c r="T37" s="103"/>
      <c r="U37" s="103"/>
      <c r="V37" s="103"/>
      <c r="W37" s="103"/>
      <c r="X37" s="103">
        <f>X35+X36</f>
        <v>23</v>
      </c>
      <c r="Y37" s="103"/>
      <c r="Z37" s="103"/>
      <c r="AA37" s="103"/>
      <c r="AB37" s="103"/>
      <c r="AC37" s="103">
        <f>AC35+AC36</f>
        <v>22</v>
      </c>
      <c r="AD37" s="103"/>
      <c r="AE37" s="103"/>
      <c r="AF37" s="103"/>
      <c r="AG37" s="103"/>
      <c r="AH37" s="103">
        <f>AH35+AH36</f>
        <v>13</v>
      </c>
      <c r="AI37" s="103"/>
      <c r="AJ37" s="103"/>
      <c r="AK37" s="103"/>
      <c r="AL37" s="103"/>
      <c r="AM37" s="103">
        <f>AM35+AM36</f>
        <v>22</v>
      </c>
      <c r="AN37" s="103"/>
      <c r="AO37" s="103"/>
      <c r="AP37" s="103"/>
      <c r="AQ37" s="103"/>
      <c r="AR37" s="103">
        <f>AR35+AR36</f>
        <v>23</v>
      </c>
      <c r="AS37" s="103"/>
      <c r="AT37" s="103"/>
      <c r="AU37" s="103"/>
      <c r="AV37" s="103"/>
      <c r="AW37" s="103">
        <f>AW35+AW36</f>
        <v>18</v>
      </c>
      <c r="AX37" s="103"/>
      <c r="AY37" s="103"/>
      <c r="AZ37" s="103"/>
      <c r="BA37" s="103"/>
      <c r="BB37" s="103">
        <f>BB35+BB36</f>
        <v>18</v>
      </c>
      <c r="BC37" s="103"/>
      <c r="BD37" s="103"/>
      <c r="BE37" s="103"/>
      <c r="BF37" s="103"/>
      <c r="BG37" s="103">
        <f>BG35+BG36</f>
        <v>23</v>
      </c>
      <c r="BH37" s="103"/>
      <c r="BI37" s="103"/>
      <c r="BJ37" s="103"/>
      <c r="BK37" s="103"/>
      <c r="BL37" s="103">
        <f>BL35+BL36</f>
        <v>0</v>
      </c>
      <c r="BM37" s="103"/>
      <c r="BN37" s="103"/>
      <c r="BO37" s="103"/>
      <c r="BP37" s="103"/>
      <c r="BQ37" s="103">
        <f>BQ35+BQ36</f>
        <v>0</v>
      </c>
      <c r="BR37" s="103"/>
      <c r="BS37" s="103"/>
      <c r="BT37" s="103"/>
      <c r="BU37" s="103"/>
      <c r="BV37" s="103">
        <f>BV35+BV36</f>
        <v>0</v>
      </c>
      <c r="BW37" s="103"/>
      <c r="BX37" s="103"/>
      <c r="BY37" s="103"/>
      <c r="BZ37" s="103"/>
      <c r="CA37" s="103">
        <f>CA35+CA36</f>
        <v>0</v>
      </c>
      <c r="CB37" s="103"/>
      <c r="CC37" s="103"/>
      <c r="CD37" s="103"/>
      <c r="CE37" s="103"/>
      <c r="CF37" s="103">
        <f>CF35+CF36</f>
        <v>0</v>
      </c>
      <c r="CG37" s="103"/>
      <c r="CH37" s="103"/>
      <c r="CI37" s="103"/>
      <c r="CJ37" s="103"/>
      <c r="CK37" s="103">
        <f>CK35+CK36</f>
        <v>0</v>
      </c>
      <c r="CL37" s="103"/>
      <c r="CM37" s="103"/>
      <c r="CN37" s="103"/>
      <c r="CO37" s="103"/>
      <c r="CP37" s="103">
        <f>CP35+CP36</f>
        <v>0</v>
      </c>
      <c r="CQ37" s="103"/>
      <c r="CR37" s="103"/>
      <c r="CS37" s="103"/>
      <c r="CT37" s="103"/>
      <c r="CU37" s="103">
        <f>CU35+CU36</f>
        <v>0</v>
      </c>
      <c r="CV37" s="103"/>
      <c r="CW37" s="103"/>
      <c r="CX37" s="103"/>
      <c r="CY37" s="103"/>
      <c r="CZ37" s="103">
        <f>CZ35+CZ36</f>
        <v>0</v>
      </c>
      <c r="DA37" s="103"/>
      <c r="DB37" s="103"/>
      <c r="DC37" s="103"/>
      <c r="DD37" s="103"/>
      <c r="DE37" s="103">
        <f>DE35+DE36</f>
        <v>0</v>
      </c>
      <c r="DF37" s="103"/>
      <c r="DG37" s="103"/>
      <c r="DH37" s="103"/>
      <c r="DI37" s="103"/>
      <c r="DJ37" s="103">
        <f>DJ35+DJ36</f>
        <v>0</v>
      </c>
      <c r="DK37" s="103"/>
      <c r="DL37" s="103"/>
      <c r="DM37" s="103"/>
      <c r="DN37" s="103"/>
      <c r="DO37" s="103">
        <f>DO35+DO36</f>
        <v>0</v>
      </c>
      <c r="DP37" s="103"/>
      <c r="DQ37" s="103"/>
      <c r="DR37" s="103"/>
      <c r="DS37" s="103"/>
      <c r="DT37" s="103">
        <f>DT35+DT36</f>
        <v>0</v>
      </c>
      <c r="DU37" s="103"/>
      <c r="DV37" s="103"/>
      <c r="DW37" s="103"/>
      <c r="DX37" s="103"/>
      <c r="DY37" s="103">
        <f>DY35+DY36</f>
        <v>0</v>
      </c>
      <c r="DZ37" s="103"/>
      <c r="EA37" s="103"/>
      <c r="EB37" s="103"/>
      <c r="EC37" s="103"/>
      <c r="ED37" s="103">
        <f>ED35+ED36</f>
        <v>0</v>
      </c>
      <c r="EE37" s="103"/>
      <c r="EF37" s="103"/>
      <c r="EG37" s="103"/>
      <c r="EH37" s="103"/>
      <c r="EI37" s="103">
        <f>EI35+EI36</f>
        <v>0</v>
      </c>
      <c r="EJ37" s="103"/>
      <c r="EK37" s="103"/>
      <c r="EL37" s="103"/>
      <c r="EM37" s="103"/>
      <c r="EN37" s="103">
        <f>EN35+EN36</f>
        <v>0</v>
      </c>
      <c r="EO37" s="103"/>
      <c r="EP37" s="103"/>
      <c r="EQ37" s="103"/>
      <c r="ER37" s="103"/>
      <c r="ES37" s="103">
        <f>ES35+ES36</f>
        <v>0</v>
      </c>
      <c r="ET37" s="103"/>
      <c r="EU37" s="103"/>
      <c r="EV37" s="103"/>
      <c r="EW37" s="103"/>
    </row>
    <row r="38" spans="1:153" ht="21.75" customHeight="1">
      <c r="A38" s="104" t="s">
        <v>123</v>
      </c>
      <c r="B38" s="104"/>
      <c r="C38" s="104"/>
      <c r="D38" s="105">
        <f>SUM(H4:H34)</f>
        <v>0</v>
      </c>
      <c r="E38" s="105"/>
      <c r="F38" s="105"/>
      <c r="G38" s="105"/>
      <c r="H38" s="105"/>
      <c r="I38" s="105">
        <f>SUM(M4:M34)</f>
        <v>0</v>
      </c>
      <c r="J38" s="105"/>
      <c r="K38" s="105"/>
      <c r="L38" s="105"/>
      <c r="M38" s="105"/>
      <c r="N38" s="105">
        <f>SUM(R4:R34)</f>
        <v>0</v>
      </c>
      <c r="O38" s="105"/>
      <c r="P38" s="105"/>
      <c r="Q38" s="105"/>
      <c r="R38" s="105"/>
      <c r="S38" s="105">
        <f>SUM(W4:W34)</f>
        <v>0</v>
      </c>
      <c r="T38" s="105"/>
      <c r="U38" s="105"/>
      <c r="V38" s="105"/>
      <c r="W38" s="105"/>
      <c r="X38" s="105">
        <f>SUM(AB4:AB34)</f>
        <v>0</v>
      </c>
      <c r="Y38" s="105"/>
      <c r="Z38" s="105"/>
      <c r="AA38" s="105"/>
      <c r="AB38" s="105"/>
      <c r="AC38" s="105">
        <f>SUM(AG4:AG34)</f>
        <v>0</v>
      </c>
      <c r="AD38" s="105"/>
      <c r="AE38" s="105"/>
      <c r="AF38" s="105"/>
      <c r="AG38" s="105"/>
      <c r="AH38" s="105">
        <f>SUM(AL4:AL34)</f>
        <v>0</v>
      </c>
      <c r="AI38" s="105"/>
      <c r="AJ38" s="105"/>
      <c r="AK38" s="105"/>
      <c r="AL38" s="105"/>
      <c r="AM38" s="105">
        <f>SUM(AQ4:AQ34)</f>
        <v>0</v>
      </c>
      <c r="AN38" s="105"/>
      <c r="AO38" s="105"/>
      <c r="AP38" s="105"/>
      <c r="AQ38" s="105"/>
      <c r="AR38" s="105">
        <f>SUM(AV4:AV34)</f>
        <v>0</v>
      </c>
      <c r="AS38" s="105"/>
      <c r="AT38" s="105"/>
      <c r="AU38" s="105"/>
      <c r="AV38" s="105"/>
      <c r="AW38" s="105">
        <f>SUM(BA4:BA34)</f>
        <v>0</v>
      </c>
      <c r="AX38" s="105"/>
      <c r="AY38" s="105"/>
      <c r="AZ38" s="105"/>
      <c r="BA38" s="105"/>
      <c r="BB38" s="105">
        <f>SUM(BF4:BF34)</f>
        <v>0</v>
      </c>
      <c r="BC38" s="105"/>
      <c r="BD38" s="105"/>
      <c r="BE38" s="105"/>
      <c r="BF38" s="105"/>
      <c r="BG38" s="105">
        <f>SUM(BK4:BK34)</f>
        <v>0</v>
      </c>
      <c r="BH38" s="105"/>
      <c r="BI38" s="105"/>
      <c r="BJ38" s="105"/>
      <c r="BK38" s="105"/>
      <c r="BL38" s="105">
        <f>SUM(BP4:BP34)</f>
        <v>0</v>
      </c>
      <c r="BM38" s="105"/>
      <c r="BN38" s="105"/>
      <c r="BO38" s="105"/>
      <c r="BP38" s="105"/>
      <c r="BQ38" s="105">
        <f>SUM(BU4:BU34)</f>
        <v>0</v>
      </c>
      <c r="BR38" s="105"/>
      <c r="BS38" s="105"/>
      <c r="BT38" s="105"/>
      <c r="BU38" s="105"/>
      <c r="BV38" s="105">
        <f>SUM(BZ4:BZ34)</f>
        <v>0</v>
      </c>
      <c r="BW38" s="105"/>
      <c r="BX38" s="105"/>
      <c r="BY38" s="105"/>
      <c r="BZ38" s="105"/>
      <c r="CA38" s="105">
        <f>SUM(CE4:CE34)</f>
        <v>0</v>
      </c>
      <c r="CB38" s="105"/>
      <c r="CC38" s="105"/>
      <c r="CD38" s="105"/>
      <c r="CE38" s="105"/>
      <c r="CF38" s="105">
        <f>SUM(CJ4:CJ34)</f>
        <v>0</v>
      </c>
      <c r="CG38" s="105"/>
      <c r="CH38" s="105"/>
      <c r="CI38" s="105"/>
      <c r="CJ38" s="105"/>
      <c r="CK38" s="105">
        <f>SUM(CO4:CO34)</f>
        <v>0</v>
      </c>
      <c r="CL38" s="105"/>
      <c r="CM38" s="105"/>
      <c r="CN38" s="105"/>
      <c r="CO38" s="105"/>
      <c r="CP38" s="105">
        <f>SUM(CT4:CT34)</f>
        <v>0</v>
      </c>
      <c r="CQ38" s="105"/>
      <c r="CR38" s="105"/>
      <c r="CS38" s="105"/>
      <c r="CT38" s="105"/>
      <c r="CU38" s="105">
        <f>SUM(CY4:CY34)</f>
        <v>0</v>
      </c>
      <c r="CV38" s="105"/>
      <c r="CW38" s="105"/>
      <c r="CX38" s="105"/>
      <c r="CY38" s="105"/>
      <c r="CZ38" s="105">
        <f>SUM(DD4:DD34)</f>
        <v>0</v>
      </c>
      <c r="DA38" s="105"/>
      <c r="DB38" s="105"/>
      <c r="DC38" s="105"/>
      <c r="DD38" s="105"/>
      <c r="DE38" s="105">
        <f>SUM(DI4:DI34)</f>
        <v>0</v>
      </c>
      <c r="DF38" s="105"/>
      <c r="DG38" s="105"/>
      <c r="DH38" s="105"/>
      <c r="DI38" s="105"/>
      <c r="DJ38" s="105">
        <f>SUM(DN4:DN34)</f>
        <v>0</v>
      </c>
      <c r="DK38" s="105"/>
      <c r="DL38" s="105"/>
      <c r="DM38" s="105"/>
      <c r="DN38" s="105"/>
      <c r="DO38" s="105">
        <f>SUM(DS4:DS34)</f>
        <v>0</v>
      </c>
      <c r="DP38" s="105"/>
      <c r="DQ38" s="105"/>
      <c r="DR38" s="105"/>
      <c r="DS38" s="105"/>
      <c r="DT38" s="105">
        <f>SUM(DX4:DX34)</f>
        <v>0</v>
      </c>
      <c r="DU38" s="105"/>
      <c r="DV38" s="105"/>
      <c r="DW38" s="105"/>
      <c r="DX38" s="105"/>
      <c r="DY38" s="105">
        <f>SUM(EC4:EC34)</f>
        <v>0</v>
      </c>
      <c r="DZ38" s="105"/>
      <c r="EA38" s="105"/>
      <c r="EB38" s="105"/>
      <c r="EC38" s="105"/>
      <c r="ED38" s="105">
        <f>SUM(EH4:EH34)</f>
        <v>0</v>
      </c>
      <c r="EE38" s="105"/>
      <c r="EF38" s="105"/>
      <c r="EG38" s="105"/>
      <c r="EH38" s="105"/>
      <c r="EI38" s="105">
        <f>SUM(EM4:EM34)</f>
        <v>0</v>
      </c>
      <c r="EJ38" s="105"/>
      <c r="EK38" s="105"/>
      <c r="EL38" s="105"/>
      <c r="EM38" s="105"/>
      <c r="EN38" s="105">
        <f>SUM(ER4:ER34)</f>
        <v>0</v>
      </c>
      <c r="EO38" s="105"/>
      <c r="EP38" s="105"/>
      <c r="EQ38" s="105"/>
      <c r="ER38" s="105"/>
      <c r="ES38" s="105">
        <f>SUM(EW4:EW34)</f>
        <v>0</v>
      </c>
      <c r="ET38" s="105"/>
      <c r="EU38" s="105"/>
      <c r="EV38" s="105"/>
      <c r="EW38" s="105"/>
    </row>
    <row r="39" spans="1:153" ht="21.75" customHeight="1">
      <c r="A39" s="106" t="s">
        <v>105</v>
      </c>
      <c r="B39" s="106"/>
      <c r="C39" s="106"/>
      <c r="D39" s="107">
        <f>COUNTIF(D4:D34,"有給")</f>
        <v>0</v>
      </c>
      <c r="E39" s="107"/>
      <c r="F39" s="107"/>
      <c r="G39" s="107"/>
      <c r="H39" s="107"/>
      <c r="I39" s="107">
        <f>COUNTIF(I4:I34,"有給")</f>
        <v>1</v>
      </c>
      <c r="J39" s="107"/>
      <c r="K39" s="107"/>
      <c r="L39" s="107"/>
      <c r="M39" s="107"/>
      <c r="N39" s="107">
        <f>COUNTIF(N4:N34,"有給")</f>
        <v>0</v>
      </c>
      <c r="O39" s="107"/>
      <c r="P39" s="107"/>
      <c r="Q39" s="107"/>
      <c r="R39" s="107"/>
      <c r="S39" s="107">
        <f>COUNTIF(S4:S34,"有給")</f>
        <v>0</v>
      </c>
      <c r="T39" s="107"/>
      <c r="U39" s="107"/>
      <c r="V39" s="107"/>
      <c r="W39" s="107"/>
      <c r="X39" s="107">
        <f>COUNTIF(X4:X34,"有給")</f>
        <v>5</v>
      </c>
      <c r="Y39" s="107"/>
      <c r="Z39" s="107"/>
      <c r="AA39" s="107"/>
      <c r="AB39" s="107"/>
      <c r="AC39" s="107">
        <f>COUNTIF(AC4:AC34,"有給")</f>
        <v>4</v>
      </c>
      <c r="AD39" s="107"/>
      <c r="AE39" s="107"/>
      <c r="AF39" s="107"/>
      <c r="AG39" s="107"/>
      <c r="AH39" s="107">
        <f>COUNTIF(AH4:AH34,"有給")</f>
        <v>0</v>
      </c>
      <c r="AI39" s="107"/>
      <c r="AJ39" s="107"/>
      <c r="AK39" s="107"/>
      <c r="AL39" s="107"/>
      <c r="AM39" s="107">
        <f>COUNTIF(AM4:AM34,"有給")</f>
        <v>2</v>
      </c>
      <c r="AN39" s="107"/>
      <c r="AO39" s="107"/>
      <c r="AP39" s="107"/>
      <c r="AQ39" s="107"/>
      <c r="AR39" s="107">
        <f>COUNTIF(AR4:AR34,"有給")</f>
        <v>1</v>
      </c>
      <c r="AS39" s="107"/>
      <c r="AT39" s="107"/>
      <c r="AU39" s="107"/>
      <c r="AV39" s="107"/>
      <c r="AW39" s="107">
        <f>COUNTIF(AW4:AW34,"有給")</f>
        <v>0</v>
      </c>
      <c r="AX39" s="107"/>
      <c r="AY39" s="107"/>
      <c r="AZ39" s="107"/>
      <c r="BA39" s="107"/>
      <c r="BB39" s="107">
        <f>COUNTIF(BB4:BB34,"有給")</f>
        <v>0</v>
      </c>
      <c r="BC39" s="107"/>
      <c r="BD39" s="107"/>
      <c r="BE39" s="107"/>
      <c r="BF39" s="107"/>
      <c r="BG39" s="107">
        <f>COUNTIF(BG4:BG34,"有給")</f>
        <v>2</v>
      </c>
      <c r="BH39" s="107"/>
      <c r="BI39" s="107"/>
      <c r="BJ39" s="107"/>
      <c r="BK39" s="107"/>
      <c r="BL39" s="107">
        <f>COUNTIF(BL4:BL34,"有給")</f>
        <v>0</v>
      </c>
      <c r="BM39" s="107"/>
      <c r="BN39" s="107"/>
      <c r="BO39" s="107"/>
      <c r="BP39" s="107"/>
      <c r="BQ39" s="107">
        <f>COUNTIF(BQ4:BQ34,"有給")</f>
        <v>0</v>
      </c>
      <c r="BR39" s="107"/>
      <c r="BS39" s="107"/>
      <c r="BT39" s="107"/>
      <c r="BU39" s="107"/>
      <c r="BV39" s="107">
        <f>COUNTIF(BV4:BV34,"有給")</f>
        <v>0</v>
      </c>
      <c r="BW39" s="107"/>
      <c r="BX39" s="107"/>
      <c r="BY39" s="107"/>
      <c r="BZ39" s="107"/>
      <c r="CA39" s="107">
        <f>COUNTIF(CA4:CA34,"有給")</f>
        <v>0</v>
      </c>
      <c r="CB39" s="107"/>
      <c r="CC39" s="107"/>
      <c r="CD39" s="107"/>
      <c r="CE39" s="107"/>
      <c r="CF39" s="107">
        <f>COUNTIF(CF4:CF34,"有給")</f>
        <v>0</v>
      </c>
      <c r="CG39" s="107"/>
      <c r="CH39" s="107"/>
      <c r="CI39" s="107"/>
      <c r="CJ39" s="107"/>
      <c r="CK39" s="107">
        <f>COUNTIF(CK4:CK34,"有給")</f>
        <v>0</v>
      </c>
      <c r="CL39" s="107"/>
      <c r="CM39" s="107"/>
      <c r="CN39" s="107"/>
      <c r="CO39" s="107"/>
      <c r="CP39" s="107">
        <f>COUNTIF(CP4:CP34,"有給")</f>
        <v>0</v>
      </c>
      <c r="CQ39" s="107"/>
      <c r="CR39" s="107"/>
      <c r="CS39" s="107"/>
      <c r="CT39" s="107"/>
      <c r="CU39" s="107">
        <f>COUNTIF(CU4:CU34,"有給")</f>
        <v>0</v>
      </c>
      <c r="CV39" s="107"/>
      <c r="CW39" s="107"/>
      <c r="CX39" s="107"/>
      <c r="CY39" s="107"/>
      <c r="CZ39" s="107">
        <f>COUNTIF(CZ4:CZ34,"有給")</f>
        <v>0</v>
      </c>
      <c r="DA39" s="107"/>
      <c r="DB39" s="107"/>
      <c r="DC39" s="107"/>
      <c r="DD39" s="107"/>
      <c r="DE39" s="107">
        <f>COUNTIF(DE4:DE34,"有給")</f>
        <v>0</v>
      </c>
      <c r="DF39" s="107"/>
      <c r="DG39" s="107"/>
      <c r="DH39" s="107"/>
      <c r="DI39" s="107"/>
      <c r="DJ39" s="107">
        <f>COUNTIF(DJ4:DJ34,"有給")</f>
        <v>0</v>
      </c>
      <c r="DK39" s="107"/>
      <c r="DL39" s="107"/>
      <c r="DM39" s="107"/>
      <c r="DN39" s="107"/>
      <c r="DO39" s="107">
        <f>COUNTIF(DO4:DO34,"有給")</f>
        <v>0</v>
      </c>
      <c r="DP39" s="107"/>
      <c r="DQ39" s="107"/>
      <c r="DR39" s="107"/>
      <c r="DS39" s="107"/>
      <c r="DT39" s="107">
        <f>COUNTIF(DT4:DT34,"有給")</f>
        <v>0</v>
      </c>
      <c r="DU39" s="107"/>
      <c r="DV39" s="107"/>
      <c r="DW39" s="107"/>
      <c r="DX39" s="107"/>
      <c r="DY39" s="107">
        <f>COUNTIF(DY4:DY34,"有給")</f>
        <v>0</v>
      </c>
      <c r="DZ39" s="107"/>
      <c r="EA39" s="107"/>
      <c r="EB39" s="107"/>
      <c r="EC39" s="107"/>
      <c r="ED39" s="107">
        <f>COUNTIF(ED4:ED34,"有給")</f>
        <v>0</v>
      </c>
      <c r="EE39" s="107"/>
      <c r="EF39" s="107"/>
      <c r="EG39" s="107"/>
      <c r="EH39" s="107"/>
      <c r="EI39" s="107">
        <f>COUNTIF(EI4:EI34,"有給")</f>
        <v>0</v>
      </c>
      <c r="EJ39" s="107"/>
      <c r="EK39" s="107"/>
      <c r="EL39" s="107"/>
      <c r="EM39" s="107"/>
      <c r="EN39" s="107">
        <f>COUNTIF(EN4:EN34,"有給")</f>
        <v>0</v>
      </c>
      <c r="EO39" s="107"/>
      <c r="EP39" s="107"/>
      <c r="EQ39" s="107"/>
      <c r="ER39" s="107"/>
      <c r="ES39" s="107">
        <f>COUNTIF(ES4:ES34,"有給")</f>
        <v>0</v>
      </c>
      <c r="ET39" s="107"/>
      <c r="EU39" s="107"/>
      <c r="EV39" s="107"/>
      <c r="EW39" s="107"/>
    </row>
    <row r="40" spans="1:153" ht="21.75" customHeight="1">
      <c r="A40" s="108" t="s">
        <v>106</v>
      </c>
      <c r="B40" s="108"/>
      <c r="C40" s="108"/>
      <c r="D40" s="109">
        <f>COUNTIF(D4:D34,"休業")</f>
        <v>0</v>
      </c>
      <c r="E40" s="109"/>
      <c r="F40" s="109"/>
      <c r="G40" s="109"/>
      <c r="H40" s="109"/>
      <c r="I40" s="109">
        <f>COUNTIF(I4:I34,"休業")</f>
        <v>0</v>
      </c>
      <c r="J40" s="109"/>
      <c r="K40" s="109"/>
      <c r="L40" s="109"/>
      <c r="M40" s="109"/>
      <c r="N40" s="109">
        <f>COUNTIF(N4:N34,"休業")</f>
        <v>0</v>
      </c>
      <c r="O40" s="109"/>
      <c r="P40" s="109"/>
      <c r="Q40" s="109"/>
      <c r="R40" s="109"/>
      <c r="S40" s="109">
        <f>COUNTIF(S4:S34,"休業")</f>
        <v>0</v>
      </c>
      <c r="T40" s="109"/>
      <c r="U40" s="109"/>
      <c r="V40" s="109"/>
      <c r="W40" s="109"/>
      <c r="X40" s="109">
        <f>COUNTIF(X4:X34,"休業")</f>
        <v>0</v>
      </c>
      <c r="Y40" s="109"/>
      <c r="Z40" s="109"/>
      <c r="AA40" s="109"/>
      <c r="AB40" s="109"/>
      <c r="AC40" s="109">
        <f>COUNTIF(AC4:AC34,"休業")</f>
        <v>0</v>
      </c>
      <c r="AD40" s="109"/>
      <c r="AE40" s="109"/>
      <c r="AF40" s="109"/>
      <c r="AG40" s="109"/>
      <c r="AH40" s="109">
        <f>COUNTIF(AH4:AH34,"休業")</f>
        <v>0</v>
      </c>
      <c r="AI40" s="109"/>
      <c r="AJ40" s="109"/>
      <c r="AK40" s="109"/>
      <c r="AL40" s="109"/>
      <c r="AM40" s="109">
        <f>COUNTIF(AM4:AM34,"休業")</f>
        <v>0</v>
      </c>
      <c r="AN40" s="109"/>
      <c r="AO40" s="109"/>
      <c r="AP40" s="109"/>
      <c r="AQ40" s="109"/>
      <c r="AR40" s="109">
        <f>COUNTIF(AR4:AR34,"休業")</f>
        <v>0</v>
      </c>
      <c r="AS40" s="109"/>
      <c r="AT40" s="109"/>
      <c r="AU40" s="109"/>
      <c r="AV40" s="109"/>
      <c r="AW40" s="109">
        <f>COUNTIF(AW4:AW34,"休業")</f>
        <v>0</v>
      </c>
      <c r="AX40" s="109"/>
      <c r="AY40" s="109"/>
      <c r="AZ40" s="109"/>
      <c r="BA40" s="109"/>
      <c r="BB40" s="109">
        <f>COUNTIF(BB4:BB34,"休業")</f>
        <v>0</v>
      </c>
      <c r="BC40" s="109"/>
      <c r="BD40" s="109"/>
      <c r="BE40" s="109"/>
      <c r="BF40" s="109"/>
      <c r="BG40" s="109">
        <f>COUNTIF(BG4:BG34,"休業")</f>
        <v>0</v>
      </c>
      <c r="BH40" s="109"/>
      <c r="BI40" s="109"/>
      <c r="BJ40" s="109"/>
      <c r="BK40" s="109"/>
      <c r="BL40" s="109">
        <f>COUNTIF(BL4:BL34,"休業")</f>
        <v>0</v>
      </c>
      <c r="BM40" s="109"/>
      <c r="BN40" s="109"/>
      <c r="BO40" s="109"/>
      <c r="BP40" s="109"/>
      <c r="BQ40" s="109">
        <f>COUNTIF(BQ4:BQ34,"休業")</f>
        <v>0</v>
      </c>
      <c r="BR40" s="109"/>
      <c r="BS40" s="109"/>
      <c r="BT40" s="109"/>
      <c r="BU40" s="109"/>
      <c r="BV40" s="109">
        <f>COUNTIF(BV4:BV34,"休業")</f>
        <v>0</v>
      </c>
      <c r="BW40" s="109"/>
      <c r="BX40" s="109"/>
      <c r="BY40" s="109"/>
      <c r="BZ40" s="109"/>
      <c r="CA40" s="109">
        <f>COUNTIF(CA4:CA34,"休業")</f>
        <v>0</v>
      </c>
      <c r="CB40" s="109"/>
      <c r="CC40" s="109"/>
      <c r="CD40" s="109"/>
      <c r="CE40" s="109"/>
      <c r="CF40" s="109">
        <f>COUNTIF(CF4:CF34,"休業")</f>
        <v>0</v>
      </c>
      <c r="CG40" s="109"/>
      <c r="CH40" s="109"/>
      <c r="CI40" s="109"/>
      <c r="CJ40" s="109"/>
      <c r="CK40" s="109">
        <f>COUNTIF(CK4:CK34,"休業")</f>
        <v>0</v>
      </c>
      <c r="CL40" s="109"/>
      <c r="CM40" s="109"/>
      <c r="CN40" s="109"/>
      <c r="CO40" s="109"/>
      <c r="CP40" s="109">
        <f>COUNTIF(CP4:CP34,"休業")</f>
        <v>0</v>
      </c>
      <c r="CQ40" s="109"/>
      <c r="CR40" s="109"/>
      <c r="CS40" s="109"/>
      <c r="CT40" s="109"/>
      <c r="CU40" s="109">
        <f>COUNTIF(CU4:CU34,"休業")</f>
        <v>0</v>
      </c>
      <c r="CV40" s="109"/>
      <c r="CW40" s="109"/>
      <c r="CX40" s="109"/>
      <c r="CY40" s="109"/>
      <c r="CZ40" s="109">
        <f>COUNTIF(CZ4:CZ34,"休業")</f>
        <v>0</v>
      </c>
      <c r="DA40" s="109"/>
      <c r="DB40" s="109"/>
      <c r="DC40" s="109"/>
      <c r="DD40" s="109"/>
      <c r="DE40" s="109">
        <f>COUNTIF(DE4:DE34,"休業")</f>
        <v>0</v>
      </c>
      <c r="DF40" s="109"/>
      <c r="DG40" s="109"/>
      <c r="DH40" s="109"/>
      <c r="DI40" s="109"/>
      <c r="DJ40" s="109">
        <f>COUNTIF(DJ4:DJ34,"休業")</f>
        <v>0</v>
      </c>
      <c r="DK40" s="109"/>
      <c r="DL40" s="109"/>
      <c r="DM40" s="109"/>
      <c r="DN40" s="109"/>
      <c r="DO40" s="109">
        <f>COUNTIF(DO4:DO34,"休業")</f>
        <v>0</v>
      </c>
      <c r="DP40" s="109"/>
      <c r="DQ40" s="109"/>
      <c r="DR40" s="109"/>
      <c r="DS40" s="109"/>
      <c r="DT40" s="109">
        <f>COUNTIF(DT4:DT34,"休業")</f>
        <v>0</v>
      </c>
      <c r="DU40" s="109"/>
      <c r="DV40" s="109"/>
      <c r="DW40" s="109"/>
      <c r="DX40" s="109"/>
      <c r="DY40" s="109">
        <f>COUNTIF(DY4:DY34,"休業")</f>
        <v>0</v>
      </c>
      <c r="DZ40" s="109"/>
      <c r="EA40" s="109"/>
      <c r="EB40" s="109"/>
      <c r="EC40" s="109"/>
      <c r="ED40" s="109">
        <f>COUNTIF(ED4:ED34,"休業")</f>
        <v>0</v>
      </c>
      <c r="EE40" s="109"/>
      <c r="EF40" s="109"/>
      <c r="EG40" s="109"/>
      <c r="EH40" s="109"/>
      <c r="EI40" s="109">
        <f>COUNTIF(EI4:EI34,"休業")</f>
        <v>0</v>
      </c>
      <c r="EJ40" s="109"/>
      <c r="EK40" s="109"/>
      <c r="EL40" s="109"/>
      <c r="EM40" s="109"/>
      <c r="EN40" s="109">
        <f>COUNTIF(EN4:EN34,"休業")</f>
        <v>0</v>
      </c>
      <c r="EO40" s="109"/>
      <c r="EP40" s="109"/>
      <c r="EQ40" s="109"/>
      <c r="ER40" s="109"/>
      <c r="ES40" s="109">
        <f>COUNTIF(ES4:ES34,"休業")</f>
        <v>0</v>
      </c>
      <c r="ET40" s="109"/>
      <c r="EU40" s="109"/>
      <c r="EV40" s="109"/>
      <c r="EW40" s="109"/>
    </row>
  </sheetData>
  <mergeCells count="217">
    <mergeCell ref="ED40:EH40"/>
    <mergeCell ref="EI40:EM40"/>
    <mergeCell ref="EN40:ER40"/>
    <mergeCell ref="ES40:EW40"/>
    <mergeCell ref="CK40:CO40"/>
    <mergeCell ref="CP40:CT40"/>
    <mergeCell ref="CU40:CY40"/>
    <mergeCell ref="CZ40:DD40"/>
    <mergeCell ref="DE40:DI40"/>
    <mergeCell ref="DJ40:DN40"/>
    <mergeCell ref="DO40:DS40"/>
    <mergeCell ref="DT40:DX40"/>
    <mergeCell ref="DY40:EC40"/>
    <mergeCell ref="DT39:DX39"/>
    <mergeCell ref="DY39:EC39"/>
    <mergeCell ref="ED39:EH39"/>
    <mergeCell ref="EI39:EM39"/>
    <mergeCell ref="EN39:ER39"/>
    <mergeCell ref="ES39:EW39"/>
    <mergeCell ref="A40:C40"/>
    <mergeCell ref="D40:H40"/>
    <mergeCell ref="I40:M40"/>
    <mergeCell ref="N40:R40"/>
    <mergeCell ref="S40:W40"/>
    <mergeCell ref="X40:AB40"/>
    <mergeCell ref="AC40:AG40"/>
    <mergeCell ref="AH40:AL40"/>
    <mergeCell ref="AM40:AQ40"/>
    <mergeCell ref="AR40:AV40"/>
    <mergeCell ref="AW40:BA40"/>
    <mergeCell ref="BB40:BF40"/>
    <mergeCell ref="BG40:BK40"/>
    <mergeCell ref="BL40:BP40"/>
    <mergeCell ref="BQ40:BU40"/>
    <mergeCell ref="BV40:BZ40"/>
    <mergeCell ref="CA40:CE40"/>
    <mergeCell ref="CF40:CJ40"/>
    <mergeCell ref="CA39:CE39"/>
    <mergeCell ref="CF39:CJ39"/>
    <mergeCell ref="CK39:CO39"/>
    <mergeCell ref="CP39:CT39"/>
    <mergeCell ref="CU39:CY39"/>
    <mergeCell ref="CZ39:DD39"/>
    <mergeCell ref="DE39:DI39"/>
    <mergeCell ref="DJ39:DN39"/>
    <mergeCell ref="DO39:DS39"/>
    <mergeCell ref="DJ38:DN38"/>
    <mergeCell ref="DO38:DS38"/>
    <mergeCell ref="DT38:DX38"/>
    <mergeCell ref="DY38:EC38"/>
    <mergeCell ref="ED38:EH38"/>
    <mergeCell ref="EI38:EM38"/>
    <mergeCell ref="EN38:ER38"/>
    <mergeCell ref="ES38:EW38"/>
    <mergeCell ref="A39:C39"/>
    <mergeCell ref="D39:H39"/>
    <mergeCell ref="I39:M39"/>
    <mergeCell ref="N39:R39"/>
    <mergeCell ref="S39:W39"/>
    <mergeCell ref="X39:AB39"/>
    <mergeCell ref="AC39:AG39"/>
    <mergeCell ref="AH39:AL39"/>
    <mergeCell ref="AM39:AQ39"/>
    <mergeCell ref="AR39:AV39"/>
    <mergeCell ref="AW39:BA39"/>
    <mergeCell ref="BB39:BF39"/>
    <mergeCell ref="BG39:BK39"/>
    <mergeCell ref="BL39:BP39"/>
    <mergeCell ref="BQ39:BU39"/>
    <mergeCell ref="BV39:BZ39"/>
    <mergeCell ref="ES37:EW37"/>
    <mergeCell ref="A38:C38"/>
    <mergeCell ref="D38:H38"/>
    <mergeCell ref="I38:M38"/>
    <mergeCell ref="N38:R38"/>
    <mergeCell ref="S38:W38"/>
    <mergeCell ref="X38:AB38"/>
    <mergeCell ref="AC38:AG38"/>
    <mergeCell ref="AH38:AL38"/>
    <mergeCell ref="AM38:AQ38"/>
    <mergeCell ref="AR38:AV38"/>
    <mergeCell ref="AW38:BA38"/>
    <mergeCell ref="BB38:BF38"/>
    <mergeCell ref="BG38:BK38"/>
    <mergeCell ref="BL38:BP38"/>
    <mergeCell ref="BQ38:BU38"/>
    <mergeCell ref="BV38:BZ38"/>
    <mergeCell ref="CA38:CE38"/>
    <mergeCell ref="CF38:CJ38"/>
    <mergeCell ref="CK38:CO38"/>
    <mergeCell ref="CP38:CT38"/>
    <mergeCell ref="CU38:CY38"/>
    <mergeCell ref="CZ38:DD38"/>
    <mergeCell ref="DE38:DI38"/>
    <mergeCell ref="CZ37:DD37"/>
    <mergeCell ref="DE37:DI37"/>
    <mergeCell ref="DJ37:DN37"/>
    <mergeCell ref="DO37:DS37"/>
    <mergeCell ref="DT37:DX37"/>
    <mergeCell ref="DY37:EC37"/>
    <mergeCell ref="ED37:EH37"/>
    <mergeCell ref="EI37:EM37"/>
    <mergeCell ref="EN37:ER37"/>
    <mergeCell ref="EI36:EM36"/>
    <mergeCell ref="EN36:ER36"/>
    <mergeCell ref="ES36:EW36"/>
    <mergeCell ref="A37:C37"/>
    <mergeCell ref="D37:H37"/>
    <mergeCell ref="I37:M37"/>
    <mergeCell ref="N37:R37"/>
    <mergeCell ref="S37:W37"/>
    <mergeCell ref="X37:AB37"/>
    <mergeCell ref="AC37:AG37"/>
    <mergeCell ref="AH37:AL37"/>
    <mergeCell ref="AM37:AQ37"/>
    <mergeCell ref="AR37:AV37"/>
    <mergeCell ref="AW37:BA37"/>
    <mergeCell ref="BB37:BF37"/>
    <mergeCell ref="BG37:BK37"/>
    <mergeCell ref="BL37:BP37"/>
    <mergeCell ref="BQ37:BU37"/>
    <mergeCell ref="BV37:BZ37"/>
    <mergeCell ref="CA37:CE37"/>
    <mergeCell ref="CF37:CJ37"/>
    <mergeCell ref="CK37:CO37"/>
    <mergeCell ref="CP37:CT37"/>
    <mergeCell ref="CU37:CY37"/>
    <mergeCell ref="CP36:CT36"/>
    <mergeCell ref="CU36:CY36"/>
    <mergeCell ref="CZ36:DD36"/>
    <mergeCell ref="DE36:DI36"/>
    <mergeCell ref="DJ36:DN36"/>
    <mergeCell ref="DO36:DS36"/>
    <mergeCell ref="DT36:DX36"/>
    <mergeCell ref="DY36:EC36"/>
    <mergeCell ref="ED36:EH36"/>
    <mergeCell ref="DY35:EC35"/>
    <mergeCell ref="ED35:EH35"/>
    <mergeCell ref="EI35:EM35"/>
    <mergeCell ref="EN35:ER35"/>
    <mergeCell ref="ES35:EW35"/>
    <mergeCell ref="A36:C36"/>
    <mergeCell ref="D36:H36"/>
    <mergeCell ref="I36:M36"/>
    <mergeCell ref="N36:R36"/>
    <mergeCell ref="S36:W36"/>
    <mergeCell ref="X36:AB36"/>
    <mergeCell ref="AC36:AG36"/>
    <mergeCell ref="AH36:AL36"/>
    <mergeCell ref="AM36:AQ36"/>
    <mergeCell ref="AR36:AV36"/>
    <mergeCell ref="AW36:BA36"/>
    <mergeCell ref="BB36:BF36"/>
    <mergeCell ref="BG36:BK36"/>
    <mergeCell ref="BL36:BP36"/>
    <mergeCell ref="BQ36:BU36"/>
    <mergeCell ref="BV36:BZ36"/>
    <mergeCell ref="CA36:CE36"/>
    <mergeCell ref="CF36:CJ36"/>
    <mergeCell ref="CK36:CO36"/>
    <mergeCell ref="CF35:CJ35"/>
    <mergeCell ref="CK35:CO35"/>
    <mergeCell ref="CP35:CT35"/>
    <mergeCell ref="CU35:CY35"/>
    <mergeCell ref="CZ35:DD35"/>
    <mergeCell ref="DE35:DI35"/>
    <mergeCell ref="DJ35:DN35"/>
    <mergeCell ref="DO35:DS35"/>
    <mergeCell ref="DT35:DX35"/>
    <mergeCell ref="DO2:DS2"/>
    <mergeCell ref="DT2:DX2"/>
    <mergeCell ref="DY2:EC2"/>
    <mergeCell ref="ED2:EH2"/>
    <mergeCell ref="EI2:EM2"/>
    <mergeCell ref="EN2:ER2"/>
    <mergeCell ref="ES2:EW2"/>
    <mergeCell ref="A35:C35"/>
    <mergeCell ref="D35:H35"/>
    <mergeCell ref="I35:M35"/>
    <mergeCell ref="N35:R35"/>
    <mergeCell ref="S35:W35"/>
    <mergeCell ref="X35:AB35"/>
    <mergeCell ref="AC35:AG35"/>
    <mergeCell ref="AH35:AL35"/>
    <mergeCell ref="AM35:AQ35"/>
    <mergeCell ref="AR35:AV35"/>
    <mergeCell ref="AW35:BA35"/>
    <mergeCell ref="BB35:BF35"/>
    <mergeCell ref="BG35:BK35"/>
    <mergeCell ref="BL35:BP35"/>
    <mergeCell ref="BQ35:BU35"/>
    <mergeCell ref="BV35:BZ35"/>
    <mergeCell ref="CA35:CE35"/>
    <mergeCell ref="A1:EW1"/>
    <mergeCell ref="D2:H2"/>
    <mergeCell ref="I2:M2"/>
    <mergeCell ref="N2:R2"/>
    <mergeCell ref="S2:W2"/>
    <mergeCell ref="X2:AB2"/>
    <mergeCell ref="AC2:AG2"/>
    <mergeCell ref="AH2:AL2"/>
    <mergeCell ref="AM2:AQ2"/>
    <mergeCell ref="AR2:AV2"/>
    <mergeCell ref="AW2:BA2"/>
    <mergeCell ref="BB2:BF2"/>
    <mergeCell ref="BG2:BK2"/>
    <mergeCell ref="BL2:BP2"/>
    <mergeCell ref="BQ2:BU2"/>
    <mergeCell ref="BV2:BZ2"/>
    <mergeCell ref="CA2:CE2"/>
    <mergeCell ref="CF2:CJ2"/>
    <mergeCell ref="CK2:CO2"/>
    <mergeCell ref="CP2:CT2"/>
    <mergeCell ref="CU2:CY2"/>
    <mergeCell ref="CZ2:DD2"/>
    <mergeCell ref="DE2:DI2"/>
    <mergeCell ref="DJ2:DN2"/>
  </mergeCells>
  <phoneticPr fontId="51"/>
  <conditionalFormatting sqref="A4:EW34">
    <cfRule type="expression" dxfId="757" priority="63">
      <formula>$B4="日"</formula>
    </cfRule>
    <cfRule type="expression" dxfId="756" priority="64">
      <formula>$B4="土"</formula>
    </cfRule>
    <cfRule type="expression" dxfId="755" priority="62">
      <formula>AND($A4&lt;&gt;"",ISNUMBER(MATCH(DATE(対象年度,2,$A4),祝日リスト,0)))</formula>
    </cfRule>
  </conditionalFormatting>
  <conditionalFormatting sqref="D4:D34">
    <cfRule type="expression" dxfId="754" priority="3">
      <formula>$D4="休業"</formula>
    </cfRule>
    <cfRule type="expression" dxfId="753" priority="2">
      <formula>$D4="有給"</formula>
    </cfRule>
  </conditionalFormatting>
  <conditionalFormatting sqref="I4:I34">
    <cfRule type="expression" dxfId="752" priority="4">
      <formula>$I4="有給"</formula>
    </cfRule>
    <cfRule type="expression" dxfId="751" priority="5">
      <formula>$I4="休業"</formula>
    </cfRule>
  </conditionalFormatting>
  <conditionalFormatting sqref="N4:N34">
    <cfRule type="expression" dxfId="750" priority="6">
      <formula>$N4="有給"</formula>
    </cfRule>
    <cfRule type="expression" dxfId="749" priority="7">
      <formula>$N4="休業"</formula>
    </cfRule>
  </conditionalFormatting>
  <conditionalFormatting sqref="S4:S34">
    <cfRule type="expression" dxfId="748" priority="8">
      <formula>$S4="有給"</formula>
    </cfRule>
    <cfRule type="expression" dxfId="747" priority="9">
      <formula>$S4="休業"</formula>
    </cfRule>
  </conditionalFormatting>
  <conditionalFormatting sqref="X4:X34">
    <cfRule type="expression" dxfId="746" priority="10">
      <formula>$X4="有給"</formula>
    </cfRule>
    <cfRule type="expression" dxfId="745" priority="11">
      <formula>$X4="休業"</formula>
    </cfRule>
  </conditionalFormatting>
  <conditionalFormatting sqref="AC4:AC34">
    <cfRule type="expression" dxfId="744" priority="12">
      <formula>$AC4="有給"</formula>
    </cfRule>
    <cfRule type="expression" dxfId="743" priority="13">
      <formula>$AC4="休業"</formula>
    </cfRule>
  </conditionalFormatting>
  <conditionalFormatting sqref="AH4:AH34">
    <cfRule type="expression" dxfId="742" priority="14">
      <formula>$AH4="有給"</formula>
    </cfRule>
    <cfRule type="expression" dxfId="741" priority="15">
      <formula>$AH4="休業"</formula>
    </cfRule>
  </conditionalFormatting>
  <conditionalFormatting sqref="AM4:AM34">
    <cfRule type="expression" dxfId="740" priority="17">
      <formula>$AM4="休業"</formula>
    </cfRule>
    <cfRule type="expression" dxfId="739" priority="16">
      <formula>$AM4="有給"</formula>
    </cfRule>
  </conditionalFormatting>
  <conditionalFormatting sqref="AR4:AR34">
    <cfRule type="expression" dxfId="738" priority="19">
      <formula>$AR4="休業"</formula>
    </cfRule>
    <cfRule type="expression" dxfId="737" priority="18">
      <formula>$AR4="有給"</formula>
    </cfRule>
  </conditionalFormatting>
  <conditionalFormatting sqref="AW4:AW34">
    <cfRule type="expression" dxfId="736" priority="20">
      <formula>$AW4="有給"</formula>
    </cfRule>
    <cfRule type="expression" dxfId="735" priority="21">
      <formula>$AW4="休業"</formula>
    </cfRule>
  </conditionalFormatting>
  <conditionalFormatting sqref="BB4:BB34">
    <cfRule type="expression" dxfId="734" priority="22">
      <formula>$BB4="有給"</formula>
    </cfRule>
    <cfRule type="expression" dxfId="733" priority="23">
      <formula>$BB4="休業"</formula>
    </cfRule>
  </conditionalFormatting>
  <conditionalFormatting sqref="BG4:BG34">
    <cfRule type="expression" dxfId="732" priority="24">
      <formula>$BG4="有給"</formula>
    </cfRule>
    <cfRule type="expression" dxfId="731" priority="25">
      <formula>$BG4="休業"</formula>
    </cfRule>
  </conditionalFormatting>
  <conditionalFormatting sqref="BL4:BL34">
    <cfRule type="expression" dxfId="730" priority="26">
      <formula>$BL4="有給"</formula>
    </cfRule>
    <cfRule type="expression" dxfId="729" priority="27">
      <formula>$BL4="休業"</formula>
    </cfRule>
  </conditionalFormatting>
  <conditionalFormatting sqref="BQ4:BQ34">
    <cfRule type="expression" dxfId="728" priority="28">
      <formula>$BQ4="有給"</formula>
    </cfRule>
    <cfRule type="expression" dxfId="727" priority="29">
      <formula>$BQ4="休業"</formula>
    </cfRule>
  </conditionalFormatting>
  <conditionalFormatting sqref="BV4:BV34">
    <cfRule type="expression" dxfId="726" priority="30">
      <formula>$BV4="有給"</formula>
    </cfRule>
    <cfRule type="expression" dxfId="725" priority="31">
      <formula>$BV4="休業"</formula>
    </cfRule>
  </conditionalFormatting>
  <conditionalFormatting sqref="CA4:CA34">
    <cfRule type="expression" dxfId="724" priority="33">
      <formula>$CA4="休業"</formula>
    </cfRule>
    <cfRule type="expression" dxfId="723" priority="32">
      <formula>$CA4="有給"</formula>
    </cfRule>
  </conditionalFormatting>
  <conditionalFormatting sqref="CF4:CF34">
    <cfRule type="expression" dxfId="722" priority="34">
      <formula>$CF4="有給"</formula>
    </cfRule>
    <cfRule type="expression" dxfId="721" priority="35">
      <formula>$CF4="休業"</formula>
    </cfRule>
  </conditionalFormatting>
  <conditionalFormatting sqref="CK4:CK34">
    <cfRule type="expression" dxfId="720" priority="37">
      <formula>$CK4="休業"</formula>
    </cfRule>
    <cfRule type="expression" dxfId="719" priority="36">
      <formula>$CK4="有給"</formula>
    </cfRule>
  </conditionalFormatting>
  <conditionalFormatting sqref="CP4:CP34">
    <cfRule type="expression" dxfId="718" priority="38">
      <formula>$CP4="有給"</formula>
    </cfRule>
    <cfRule type="expression" dxfId="717" priority="39">
      <formula>$CP4="休業"</formula>
    </cfRule>
  </conditionalFormatting>
  <conditionalFormatting sqref="CU4:CU34">
    <cfRule type="expression" dxfId="716" priority="40">
      <formula>$CU4="有給"</formula>
    </cfRule>
    <cfRule type="expression" dxfId="715" priority="41">
      <formula>$CU4="休業"</formula>
    </cfRule>
  </conditionalFormatting>
  <conditionalFormatting sqref="CZ4:CZ34">
    <cfRule type="expression" dxfId="714" priority="42">
      <formula>$CZ4="有給"</formula>
    </cfRule>
    <cfRule type="expression" dxfId="713" priority="43">
      <formula>$CZ4="休業"</formula>
    </cfRule>
  </conditionalFormatting>
  <conditionalFormatting sqref="DE4:DE34">
    <cfRule type="expression" dxfId="712" priority="44">
      <formula>$DE4="有給"</formula>
    </cfRule>
    <cfRule type="expression" dxfId="711" priority="45">
      <formula>$DE4="休業"</formula>
    </cfRule>
  </conditionalFormatting>
  <conditionalFormatting sqref="DJ4:DJ34">
    <cfRule type="expression" dxfId="710" priority="46">
      <formula>$DJ4="有給"</formula>
    </cfRule>
    <cfRule type="expression" dxfId="709" priority="47">
      <formula>$DJ4="休業"</formula>
    </cfRule>
  </conditionalFormatting>
  <conditionalFormatting sqref="DO4:DO34">
    <cfRule type="expression" dxfId="708" priority="48">
      <formula>$DO4="有給"</formula>
    </cfRule>
    <cfRule type="expression" dxfId="707" priority="49">
      <formula>$DO4="休業"</formula>
    </cfRule>
  </conditionalFormatting>
  <conditionalFormatting sqref="DT4:DT34">
    <cfRule type="expression" dxfId="706" priority="51">
      <formula>$DT4="休業"</formula>
    </cfRule>
    <cfRule type="expression" dxfId="705" priority="50">
      <formula>$DT4="有給"</formula>
    </cfRule>
  </conditionalFormatting>
  <conditionalFormatting sqref="DY4:DY34">
    <cfRule type="expression" dxfId="704" priority="52">
      <formula>$DY4="有給"</formula>
    </cfRule>
    <cfRule type="expression" dxfId="703" priority="53">
      <formula>$DY4="休業"</formula>
    </cfRule>
  </conditionalFormatting>
  <conditionalFormatting sqref="ED4:ED34">
    <cfRule type="expression" dxfId="702" priority="54">
      <formula>$ED4="有給"</formula>
    </cfRule>
    <cfRule type="expression" dxfId="701" priority="55">
      <formula>$ED4="休業"</formula>
    </cfRule>
  </conditionalFormatting>
  <conditionalFormatting sqref="EI4:EI34">
    <cfRule type="expression" dxfId="700" priority="56">
      <formula>$EI4="有給"</formula>
    </cfRule>
    <cfRule type="expression" dxfId="699" priority="57">
      <formula>$EI4="休業"</formula>
    </cfRule>
  </conditionalFormatting>
  <conditionalFormatting sqref="EN4:EN34">
    <cfRule type="expression" dxfId="698" priority="58">
      <formula>$EN4="有給"</formula>
    </cfRule>
    <cfRule type="expression" dxfId="697" priority="59">
      <formula>$EN4="休業"</formula>
    </cfRule>
  </conditionalFormatting>
  <conditionalFormatting sqref="ES4:ES34">
    <cfRule type="expression" dxfId="696" priority="60">
      <formula>$ES4="有給"</formula>
    </cfRule>
    <cfRule type="expression" dxfId="695" priority="61">
      <formula>$ES4="休業"</formula>
    </cfRule>
  </conditionalFormatting>
  <pageMargins left="0.31496062992125984" right="0.31496062992125984" top="0.98425196850393704" bottom="0.98425196850393704" header="0.51181102362204722" footer="0.51181102362204722"/>
  <pageSetup paperSize="8" scale="14" orientation="landscape" horizontalDpi="300" verticalDpi="300" r:id="rId1"/>
  <headerFooter>
    <oddFooter>&amp;C&amp;"ＭＳ Ｐゴシック,標準"制作：有限会社水越設備&amp;Rsp-mizukoshi.jp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00000000-0002-0000-0500-000000000000}">
          <x14:formula1>
            <xm:f>現場マスタ!$C$4:$C$43</xm:f>
          </x14:formula1>
          <x14:formula2>
            <xm:f>0</xm:f>
          </x14:formula2>
          <xm:sqref>D4:E34 I4:J34 N4:O34 S4:T34 X4:Y34 AC4:AD34 AH4:AI34 AM4:AN34 AR4:AS34 AW4:AX34 BB4:BC34 BG4:BH34 BL4:BM34 BQ4:BR34 BV4:BW34 CA4:CB34 CF4:CG34 CK4:CL34 CP4:CQ34 CU4:CV34 CZ4:DA34 DE4:DF34 DJ4:DK34 DO4:DP34 DT4:DU34 DY4:DZ34 ED4:EE34 EI4:EJ34 EN4:EO34 ES4:ET34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W40"/>
  <sheetViews>
    <sheetView zoomScaleNormal="100" workbookViewId="0">
      <pane xSplit="3" ySplit="3" topLeftCell="D4" activePane="bottomRight" state="frozen"/>
      <selection sqref="A1:EW1"/>
      <selection pane="topRight" sqref="A1:EW1"/>
      <selection pane="bottomLeft" sqref="A1:EW1"/>
      <selection pane="bottomRight" sqref="A1:EW1"/>
    </sheetView>
  </sheetViews>
  <sheetFormatPr defaultColWidth="8.7109375" defaultRowHeight="15"/>
  <cols>
    <col min="1" max="1" width="5" customWidth="1"/>
    <col min="2" max="3" width="4" customWidth="1"/>
    <col min="4" max="5" width="13" customWidth="1"/>
    <col min="6" max="7" width="6" customWidth="1"/>
    <col min="8" max="8" width="7" customWidth="1"/>
    <col min="9" max="10" width="13" customWidth="1"/>
    <col min="11" max="12" width="6" customWidth="1"/>
    <col min="13" max="13" width="7" customWidth="1"/>
    <col min="14" max="15" width="13" customWidth="1"/>
    <col min="16" max="17" width="6" customWidth="1"/>
    <col min="18" max="18" width="7" customWidth="1"/>
    <col min="19" max="20" width="13" customWidth="1"/>
    <col min="21" max="22" width="6" customWidth="1"/>
    <col min="23" max="23" width="7" customWidth="1"/>
    <col min="24" max="25" width="13" customWidth="1"/>
    <col min="26" max="27" width="6" customWidth="1"/>
    <col min="28" max="28" width="7" customWidth="1"/>
    <col min="29" max="30" width="13" customWidth="1"/>
    <col min="31" max="32" width="6" customWidth="1"/>
    <col min="33" max="33" width="7" customWidth="1"/>
    <col min="34" max="35" width="13" customWidth="1"/>
    <col min="36" max="37" width="6" customWidth="1"/>
    <col min="38" max="38" width="7" customWidth="1"/>
    <col min="39" max="40" width="13" customWidth="1"/>
    <col min="41" max="42" width="6" customWidth="1"/>
    <col min="43" max="43" width="7" customWidth="1"/>
    <col min="44" max="45" width="13" customWidth="1"/>
    <col min="46" max="47" width="6" customWidth="1"/>
    <col min="48" max="48" width="7" customWidth="1"/>
    <col min="49" max="50" width="13" customWidth="1"/>
    <col min="51" max="52" width="6" customWidth="1"/>
    <col min="53" max="53" width="7" customWidth="1"/>
    <col min="54" max="55" width="13" customWidth="1"/>
    <col min="56" max="57" width="6" customWidth="1"/>
    <col min="58" max="58" width="7" customWidth="1"/>
    <col min="59" max="60" width="13" customWidth="1"/>
    <col min="61" max="62" width="6" customWidth="1"/>
    <col min="63" max="63" width="7" customWidth="1"/>
    <col min="64" max="65" width="13" customWidth="1"/>
    <col min="66" max="67" width="6" customWidth="1"/>
    <col min="68" max="68" width="7" customWidth="1"/>
    <col min="69" max="70" width="13" customWidth="1"/>
    <col min="71" max="72" width="6" customWidth="1"/>
    <col min="73" max="73" width="7" customWidth="1"/>
    <col min="74" max="75" width="13" customWidth="1"/>
    <col min="76" max="77" width="6" customWidth="1"/>
    <col min="78" max="78" width="7" customWidth="1"/>
    <col min="79" max="80" width="13" customWidth="1"/>
    <col min="81" max="82" width="6" customWidth="1"/>
    <col min="83" max="83" width="7" customWidth="1"/>
    <col min="84" max="85" width="13" customWidth="1"/>
    <col min="86" max="87" width="6" customWidth="1"/>
    <col min="88" max="88" width="7" customWidth="1"/>
    <col min="89" max="90" width="13" customWidth="1"/>
    <col min="91" max="92" width="6" customWidth="1"/>
    <col min="93" max="93" width="7" customWidth="1"/>
    <col min="94" max="95" width="13" customWidth="1"/>
    <col min="96" max="97" width="6" customWidth="1"/>
    <col min="98" max="98" width="7" customWidth="1"/>
    <col min="99" max="100" width="13" customWidth="1"/>
    <col min="101" max="102" width="6" customWidth="1"/>
    <col min="103" max="103" width="7" customWidth="1"/>
    <col min="104" max="105" width="13" customWidth="1"/>
    <col min="106" max="107" width="6" customWidth="1"/>
    <col min="108" max="108" width="7" customWidth="1"/>
    <col min="109" max="110" width="13" customWidth="1"/>
    <col min="111" max="112" width="6" customWidth="1"/>
    <col min="113" max="113" width="7" customWidth="1"/>
    <col min="114" max="115" width="13" customWidth="1"/>
    <col min="116" max="117" width="6" customWidth="1"/>
    <col min="118" max="118" width="7" customWidth="1"/>
    <col min="119" max="120" width="13" customWidth="1"/>
    <col min="121" max="122" width="6" customWidth="1"/>
    <col min="123" max="123" width="7" customWidth="1"/>
    <col min="124" max="125" width="13" customWidth="1"/>
    <col min="126" max="127" width="6" customWidth="1"/>
    <col min="128" max="128" width="7" customWidth="1"/>
    <col min="129" max="130" width="13" customWidth="1"/>
    <col min="131" max="132" width="6" customWidth="1"/>
    <col min="133" max="133" width="7" customWidth="1"/>
    <col min="134" max="135" width="13" customWidth="1"/>
    <col min="136" max="137" width="6" customWidth="1"/>
    <col min="138" max="138" width="7" customWidth="1"/>
    <col min="139" max="140" width="13" customWidth="1"/>
    <col min="141" max="142" width="6" customWidth="1"/>
    <col min="143" max="143" width="7" customWidth="1"/>
    <col min="144" max="145" width="13" customWidth="1"/>
    <col min="146" max="147" width="6" customWidth="1"/>
    <col min="148" max="148" width="7" customWidth="1"/>
    <col min="149" max="150" width="13" customWidth="1"/>
    <col min="151" max="152" width="6" customWidth="1"/>
    <col min="153" max="153" width="7" customWidth="1"/>
  </cols>
  <sheetData>
    <row r="1" spans="1:153" ht="36" customHeight="1">
      <c r="A1" s="96" t="str">
        <f>" "&amp;対象年度&amp;"年 3月分　出面表　"</f>
        <v xml:space="preserve"> 2026年 3月分　出面表　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Y1" s="96"/>
      <c r="BZ1" s="96"/>
      <c r="CA1" s="96"/>
      <c r="CB1" s="96"/>
      <c r="CC1" s="96"/>
      <c r="CD1" s="96"/>
      <c r="CE1" s="96"/>
      <c r="CF1" s="96"/>
      <c r="CG1" s="96"/>
      <c r="CH1" s="96"/>
      <c r="CI1" s="96"/>
      <c r="CJ1" s="96"/>
      <c r="CK1" s="96"/>
      <c r="CL1" s="96"/>
      <c r="CM1" s="96"/>
      <c r="CN1" s="96"/>
      <c r="CO1" s="96"/>
      <c r="CP1" s="96"/>
      <c r="CQ1" s="96"/>
      <c r="CR1" s="96"/>
      <c r="CS1" s="96"/>
      <c r="CT1" s="96"/>
      <c r="CU1" s="96"/>
      <c r="CV1" s="96"/>
      <c r="CW1" s="96"/>
      <c r="CX1" s="96"/>
      <c r="CY1" s="96"/>
      <c r="CZ1" s="96"/>
      <c r="DA1" s="96"/>
      <c r="DB1" s="96"/>
      <c r="DC1" s="96"/>
      <c r="DD1" s="96"/>
      <c r="DE1" s="96"/>
      <c r="DF1" s="96"/>
      <c r="DG1" s="96"/>
      <c r="DH1" s="96"/>
      <c r="DI1" s="96"/>
      <c r="DJ1" s="96"/>
      <c r="DK1" s="96"/>
      <c r="DL1" s="96"/>
      <c r="DM1" s="96"/>
      <c r="DN1" s="96"/>
      <c r="DO1" s="96"/>
      <c r="DP1" s="96"/>
      <c r="DQ1" s="96"/>
      <c r="DR1" s="96"/>
      <c r="DS1" s="96"/>
      <c r="DT1" s="96"/>
      <c r="DU1" s="96"/>
      <c r="DV1" s="96"/>
      <c r="DW1" s="96"/>
      <c r="DX1" s="96"/>
      <c r="DY1" s="96"/>
      <c r="DZ1" s="96"/>
      <c r="EA1" s="96"/>
      <c r="EB1" s="96"/>
      <c r="EC1" s="96"/>
      <c r="ED1" s="96"/>
      <c r="EE1" s="96"/>
      <c r="EF1" s="96"/>
      <c r="EG1" s="96"/>
      <c r="EH1" s="96"/>
      <c r="EI1" s="96"/>
      <c r="EJ1" s="96"/>
      <c r="EK1" s="96"/>
      <c r="EL1" s="96"/>
      <c r="EM1" s="96"/>
      <c r="EN1" s="96"/>
      <c r="EO1" s="96"/>
      <c r="EP1" s="96"/>
      <c r="EQ1" s="96"/>
      <c r="ER1" s="96"/>
      <c r="ES1" s="96"/>
      <c r="ET1" s="96"/>
      <c r="EU1" s="96"/>
      <c r="EV1" s="96"/>
      <c r="EW1" s="96"/>
    </row>
    <row r="2" spans="1:153" ht="25.5" customHeight="1">
      <c r="A2" s="21"/>
      <c r="B2" s="21"/>
      <c r="C2" s="21"/>
      <c r="D2" s="97" t="str">
        <f>IFERROR(IF(従業員マスタ!$C$4="","",対象年度&amp;"年3月　"&amp;従業員マスタ!$C$4),"")</f>
        <v>2026年3月　代表 太郎</v>
      </c>
      <c r="E2" s="97"/>
      <c r="F2" s="97"/>
      <c r="G2" s="97"/>
      <c r="H2" s="97"/>
      <c r="I2" s="97" t="str">
        <f>IFERROR(IF(従業員マスタ!$C$5="","",対象年度&amp;"年3月　"&amp;従業員マスタ!$C$5),"")</f>
        <v>2026年3月　専務 次郎</v>
      </c>
      <c r="J2" s="97"/>
      <c r="K2" s="97"/>
      <c r="L2" s="97"/>
      <c r="M2" s="97"/>
      <c r="N2" s="97" t="str">
        <f>IFERROR(IF(従業員マスタ!$C$6="","",対象年度&amp;"年3月　"&amp;従業員マスタ!$C$6),"")</f>
        <v>2026年3月　山田 一郎</v>
      </c>
      <c r="O2" s="97"/>
      <c r="P2" s="97"/>
      <c r="Q2" s="97"/>
      <c r="R2" s="97"/>
      <c r="S2" s="97" t="str">
        <f>IFERROR(IF(従業員マスタ!$C$7="","",対象年度&amp;"年3月　"&amp;従業員マスタ!$C$7),"")</f>
        <v>2026年3月　鈴木 二郎</v>
      </c>
      <c r="T2" s="97"/>
      <c r="U2" s="97"/>
      <c r="V2" s="97"/>
      <c r="W2" s="97"/>
      <c r="X2" s="97" t="str">
        <f>IFERROR(IF(従業員マスタ!$C$8="","",対象年度&amp;"年3月　"&amp;従業員マスタ!$C$8),"")</f>
        <v>2026年3月　佐藤 三郎</v>
      </c>
      <c r="Y2" s="97"/>
      <c r="Z2" s="97"/>
      <c r="AA2" s="97"/>
      <c r="AB2" s="97"/>
      <c r="AC2" s="97" t="str">
        <f>IFERROR(IF(従業員マスタ!$C$9="","",対象年度&amp;"年3月　"&amp;従業員マスタ!$C$9),"")</f>
        <v>2026年3月　高橋 四郎</v>
      </c>
      <c r="AD2" s="97"/>
      <c r="AE2" s="97"/>
      <c r="AF2" s="97"/>
      <c r="AG2" s="97"/>
      <c r="AH2" s="97" t="str">
        <f>IFERROR(IF(従業員マスタ!$C$10="","",対象年度&amp;"年3月　"&amp;従業員マスタ!$C$10),"")</f>
        <v>2026年3月　田中 五郎</v>
      </c>
      <c r="AI2" s="97"/>
      <c r="AJ2" s="97"/>
      <c r="AK2" s="97"/>
      <c r="AL2" s="97"/>
      <c r="AM2" s="97" t="str">
        <f>IFERROR(IF(従業員マスタ!$C$11="","",対象年度&amp;"年3月　"&amp;従業員マスタ!$C$11),"")</f>
        <v>2026年3月　伊藤 六郎</v>
      </c>
      <c r="AN2" s="97"/>
      <c r="AO2" s="97"/>
      <c r="AP2" s="97"/>
      <c r="AQ2" s="97"/>
      <c r="AR2" s="97" t="str">
        <f>IFERROR(IF(従業員マスタ!$C$12="","",対象年度&amp;"年3月　"&amp;従業員マスタ!$C$12),"")</f>
        <v>2026年3月　渡辺 七郎</v>
      </c>
      <c r="AS2" s="97"/>
      <c r="AT2" s="97"/>
      <c r="AU2" s="97"/>
      <c r="AV2" s="97"/>
      <c r="AW2" s="97" t="str">
        <f>IFERROR(IF(従業員マスタ!$C$13="","",対象年度&amp;"年3月　"&amp;従業員マスタ!$C$13),"")</f>
        <v>2026年3月　中村 八郎</v>
      </c>
      <c r="AX2" s="97"/>
      <c r="AY2" s="97"/>
      <c r="AZ2" s="97"/>
      <c r="BA2" s="97"/>
      <c r="BB2" s="97" t="str">
        <f>IFERROR(IF(従業員マスタ!$C$14="","",対象年度&amp;"年3月　"&amp;従業員マスタ!$C$14),"")</f>
        <v>2026年3月　小林 九郎</v>
      </c>
      <c r="BC2" s="97"/>
      <c r="BD2" s="97"/>
      <c r="BE2" s="97"/>
      <c r="BF2" s="97"/>
      <c r="BG2" s="97" t="str">
        <f>IFERROR(IF(従業員マスタ!$C$15="","",対象年度&amp;"年3月　"&amp;従業員マスタ!$C$15),"")</f>
        <v>2026年3月　加藤 十郎</v>
      </c>
      <c r="BH2" s="97"/>
      <c r="BI2" s="97"/>
      <c r="BJ2" s="97"/>
      <c r="BK2" s="97"/>
      <c r="BL2" s="97" t="str">
        <f>IFERROR(IF(従業員マスタ!$C$16="","",対象年度&amp;"年3月　"&amp;従業員マスタ!$C$16),"")</f>
        <v/>
      </c>
      <c r="BM2" s="97"/>
      <c r="BN2" s="97"/>
      <c r="BO2" s="97"/>
      <c r="BP2" s="97"/>
      <c r="BQ2" s="97" t="str">
        <f>IFERROR(IF(従業員マスタ!$C$17="","",対象年度&amp;"年3月　"&amp;従業員マスタ!$C$17),"")</f>
        <v/>
      </c>
      <c r="BR2" s="97"/>
      <c r="BS2" s="97"/>
      <c r="BT2" s="97"/>
      <c r="BU2" s="97"/>
      <c r="BV2" s="97" t="str">
        <f>IFERROR(IF(従業員マスタ!$C$18="","",対象年度&amp;"年3月　"&amp;従業員マスタ!$C$18),"")</f>
        <v/>
      </c>
      <c r="BW2" s="97"/>
      <c r="BX2" s="97"/>
      <c r="BY2" s="97"/>
      <c r="BZ2" s="97"/>
      <c r="CA2" s="97" t="str">
        <f>IFERROR(IF(従業員マスタ!$C$19="","",対象年度&amp;"年3月　"&amp;従業員マスタ!$C$19),"")</f>
        <v/>
      </c>
      <c r="CB2" s="97"/>
      <c r="CC2" s="97"/>
      <c r="CD2" s="97"/>
      <c r="CE2" s="97"/>
      <c r="CF2" s="97" t="str">
        <f>IFERROR(IF(従業員マスタ!$C$20="","",対象年度&amp;"年3月　"&amp;従業員マスタ!$C$20),"")</f>
        <v/>
      </c>
      <c r="CG2" s="97"/>
      <c r="CH2" s="97"/>
      <c r="CI2" s="97"/>
      <c r="CJ2" s="97"/>
      <c r="CK2" s="97" t="str">
        <f>IFERROR(IF(従業員マスタ!$C$21="","",対象年度&amp;"年3月　"&amp;従業員マスタ!$C$21),"")</f>
        <v/>
      </c>
      <c r="CL2" s="97"/>
      <c r="CM2" s="97"/>
      <c r="CN2" s="97"/>
      <c r="CO2" s="97"/>
      <c r="CP2" s="97" t="str">
        <f>IFERROR(IF(従業員マスタ!$C$22="","",対象年度&amp;"年3月　"&amp;従業員マスタ!$C$22),"")</f>
        <v/>
      </c>
      <c r="CQ2" s="97"/>
      <c r="CR2" s="97"/>
      <c r="CS2" s="97"/>
      <c r="CT2" s="97"/>
      <c r="CU2" s="97" t="str">
        <f>IFERROR(IF(従業員マスタ!$C$23="","",対象年度&amp;"年3月　"&amp;従業員マスタ!$C$23),"")</f>
        <v/>
      </c>
      <c r="CV2" s="97"/>
      <c r="CW2" s="97"/>
      <c r="CX2" s="97"/>
      <c r="CY2" s="97"/>
      <c r="CZ2" s="97" t="str">
        <f>IFERROR(IF(従業員マスタ!$C$24="","",対象年度&amp;"年3月　"&amp;従業員マスタ!$C$24),"")</f>
        <v/>
      </c>
      <c r="DA2" s="97"/>
      <c r="DB2" s="97"/>
      <c r="DC2" s="97"/>
      <c r="DD2" s="97"/>
      <c r="DE2" s="97" t="str">
        <f>IFERROR(IF(従業員マスタ!$C$25="","",対象年度&amp;"年3月　"&amp;従業員マスタ!$C$25),"")</f>
        <v/>
      </c>
      <c r="DF2" s="97"/>
      <c r="DG2" s="97"/>
      <c r="DH2" s="97"/>
      <c r="DI2" s="97"/>
      <c r="DJ2" s="97" t="str">
        <f>IFERROR(IF(従業員マスタ!$C$26="","",対象年度&amp;"年3月　"&amp;従業員マスタ!$C$26),"")</f>
        <v/>
      </c>
      <c r="DK2" s="97"/>
      <c r="DL2" s="97"/>
      <c r="DM2" s="97"/>
      <c r="DN2" s="97"/>
      <c r="DO2" s="97" t="str">
        <f>IFERROR(IF(従業員マスタ!$C$27="","",対象年度&amp;"年3月　"&amp;従業員マスタ!$C$27),"")</f>
        <v/>
      </c>
      <c r="DP2" s="97"/>
      <c r="DQ2" s="97"/>
      <c r="DR2" s="97"/>
      <c r="DS2" s="97"/>
      <c r="DT2" s="97" t="str">
        <f>IFERROR(IF(従業員マスタ!$C$28="","",対象年度&amp;"年3月　"&amp;従業員マスタ!$C$28),"")</f>
        <v/>
      </c>
      <c r="DU2" s="97"/>
      <c r="DV2" s="97"/>
      <c r="DW2" s="97"/>
      <c r="DX2" s="97"/>
      <c r="DY2" s="97" t="str">
        <f>IFERROR(IF(従業員マスタ!$C$29="","",対象年度&amp;"年3月　"&amp;従業員マスタ!$C$29),"")</f>
        <v/>
      </c>
      <c r="DZ2" s="97"/>
      <c r="EA2" s="97"/>
      <c r="EB2" s="97"/>
      <c r="EC2" s="97"/>
      <c r="ED2" s="97" t="str">
        <f>IFERROR(IF(従業員マスタ!$C$30="","",対象年度&amp;"年3月　"&amp;従業員マスタ!$C$30),"")</f>
        <v/>
      </c>
      <c r="EE2" s="97"/>
      <c r="EF2" s="97"/>
      <c r="EG2" s="97"/>
      <c r="EH2" s="97"/>
      <c r="EI2" s="97" t="str">
        <f>IFERROR(IF(従業員マスタ!$C$31="","",対象年度&amp;"年3月　"&amp;従業員マスタ!$C$31),"")</f>
        <v/>
      </c>
      <c r="EJ2" s="97"/>
      <c r="EK2" s="97"/>
      <c r="EL2" s="97"/>
      <c r="EM2" s="97"/>
      <c r="EN2" s="97" t="str">
        <f>IFERROR(IF(従業員マスタ!$C$32="","",対象年度&amp;"年3月　"&amp;従業員マスタ!$C$32),"")</f>
        <v/>
      </c>
      <c r="EO2" s="97"/>
      <c r="EP2" s="97"/>
      <c r="EQ2" s="97"/>
      <c r="ER2" s="97"/>
      <c r="ES2" s="97" t="str">
        <f>IFERROR(IF(従業員マスタ!$C$33="","",対象年度&amp;"年3月　"&amp;従業員マスタ!$C$33),"")</f>
        <v/>
      </c>
      <c r="ET2" s="97"/>
      <c r="EU2" s="97"/>
      <c r="EV2" s="97"/>
      <c r="EW2" s="97"/>
    </row>
    <row r="3" spans="1:153" ht="24" customHeight="1">
      <c r="A3" s="22" t="s">
        <v>108</v>
      </c>
      <c r="B3" s="22" t="s">
        <v>109</v>
      </c>
      <c r="C3" s="22" t="s">
        <v>110</v>
      </c>
      <c r="D3" s="23" t="s">
        <v>111</v>
      </c>
      <c r="E3" s="24" t="s">
        <v>112</v>
      </c>
      <c r="F3" s="22" t="s">
        <v>113</v>
      </c>
      <c r="G3" s="22" t="s">
        <v>114</v>
      </c>
      <c r="H3" s="25" t="s">
        <v>115</v>
      </c>
      <c r="I3" s="23" t="s">
        <v>111</v>
      </c>
      <c r="J3" s="24" t="s">
        <v>112</v>
      </c>
      <c r="K3" s="22" t="s">
        <v>113</v>
      </c>
      <c r="L3" s="22" t="s">
        <v>114</v>
      </c>
      <c r="M3" s="25" t="s">
        <v>115</v>
      </c>
      <c r="N3" s="23" t="s">
        <v>111</v>
      </c>
      <c r="O3" s="24" t="s">
        <v>112</v>
      </c>
      <c r="P3" s="22" t="s">
        <v>113</v>
      </c>
      <c r="Q3" s="22" t="s">
        <v>114</v>
      </c>
      <c r="R3" s="25" t="s">
        <v>115</v>
      </c>
      <c r="S3" s="23" t="s">
        <v>111</v>
      </c>
      <c r="T3" s="24" t="s">
        <v>112</v>
      </c>
      <c r="U3" s="22" t="s">
        <v>113</v>
      </c>
      <c r="V3" s="22" t="s">
        <v>114</v>
      </c>
      <c r="W3" s="25" t="s">
        <v>115</v>
      </c>
      <c r="X3" s="23" t="s">
        <v>111</v>
      </c>
      <c r="Y3" s="24" t="s">
        <v>112</v>
      </c>
      <c r="Z3" s="22" t="s">
        <v>113</v>
      </c>
      <c r="AA3" s="22" t="s">
        <v>114</v>
      </c>
      <c r="AB3" s="25" t="s">
        <v>115</v>
      </c>
      <c r="AC3" s="23" t="s">
        <v>111</v>
      </c>
      <c r="AD3" s="24" t="s">
        <v>112</v>
      </c>
      <c r="AE3" s="22" t="s">
        <v>113</v>
      </c>
      <c r="AF3" s="22" t="s">
        <v>114</v>
      </c>
      <c r="AG3" s="25" t="s">
        <v>115</v>
      </c>
      <c r="AH3" s="23" t="s">
        <v>111</v>
      </c>
      <c r="AI3" s="24" t="s">
        <v>112</v>
      </c>
      <c r="AJ3" s="22" t="s">
        <v>113</v>
      </c>
      <c r="AK3" s="22" t="s">
        <v>114</v>
      </c>
      <c r="AL3" s="25" t="s">
        <v>115</v>
      </c>
      <c r="AM3" s="23" t="s">
        <v>111</v>
      </c>
      <c r="AN3" s="24" t="s">
        <v>112</v>
      </c>
      <c r="AO3" s="22" t="s">
        <v>113</v>
      </c>
      <c r="AP3" s="22" t="s">
        <v>114</v>
      </c>
      <c r="AQ3" s="25" t="s">
        <v>115</v>
      </c>
      <c r="AR3" s="23" t="s">
        <v>111</v>
      </c>
      <c r="AS3" s="24" t="s">
        <v>112</v>
      </c>
      <c r="AT3" s="22" t="s">
        <v>113</v>
      </c>
      <c r="AU3" s="22" t="s">
        <v>114</v>
      </c>
      <c r="AV3" s="25" t="s">
        <v>115</v>
      </c>
      <c r="AW3" s="23" t="s">
        <v>111</v>
      </c>
      <c r="AX3" s="24" t="s">
        <v>112</v>
      </c>
      <c r="AY3" s="22" t="s">
        <v>113</v>
      </c>
      <c r="AZ3" s="22" t="s">
        <v>114</v>
      </c>
      <c r="BA3" s="25" t="s">
        <v>115</v>
      </c>
      <c r="BB3" s="23" t="s">
        <v>111</v>
      </c>
      <c r="BC3" s="24" t="s">
        <v>112</v>
      </c>
      <c r="BD3" s="22" t="s">
        <v>113</v>
      </c>
      <c r="BE3" s="22" t="s">
        <v>114</v>
      </c>
      <c r="BF3" s="25" t="s">
        <v>115</v>
      </c>
      <c r="BG3" s="23" t="s">
        <v>111</v>
      </c>
      <c r="BH3" s="24" t="s">
        <v>112</v>
      </c>
      <c r="BI3" s="22" t="s">
        <v>113</v>
      </c>
      <c r="BJ3" s="22" t="s">
        <v>114</v>
      </c>
      <c r="BK3" s="25" t="s">
        <v>115</v>
      </c>
      <c r="BL3" s="23" t="s">
        <v>111</v>
      </c>
      <c r="BM3" s="24" t="s">
        <v>112</v>
      </c>
      <c r="BN3" s="22" t="s">
        <v>113</v>
      </c>
      <c r="BO3" s="22" t="s">
        <v>114</v>
      </c>
      <c r="BP3" s="25" t="s">
        <v>115</v>
      </c>
      <c r="BQ3" s="23" t="s">
        <v>111</v>
      </c>
      <c r="BR3" s="24" t="s">
        <v>112</v>
      </c>
      <c r="BS3" s="22" t="s">
        <v>113</v>
      </c>
      <c r="BT3" s="22" t="s">
        <v>114</v>
      </c>
      <c r="BU3" s="25" t="s">
        <v>115</v>
      </c>
      <c r="BV3" s="23" t="s">
        <v>111</v>
      </c>
      <c r="BW3" s="24" t="s">
        <v>112</v>
      </c>
      <c r="BX3" s="22" t="s">
        <v>113</v>
      </c>
      <c r="BY3" s="22" t="s">
        <v>114</v>
      </c>
      <c r="BZ3" s="25" t="s">
        <v>115</v>
      </c>
      <c r="CA3" s="23" t="s">
        <v>111</v>
      </c>
      <c r="CB3" s="24" t="s">
        <v>112</v>
      </c>
      <c r="CC3" s="22" t="s">
        <v>113</v>
      </c>
      <c r="CD3" s="22" t="s">
        <v>114</v>
      </c>
      <c r="CE3" s="25" t="s">
        <v>115</v>
      </c>
      <c r="CF3" s="23" t="s">
        <v>111</v>
      </c>
      <c r="CG3" s="24" t="s">
        <v>112</v>
      </c>
      <c r="CH3" s="22" t="s">
        <v>113</v>
      </c>
      <c r="CI3" s="22" t="s">
        <v>114</v>
      </c>
      <c r="CJ3" s="25" t="s">
        <v>115</v>
      </c>
      <c r="CK3" s="23" t="s">
        <v>111</v>
      </c>
      <c r="CL3" s="24" t="s">
        <v>112</v>
      </c>
      <c r="CM3" s="22" t="s">
        <v>113</v>
      </c>
      <c r="CN3" s="22" t="s">
        <v>114</v>
      </c>
      <c r="CO3" s="25" t="s">
        <v>115</v>
      </c>
      <c r="CP3" s="23" t="s">
        <v>111</v>
      </c>
      <c r="CQ3" s="24" t="s">
        <v>112</v>
      </c>
      <c r="CR3" s="22" t="s">
        <v>113</v>
      </c>
      <c r="CS3" s="22" t="s">
        <v>114</v>
      </c>
      <c r="CT3" s="25" t="s">
        <v>115</v>
      </c>
      <c r="CU3" s="23" t="s">
        <v>111</v>
      </c>
      <c r="CV3" s="24" t="s">
        <v>112</v>
      </c>
      <c r="CW3" s="22" t="s">
        <v>113</v>
      </c>
      <c r="CX3" s="22" t="s">
        <v>114</v>
      </c>
      <c r="CY3" s="25" t="s">
        <v>115</v>
      </c>
      <c r="CZ3" s="23" t="s">
        <v>111</v>
      </c>
      <c r="DA3" s="24" t="s">
        <v>112</v>
      </c>
      <c r="DB3" s="22" t="s">
        <v>113</v>
      </c>
      <c r="DC3" s="22" t="s">
        <v>114</v>
      </c>
      <c r="DD3" s="25" t="s">
        <v>115</v>
      </c>
      <c r="DE3" s="23" t="s">
        <v>111</v>
      </c>
      <c r="DF3" s="24" t="s">
        <v>112</v>
      </c>
      <c r="DG3" s="22" t="s">
        <v>113</v>
      </c>
      <c r="DH3" s="22" t="s">
        <v>114</v>
      </c>
      <c r="DI3" s="25" t="s">
        <v>115</v>
      </c>
      <c r="DJ3" s="23" t="s">
        <v>111</v>
      </c>
      <c r="DK3" s="24" t="s">
        <v>112</v>
      </c>
      <c r="DL3" s="22" t="s">
        <v>113</v>
      </c>
      <c r="DM3" s="22" t="s">
        <v>114</v>
      </c>
      <c r="DN3" s="25" t="s">
        <v>115</v>
      </c>
      <c r="DO3" s="23" t="s">
        <v>111</v>
      </c>
      <c r="DP3" s="24" t="s">
        <v>112</v>
      </c>
      <c r="DQ3" s="22" t="s">
        <v>113</v>
      </c>
      <c r="DR3" s="22" t="s">
        <v>114</v>
      </c>
      <c r="DS3" s="25" t="s">
        <v>115</v>
      </c>
      <c r="DT3" s="23" t="s">
        <v>111</v>
      </c>
      <c r="DU3" s="24" t="s">
        <v>112</v>
      </c>
      <c r="DV3" s="22" t="s">
        <v>113</v>
      </c>
      <c r="DW3" s="22" t="s">
        <v>114</v>
      </c>
      <c r="DX3" s="25" t="s">
        <v>115</v>
      </c>
      <c r="DY3" s="23" t="s">
        <v>111</v>
      </c>
      <c r="DZ3" s="24" t="s">
        <v>112</v>
      </c>
      <c r="EA3" s="22" t="s">
        <v>113</v>
      </c>
      <c r="EB3" s="22" t="s">
        <v>114</v>
      </c>
      <c r="EC3" s="25" t="s">
        <v>115</v>
      </c>
      <c r="ED3" s="23" t="s">
        <v>111</v>
      </c>
      <c r="EE3" s="24" t="s">
        <v>112</v>
      </c>
      <c r="EF3" s="22" t="s">
        <v>113</v>
      </c>
      <c r="EG3" s="22" t="s">
        <v>114</v>
      </c>
      <c r="EH3" s="25" t="s">
        <v>115</v>
      </c>
      <c r="EI3" s="23" t="s">
        <v>111</v>
      </c>
      <c r="EJ3" s="24" t="s">
        <v>112</v>
      </c>
      <c r="EK3" s="22" t="s">
        <v>113</v>
      </c>
      <c r="EL3" s="22" t="s">
        <v>114</v>
      </c>
      <c r="EM3" s="25" t="s">
        <v>115</v>
      </c>
      <c r="EN3" s="23" t="s">
        <v>111</v>
      </c>
      <c r="EO3" s="24" t="s">
        <v>112</v>
      </c>
      <c r="EP3" s="22" t="s">
        <v>113</v>
      </c>
      <c r="EQ3" s="22" t="s">
        <v>114</v>
      </c>
      <c r="ER3" s="25" t="s">
        <v>115</v>
      </c>
      <c r="ES3" s="23" t="s">
        <v>111</v>
      </c>
      <c r="ET3" s="24" t="s">
        <v>112</v>
      </c>
      <c r="EU3" s="22" t="s">
        <v>113</v>
      </c>
      <c r="EV3" s="22" t="s">
        <v>114</v>
      </c>
      <c r="EW3" s="25" t="s">
        <v>115</v>
      </c>
    </row>
    <row r="4" spans="1:153" ht="19.5" customHeight="1">
      <c r="A4" s="26">
        <f>IF(DAY(DATE(対象年度,3,1))&lt;&gt;1,"",1)</f>
        <v>1</v>
      </c>
      <c r="B4" s="26" t="str">
        <f>IF(DAY(DATE(対象年度,3,1))&lt;&gt;1,"",CHOOSE(WEEKDAY(DATE(対象年度,3,1),2),"月","火","水","木","金","土","日"))</f>
        <v>日</v>
      </c>
      <c r="C4" s="26" t="str">
        <f>IF(DAY(DATE(対象年度,3,1))&lt;&gt;1,"",IF(ISNUMBER(MATCH(DATE(対象年度,3,1),祝日リスト,0)),"祝",""))</f>
        <v/>
      </c>
      <c r="D4" s="27"/>
      <c r="E4" s="28"/>
      <c r="F4" s="29" t="str">
        <f t="shared" ref="F4:F34" si="0">IF(D4="","",IF(ISNUMBER(SEARCH("夜勤",D4)),"",IF(A4="","","○")))</f>
        <v/>
      </c>
      <c r="G4" s="30" t="str">
        <f t="shared" ref="G4:G34" si="1">IF(A4="","",IF(OR(AND(E4&lt;&gt;"",NOT(OR(E4="有給",E4="休業"))),ISNUMBER(SEARCH("夜勤",D4))),"○",""))</f>
        <v/>
      </c>
      <c r="H4" s="31"/>
      <c r="I4" s="27"/>
      <c r="J4" s="28"/>
      <c r="K4" s="29" t="str">
        <f t="shared" ref="K4:K34" si="2">IF(I4="","",IF(ISNUMBER(SEARCH("夜勤",I4)),"",IF(A4="","","○")))</f>
        <v/>
      </c>
      <c r="L4" s="30" t="str">
        <f t="shared" ref="L4:L34" si="3">IF(A4="","",IF(OR(AND(J4&lt;&gt;"",NOT(OR(J4="有給",J4="休業"))),ISNUMBER(SEARCH("夜勤",I4))),"○",""))</f>
        <v/>
      </c>
      <c r="M4" s="31"/>
      <c r="N4" s="27"/>
      <c r="O4" s="28"/>
      <c r="P4" s="29" t="str">
        <f t="shared" ref="P4:P34" si="4">IF(N4="","",IF(ISNUMBER(SEARCH("夜勤",N4)),"",IF(A4="","","○")))</f>
        <v/>
      </c>
      <c r="Q4" s="30" t="str">
        <f t="shared" ref="Q4:Q34" si="5">IF(A4="","",IF(OR(AND(O4&lt;&gt;"",NOT(OR(O4="有給",O4="休業"))),ISNUMBER(SEARCH("夜勤",N4))),"○",""))</f>
        <v/>
      </c>
      <c r="R4" s="31"/>
      <c r="S4" s="27"/>
      <c r="T4" s="28"/>
      <c r="U4" s="29" t="str">
        <f t="shared" ref="U4:U34" si="6">IF(S4="","",IF(ISNUMBER(SEARCH("夜勤",S4)),"",IF(A4="","","○")))</f>
        <v/>
      </c>
      <c r="V4" s="30" t="str">
        <f t="shared" ref="V4:V34" si="7">IF(A4="","",IF(OR(AND(T4&lt;&gt;"",NOT(OR(T4="有給",T4="休業"))),ISNUMBER(SEARCH("夜勤",S4))),"○",""))</f>
        <v/>
      </c>
      <c r="W4" s="31"/>
      <c r="X4" s="27"/>
      <c r="Y4" s="28"/>
      <c r="Z4" s="29" t="str">
        <f t="shared" ref="Z4:Z34" si="8">IF(X4="","",IF(ISNUMBER(SEARCH("夜勤",X4)),"",IF(A4="","","○")))</f>
        <v/>
      </c>
      <c r="AA4" s="30" t="str">
        <f t="shared" ref="AA4:AA34" si="9">IF(A4="","",IF(OR(AND(Y4&lt;&gt;"",NOT(OR(Y4="有給",Y4="休業"))),ISNUMBER(SEARCH("夜勤",X4))),"○",""))</f>
        <v/>
      </c>
      <c r="AB4" s="31"/>
      <c r="AC4" s="27"/>
      <c r="AD4" s="28"/>
      <c r="AE4" s="29" t="str">
        <f t="shared" ref="AE4:AE34" si="10">IF(AC4="","",IF(ISNUMBER(SEARCH("夜勤",AC4)),"",IF(A4="","","○")))</f>
        <v/>
      </c>
      <c r="AF4" s="30" t="str">
        <f t="shared" ref="AF4:AF34" si="11">IF(A4="","",IF(OR(AND(AD4&lt;&gt;"",NOT(OR(AD4="有給",AD4="休業"))),ISNUMBER(SEARCH("夜勤",AC4))),"○",""))</f>
        <v/>
      </c>
      <c r="AG4" s="31"/>
      <c r="AH4" s="27"/>
      <c r="AI4" s="28"/>
      <c r="AJ4" s="29" t="str">
        <f t="shared" ref="AJ4:AJ34" si="12">IF(AH4="","",IF(ISNUMBER(SEARCH("夜勤",AH4)),"",IF(A4="","","○")))</f>
        <v/>
      </c>
      <c r="AK4" s="30" t="str">
        <f t="shared" ref="AK4:AK34" si="13">IF(A4="","",IF(OR(AND(AI4&lt;&gt;"",NOT(OR(AI4="有給",AI4="休業"))),ISNUMBER(SEARCH("夜勤",AH4))),"○",""))</f>
        <v/>
      </c>
      <c r="AL4" s="31"/>
      <c r="AM4" s="27"/>
      <c r="AN4" s="28"/>
      <c r="AO4" s="29" t="str">
        <f t="shared" ref="AO4:AO34" si="14">IF(AM4="","",IF(ISNUMBER(SEARCH("夜勤",AM4)),"",IF(A4="","","○")))</f>
        <v/>
      </c>
      <c r="AP4" s="30" t="str">
        <f t="shared" ref="AP4:AP34" si="15">IF(A4="","",IF(OR(AND(AN4&lt;&gt;"",NOT(OR(AN4="有給",AN4="休業"))),ISNUMBER(SEARCH("夜勤",AM4))),"○",""))</f>
        <v/>
      </c>
      <c r="AQ4" s="31"/>
      <c r="AR4" s="27"/>
      <c r="AS4" s="28"/>
      <c r="AT4" s="29" t="str">
        <f t="shared" ref="AT4:AT34" si="16">IF(AR4="","",IF(ISNUMBER(SEARCH("夜勤",AR4)),"",IF(A4="","","○")))</f>
        <v/>
      </c>
      <c r="AU4" s="30" t="str">
        <f t="shared" ref="AU4:AU34" si="17">IF(A4="","",IF(OR(AND(AS4&lt;&gt;"",NOT(OR(AS4="有給",AS4="休業"))),ISNUMBER(SEARCH("夜勤",AR4))),"○",""))</f>
        <v/>
      </c>
      <c r="AV4" s="31"/>
      <c r="AW4" s="27"/>
      <c r="AX4" s="28"/>
      <c r="AY4" s="29" t="str">
        <f t="shared" ref="AY4:AY34" si="18">IF(AW4="","",IF(ISNUMBER(SEARCH("夜勤",AW4)),"",IF(A4="","","○")))</f>
        <v/>
      </c>
      <c r="AZ4" s="30" t="str">
        <f t="shared" ref="AZ4:AZ34" si="19">IF(A4="","",IF(OR(AND(AX4&lt;&gt;"",NOT(OR(AX4="有給",AX4="休業"))),ISNUMBER(SEARCH("夜勤",AW4))),"○",""))</f>
        <v/>
      </c>
      <c r="BA4" s="31"/>
      <c r="BB4" s="27"/>
      <c r="BC4" s="28"/>
      <c r="BD4" s="29" t="str">
        <f t="shared" ref="BD4:BD34" si="20">IF(BB4="","",IF(ISNUMBER(SEARCH("夜勤",BB4)),"",IF(A4="","","○")))</f>
        <v/>
      </c>
      <c r="BE4" s="30" t="str">
        <f t="shared" ref="BE4:BE34" si="21">IF(A4="","",IF(OR(AND(BC4&lt;&gt;"",NOT(OR(BC4="有給",BC4="休業"))),ISNUMBER(SEARCH("夜勤",BB4))),"○",""))</f>
        <v/>
      </c>
      <c r="BF4" s="31"/>
      <c r="BG4" s="27"/>
      <c r="BH4" s="28"/>
      <c r="BI4" s="29" t="str">
        <f t="shared" ref="BI4:BI34" si="22">IF(BG4="","",IF(ISNUMBER(SEARCH("夜勤",BG4)),"",IF(A4="","","○")))</f>
        <v/>
      </c>
      <c r="BJ4" s="30" t="str">
        <f t="shared" ref="BJ4:BJ34" si="23">IF(A4="","",IF(OR(AND(BH4&lt;&gt;"",NOT(OR(BH4="有給",BH4="休業"))),ISNUMBER(SEARCH("夜勤",BG4))),"○",""))</f>
        <v/>
      </c>
      <c r="BK4" s="31"/>
      <c r="BL4" s="27"/>
      <c r="BM4" s="28"/>
      <c r="BN4" s="29" t="str">
        <f t="shared" ref="BN4:BN34" si="24">IF(BL4="","",IF(ISNUMBER(SEARCH("夜勤",BL4)),"",IF(A4="","","○")))</f>
        <v/>
      </c>
      <c r="BO4" s="30" t="str">
        <f t="shared" ref="BO4:BO34" si="25">IF(A4="","",IF(OR(AND(BM4&lt;&gt;"",NOT(OR(BM4="有給",BM4="休業"))),ISNUMBER(SEARCH("夜勤",BL4))),"○",""))</f>
        <v/>
      </c>
      <c r="BP4" s="31"/>
      <c r="BQ4" s="27"/>
      <c r="BR4" s="28"/>
      <c r="BS4" s="29" t="str">
        <f t="shared" ref="BS4:BS34" si="26">IF(BQ4="","",IF(ISNUMBER(SEARCH("夜勤",BQ4)),"",IF(A4="","","○")))</f>
        <v/>
      </c>
      <c r="BT4" s="30" t="str">
        <f t="shared" ref="BT4:BT34" si="27">IF(A4="","",IF(OR(AND(BR4&lt;&gt;"",NOT(OR(BR4="有給",BR4="休業"))),ISNUMBER(SEARCH("夜勤",BQ4))),"○",""))</f>
        <v/>
      </c>
      <c r="BU4" s="31"/>
      <c r="BV4" s="27"/>
      <c r="BW4" s="28"/>
      <c r="BX4" s="29" t="str">
        <f t="shared" ref="BX4:BX34" si="28">IF(BV4="","",IF(ISNUMBER(SEARCH("夜勤",BV4)),"",IF(A4="","","○")))</f>
        <v/>
      </c>
      <c r="BY4" s="30" t="str">
        <f t="shared" ref="BY4:BY34" si="29">IF(A4="","",IF(OR(AND(BW4&lt;&gt;"",NOT(OR(BW4="有給",BW4="休業"))),ISNUMBER(SEARCH("夜勤",BV4))),"○",""))</f>
        <v/>
      </c>
      <c r="BZ4" s="31"/>
      <c r="CA4" s="27"/>
      <c r="CB4" s="28"/>
      <c r="CC4" s="29" t="str">
        <f t="shared" ref="CC4:CC34" si="30">IF(CA4="","",IF(ISNUMBER(SEARCH("夜勤",CA4)),"",IF(A4="","","○")))</f>
        <v/>
      </c>
      <c r="CD4" s="30" t="str">
        <f t="shared" ref="CD4:CD34" si="31">IF(A4="","",IF(OR(AND(CB4&lt;&gt;"",NOT(OR(CB4="有給",CB4="休業"))),ISNUMBER(SEARCH("夜勤",CA4))),"○",""))</f>
        <v/>
      </c>
      <c r="CE4" s="31"/>
      <c r="CF4" s="27"/>
      <c r="CG4" s="28"/>
      <c r="CH4" s="29" t="str">
        <f t="shared" ref="CH4:CH34" si="32">IF(CF4="","",IF(ISNUMBER(SEARCH("夜勤",CF4)),"",IF(A4="","","○")))</f>
        <v/>
      </c>
      <c r="CI4" s="30" t="str">
        <f t="shared" ref="CI4:CI34" si="33">IF(A4="","",IF(OR(AND(CG4&lt;&gt;"",NOT(OR(CG4="有給",CG4="休業"))),ISNUMBER(SEARCH("夜勤",CF4))),"○",""))</f>
        <v/>
      </c>
      <c r="CJ4" s="31"/>
      <c r="CK4" s="27"/>
      <c r="CL4" s="28"/>
      <c r="CM4" s="29" t="str">
        <f t="shared" ref="CM4:CM34" si="34">IF(CK4="","",IF(ISNUMBER(SEARCH("夜勤",CK4)),"",IF(A4="","","○")))</f>
        <v/>
      </c>
      <c r="CN4" s="30" t="str">
        <f t="shared" ref="CN4:CN34" si="35">IF(A4="","",IF(OR(AND(CL4&lt;&gt;"",NOT(OR(CL4="有給",CL4="休業"))),ISNUMBER(SEARCH("夜勤",CK4))),"○",""))</f>
        <v/>
      </c>
      <c r="CO4" s="31"/>
      <c r="CP4" s="27"/>
      <c r="CQ4" s="28"/>
      <c r="CR4" s="29" t="str">
        <f t="shared" ref="CR4:CR34" si="36">IF(CP4="","",IF(ISNUMBER(SEARCH("夜勤",CP4)),"",IF(A4="","","○")))</f>
        <v/>
      </c>
      <c r="CS4" s="30" t="str">
        <f t="shared" ref="CS4:CS34" si="37">IF(A4="","",IF(OR(AND(CQ4&lt;&gt;"",NOT(OR(CQ4="有給",CQ4="休業"))),ISNUMBER(SEARCH("夜勤",CP4))),"○",""))</f>
        <v/>
      </c>
      <c r="CT4" s="31"/>
      <c r="CU4" s="27"/>
      <c r="CV4" s="28"/>
      <c r="CW4" s="29" t="str">
        <f t="shared" ref="CW4:CW34" si="38">IF(CU4="","",IF(ISNUMBER(SEARCH("夜勤",CU4)),"",IF(A4="","","○")))</f>
        <v/>
      </c>
      <c r="CX4" s="30" t="str">
        <f t="shared" ref="CX4:CX34" si="39">IF(A4="","",IF(OR(AND(CV4&lt;&gt;"",NOT(OR(CV4="有給",CV4="休業"))),ISNUMBER(SEARCH("夜勤",CU4))),"○",""))</f>
        <v/>
      </c>
      <c r="CY4" s="31"/>
      <c r="CZ4" s="27"/>
      <c r="DA4" s="28"/>
      <c r="DB4" s="29" t="str">
        <f t="shared" ref="DB4:DB34" si="40">IF(CZ4="","",IF(ISNUMBER(SEARCH("夜勤",CZ4)),"",IF(A4="","","○")))</f>
        <v/>
      </c>
      <c r="DC4" s="30" t="str">
        <f t="shared" ref="DC4:DC34" si="41">IF(A4="","",IF(OR(AND(DA4&lt;&gt;"",NOT(OR(DA4="有給",DA4="休業"))),ISNUMBER(SEARCH("夜勤",CZ4))),"○",""))</f>
        <v/>
      </c>
      <c r="DD4" s="31"/>
      <c r="DE4" s="27"/>
      <c r="DF4" s="28"/>
      <c r="DG4" s="29" t="str">
        <f t="shared" ref="DG4:DG34" si="42">IF(DE4="","",IF(ISNUMBER(SEARCH("夜勤",DE4)),"",IF(A4="","","○")))</f>
        <v/>
      </c>
      <c r="DH4" s="30" t="str">
        <f t="shared" ref="DH4:DH34" si="43">IF(A4="","",IF(OR(AND(DF4&lt;&gt;"",NOT(OR(DF4="有給",DF4="休業"))),ISNUMBER(SEARCH("夜勤",DE4))),"○",""))</f>
        <v/>
      </c>
      <c r="DI4" s="31"/>
      <c r="DJ4" s="27"/>
      <c r="DK4" s="28"/>
      <c r="DL4" s="29" t="str">
        <f t="shared" ref="DL4:DL34" si="44">IF(DJ4="","",IF(ISNUMBER(SEARCH("夜勤",DJ4)),"",IF(A4="","","○")))</f>
        <v/>
      </c>
      <c r="DM4" s="30" t="str">
        <f t="shared" ref="DM4:DM34" si="45">IF(A4="","",IF(OR(AND(DK4&lt;&gt;"",NOT(OR(DK4="有給",DK4="休業"))),ISNUMBER(SEARCH("夜勤",DJ4))),"○",""))</f>
        <v/>
      </c>
      <c r="DN4" s="31"/>
      <c r="DO4" s="27"/>
      <c r="DP4" s="28"/>
      <c r="DQ4" s="29" t="str">
        <f t="shared" ref="DQ4:DQ34" si="46">IF(DO4="","",IF(ISNUMBER(SEARCH("夜勤",DO4)),"",IF(A4="","","○")))</f>
        <v/>
      </c>
      <c r="DR4" s="30" t="str">
        <f t="shared" ref="DR4:DR34" si="47">IF(A4="","",IF(OR(AND(DP4&lt;&gt;"",NOT(OR(DP4="有給",DP4="休業"))),ISNUMBER(SEARCH("夜勤",DO4))),"○",""))</f>
        <v/>
      </c>
      <c r="DS4" s="31"/>
      <c r="DT4" s="27"/>
      <c r="DU4" s="28"/>
      <c r="DV4" s="29" t="str">
        <f t="shared" ref="DV4:DV34" si="48">IF(DT4="","",IF(ISNUMBER(SEARCH("夜勤",DT4)),"",IF(A4="","","○")))</f>
        <v/>
      </c>
      <c r="DW4" s="30" t="str">
        <f t="shared" ref="DW4:DW34" si="49">IF(A4="","",IF(OR(AND(DU4&lt;&gt;"",NOT(OR(DU4="有給",DU4="休業"))),ISNUMBER(SEARCH("夜勤",DT4))),"○",""))</f>
        <v/>
      </c>
      <c r="DX4" s="31"/>
      <c r="DY4" s="27"/>
      <c r="DZ4" s="28"/>
      <c r="EA4" s="29" t="str">
        <f t="shared" ref="EA4:EA34" si="50">IF(DY4="","",IF(ISNUMBER(SEARCH("夜勤",DY4)),"",IF(A4="","","○")))</f>
        <v/>
      </c>
      <c r="EB4" s="30" t="str">
        <f t="shared" ref="EB4:EB34" si="51">IF(A4="","",IF(OR(AND(DZ4&lt;&gt;"",NOT(OR(DZ4="有給",DZ4="休業"))),ISNUMBER(SEARCH("夜勤",DY4))),"○",""))</f>
        <v/>
      </c>
      <c r="EC4" s="31"/>
      <c r="ED4" s="27"/>
      <c r="EE4" s="28"/>
      <c r="EF4" s="29" t="str">
        <f t="shared" ref="EF4:EF34" si="52">IF(ED4="","",IF(ISNUMBER(SEARCH("夜勤",ED4)),"",IF(A4="","","○")))</f>
        <v/>
      </c>
      <c r="EG4" s="30" t="str">
        <f t="shared" ref="EG4:EG34" si="53">IF(A4="","",IF(OR(AND(EE4&lt;&gt;"",NOT(OR(EE4="有給",EE4="休業"))),ISNUMBER(SEARCH("夜勤",ED4))),"○",""))</f>
        <v/>
      </c>
      <c r="EH4" s="31"/>
      <c r="EI4" s="27"/>
      <c r="EJ4" s="28"/>
      <c r="EK4" s="29" t="str">
        <f t="shared" ref="EK4:EK34" si="54">IF(EI4="","",IF(ISNUMBER(SEARCH("夜勤",EI4)),"",IF(A4="","","○")))</f>
        <v/>
      </c>
      <c r="EL4" s="30" t="str">
        <f t="shared" ref="EL4:EL34" si="55">IF(A4="","",IF(OR(AND(EJ4&lt;&gt;"",NOT(OR(EJ4="有給",EJ4="休業"))),ISNUMBER(SEARCH("夜勤",EI4))),"○",""))</f>
        <v/>
      </c>
      <c r="EM4" s="31"/>
      <c r="EN4" s="27"/>
      <c r="EO4" s="28"/>
      <c r="EP4" s="29" t="str">
        <f t="shared" ref="EP4:EP34" si="56">IF(EN4="","",IF(ISNUMBER(SEARCH("夜勤",EN4)),"",IF(A4="","","○")))</f>
        <v/>
      </c>
      <c r="EQ4" s="30" t="str">
        <f t="shared" ref="EQ4:EQ34" si="57">IF(A4="","",IF(OR(AND(EO4&lt;&gt;"",NOT(OR(EO4="有給",EO4="休業"))),ISNUMBER(SEARCH("夜勤",EN4))),"○",""))</f>
        <v/>
      </c>
      <c r="ER4" s="31"/>
      <c r="ES4" s="27"/>
      <c r="ET4" s="28"/>
      <c r="EU4" s="29" t="str">
        <f t="shared" ref="EU4:EU34" si="58">IF(ES4="","",IF(ISNUMBER(SEARCH("夜勤",ES4)),"",IF(A4="","","○")))</f>
        <v/>
      </c>
      <c r="EV4" s="30" t="str">
        <f t="shared" ref="EV4:EV34" si="59">IF(A4="","",IF(OR(AND(ET4&lt;&gt;"",NOT(OR(ET4="有給",ET4="休業"))),ISNUMBER(SEARCH("夜勤",ES4))),"○",""))</f>
        <v/>
      </c>
      <c r="EW4" s="31"/>
    </row>
    <row r="5" spans="1:153" ht="19.5" customHeight="1">
      <c r="A5" s="32">
        <f>IF(DAY(DATE(対象年度,3,2))&lt;&gt;2,"",2)</f>
        <v>2</v>
      </c>
      <c r="B5" s="32" t="str">
        <f>IF(DAY(DATE(対象年度,3,2))&lt;&gt;2,"",CHOOSE(WEEKDAY(DATE(対象年度,3,2),2),"月","火","水","木","金","土","日"))</f>
        <v>月</v>
      </c>
      <c r="C5" s="32" t="str">
        <f>IF(DAY(DATE(対象年度,3,2))&lt;&gt;2,"",IF(ISNUMBER(MATCH(DATE(対象年度,3,2),祝日リスト,0)),"祝",""))</f>
        <v/>
      </c>
      <c r="D5" s="38" t="s">
        <v>104</v>
      </c>
      <c r="E5" s="34"/>
      <c r="F5" s="35" t="str">
        <f t="shared" si="0"/>
        <v>○</v>
      </c>
      <c r="G5" s="36" t="str">
        <f t="shared" si="1"/>
        <v/>
      </c>
      <c r="H5" s="37"/>
      <c r="I5" s="38" t="s">
        <v>116</v>
      </c>
      <c r="J5" s="34"/>
      <c r="K5" s="35" t="str">
        <f t="shared" si="2"/>
        <v>○</v>
      </c>
      <c r="L5" s="36" t="str">
        <f t="shared" si="3"/>
        <v/>
      </c>
      <c r="M5" s="37"/>
      <c r="N5" s="38" t="s">
        <v>116</v>
      </c>
      <c r="O5" s="34"/>
      <c r="P5" s="35" t="str">
        <f t="shared" si="4"/>
        <v>○</v>
      </c>
      <c r="Q5" s="36" t="str">
        <f t="shared" si="5"/>
        <v/>
      </c>
      <c r="R5" s="37"/>
      <c r="S5" s="38" t="s">
        <v>116</v>
      </c>
      <c r="T5" s="34"/>
      <c r="U5" s="35" t="str">
        <f t="shared" si="6"/>
        <v>○</v>
      </c>
      <c r="V5" s="36" t="str">
        <f t="shared" si="7"/>
        <v/>
      </c>
      <c r="W5" s="37"/>
      <c r="X5" s="38" t="s">
        <v>116</v>
      </c>
      <c r="Y5" s="34"/>
      <c r="Z5" s="35" t="str">
        <f t="shared" si="8"/>
        <v>○</v>
      </c>
      <c r="AA5" s="36" t="str">
        <f t="shared" si="9"/>
        <v/>
      </c>
      <c r="AB5" s="37"/>
      <c r="AC5" s="38" t="s">
        <v>116</v>
      </c>
      <c r="AD5" s="34"/>
      <c r="AE5" s="35" t="str">
        <f t="shared" si="10"/>
        <v>○</v>
      </c>
      <c r="AF5" s="36" t="str">
        <f t="shared" si="11"/>
        <v/>
      </c>
      <c r="AG5" s="37"/>
      <c r="AH5" s="38" t="s">
        <v>117</v>
      </c>
      <c r="AI5" s="34"/>
      <c r="AJ5" s="35" t="str">
        <f t="shared" si="12"/>
        <v>○</v>
      </c>
      <c r="AK5" s="36" t="str">
        <f t="shared" si="13"/>
        <v/>
      </c>
      <c r="AL5" s="37"/>
      <c r="AM5" s="38" t="s">
        <v>116</v>
      </c>
      <c r="AN5" s="34"/>
      <c r="AO5" s="35" t="str">
        <f t="shared" si="14"/>
        <v>○</v>
      </c>
      <c r="AP5" s="36" t="str">
        <f t="shared" si="15"/>
        <v/>
      </c>
      <c r="AQ5" s="37"/>
      <c r="AR5" s="38" t="s">
        <v>116</v>
      </c>
      <c r="AS5" s="34"/>
      <c r="AT5" s="35" t="str">
        <f t="shared" si="16"/>
        <v>○</v>
      </c>
      <c r="AU5" s="36" t="str">
        <f t="shared" si="17"/>
        <v/>
      </c>
      <c r="AV5" s="37"/>
      <c r="AW5" s="33"/>
      <c r="AX5" s="34"/>
      <c r="AY5" s="35" t="str">
        <f t="shared" si="18"/>
        <v/>
      </c>
      <c r="AZ5" s="36" t="str">
        <f t="shared" si="19"/>
        <v/>
      </c>
      <c r="BA5" s="37"/>
      <c r="BB5" s="38" t="s">
        <v>104</v>
      </c>
      <c r="BC5" s="34"/>
      <c r="BD5" s="35" t="str">
        <f t="shared" si="20"/>
        <v>○</v>
      </c>
      <c r="BE5" s="36" t="str">
        <f t="shared" si="21"/>
        <v/>
      </c>
      <c r="BF5" s="37"/>
      <c r="BG5" s="38" t="s">
        <v>116</v>
      </c>
      <c r="BH5" s="34"/>
      <c r="BI5" s="35" t="str">
        <f t="shared" si="22"/>
        <v>○</v>
      </c>
      <c r="BJ5" s="36" t="str">
        <f t="shared" si="23"/>
        <v/>
      </c>
      <c r="BK5" s="37"/>
      <c r="BL5" s="33"/>
      <c r="BM5" s="34"/>
      <c r="BN5" s="35" t="str">
        <f t="shared" si="24"/>
        <v/>
      </c>
      <c r="BO5" s="36" t="str">
        <f t="shared" si="25"/>
        <v/>
      </c>
      <c r="BP5" s="37"/>
      <c r="BQ5" s="33"/>
      <c r="BR5" s="34"/>
      <c r="BS5" s="35" t="str">
        <f t="shared" si="26"/>
        <v/>
      </c>
      <c r="BT5" s="36" t="str">
        <f t="shared" si="27"/>
        <v/>
      </c>
      <c r="BU5" s="37"/>
      <c r="BV5" s="33"/>
      <c r="BW5" s="34"/>
      <c r="BX5" s="35" t="str">
        <f t="shared" si="28"/>
        <v/>
      </c>
      <c r="BY5" s="36" t="str">
        <f t="shared" si="29"/>
        <v/>
      </c>
      <c r="BZ5" s="37"/>
      <c r="CA5" s="33"/>
      <c r="CB5" s="34"/>
      <c r="CC5" s="35" t="str">
        <f t="shared" si="30"/>
        <v/>
      </c>
      <c r="CD5" s="36" t="str">
        <f t="shared" si="31"/>
        <v/>
      </c>
      <c r="CE5" s="37"/>
      <c r="CF5" s="33"/>
      <c r="CG5" s="34"/>
      <c r="CH5" s="35" t="str">
        <f t="shared" si="32"/>
        <v/>
      </c>
      <c r="CI5" s="36" t="str">
        <f t="shared" si="33"/>
        <v/>
      </c>
      <c r="CJ5" s="37"/>
      <c r="CK5" s="33"/>
      <c r="CL5" s="34"/>
      <c r="CM5" s="35" t="str">
        <f t="shared" si="34"/>
        <v/>
      </c>
      <c r="CN5" s="36" t="str">
        <f t="shared" si="35"/>
        <v/>
      </c>
      <c r="CO5" s="37"/>
      <c r="CP5" s="33"/>
      <c r="CQ5" s="34"/>
      <c r="CR5" s="35" t="str">
        <f t="shared" si="36"/>
        <v/>
      </c>
      <c r="CS5" s="36" t="str">
        <f t="shared" si="37"/>
        <v/>
      </c>
      <c r="CT5" s="37"/>
      <c r="CU5" s="33"/>
      <c r="CV5" s="34"/>
      <c r="CW5" s="35" t="str">
        <f t="shared" si="38"/>
        <v/>
      </c>
      <c r="CX5" s="36" t="str">
        <f t="shared" si="39"/>
        <v/>
      </c>
      <c r="CY5" s="37"/>
      <c r="CZ5" s="33"/>
      <c r="DA5" s="34"/>
      <c r="DB5" s="35" t="str">
        <f t="shared" si="40"/>
        <v/>
      </c>
      <c r="DC5" s="36" t="str">
        <f t="shared" si="41"/>
        <v/>
      </c>
      <c r="DD5" s="37"/>
      <c r="DE5" s="33"/>
      <c r="DF5" s="34"/>
      <c r="DG5" s="35" t="str">
        <f t="shared" si="42"/>
        <v/>
      </c>
      <c r="DH5" s="36" t="str">
        <f t="shared" si="43"/>
        <v/>
      </c>
      <c r="DI5" s="37"/>
      <c r="DJ5" s="33"/>
      <c r="DK5" s="34"/>
      <c r="DL5" s="35" t="str">
        <f t="shared" si="44"/>
        <v/>
      </c>
      <c r="DM5" s="36" t="str">
        <f t="shared" si="45"/>
        <v/>
      </c>
      <c r="DN5" s="37"/>
      <c r="DO5" s="33"/>
      <c r="DP5" s="34"/>
      <c r="DQ5" s="35" t="str">
        <f t="shared" si="46"/>
        <v/>
      </c>
      <c r="DR5" s="36" t="str">
        <f t="shared" si="47"/>
        <v/>
      </c>
      <c r="DS5" s="37"/>
      <c r="DT5" s="33"/>
      <c r="DU5" s="34"/>
      <c r="DV5" s="35" t="str">
        <f t="shared" si="48"/>
        <v/>
      </c>
      <c r="DW5" s="36" t="str">
        <f t="shared" si="49"/>
        <v/>
      </c>
      <c r="DX5" s="37"/>
      <c r="DY5" s="33"/>
      <c r="DZ5" s="34"/>
      <c r="EA5" s="35" t="str">
        <f t="shared" si="50"/>
        <v/>
      </c>
      <c r="EB5" s="36" t="str">
        <f t="shared" si="51"/>
        <v/>
      </c>
      <c r="EC5" s="37"/>
      <c r="ED5" s="33"/>
      <c r="EE5" s="34"/>
      <c r="EF5" s="35" t="str">
        <f t="shared" si="52"/>
        <v/>
      </c>
      <c r="EG5" s="36" t="str">
        <f t="shared" si="53"/>
        <v/>
      </c>
      <c r="EH5" s="37"/>
      <c r="EI5" s="33"/>
      <c r="EJ5" s="34"/>
      <c r="EK5" s="35" t="str">
        <f t="shared" si="54"/>
        <v/>
      </c>
      <c r="EL5" s="36" t="str">
        <f t="shared" si="55"/>
        <v/>
      </c>
      <c r="EM5" s="37"/>
      <c r="EN5" s="33"/>
      <c r="EO5" s="34"/>
      <c r="EP5" s="35" t="str">
        <f t="shared" si="56"/>
        <v/>
      </c>
      <c r="EQ5" s="36" t="str">
        <f t="shared" si="57"/>
        <v/>
      </c>
      <c r="ER5" s="37"/>
      <c r="ES5" s="33"/>
      <c r="ET5" s="34"/>
      <c r="EU5" s="35" t="str">
        <f t="shared" si="58"/>
        <v/>
      </c>
      <c r="EV5" s="36" t="str">
        <f t="shared" si="59"/>
        <v/>
      </c>
      <c r="EW5" s="37"/>
    </row>
    <row r="6" spans="1:153" ht="19.5" customHeight="1">
      <c r="A6" s="32">
        <f>IF(DAY(DATE(対象年度,3,3))&lt;&gt;3,"",3)</f>
        <v>3</v>
      </c>
      <c r="B6" s="32" t="str">
        <f>IF(DAY(DATE(対象年度,3,3))&lt;&gt;3,"",CHOOSE(WEEKDAY(DATE(対象年度,3,3),2),"月","火","水","木","金","土","日"))</f>
        <v>火</v>
      </c>
      <c r="C6" s="32" t="str">
        <f>IF(DAY(DATE(対象年度,3,3))&lt;&gt;3,"",IF(ISNUMBER(MATCH(DATE(対象年度,3,3),祝日リスト,0)),"祝",""))</f>
        <v/>
      </c>
      <c r="D6" s="38" t="s">
        <v>104</v>
      </c>
      <c r="E6" s="34"/>
      <c r="F6" s="35" t="str">
        <f t="shared" si="0"/>
        <v>○</v>
      </c>
      <c r="G6" s="36" t="str">
        <f t="shared" si="1"/>
        <v/>
      </c>
      <c r="H6" s="37"/>
      <c r="I6" s="33"/>
      <c r="J6" s="46" t="s">
        <v>125</v>
      </c>
      <c r="K6" s="35" t="str">
        <f t="shared" si="2"/>
        <v/>
      </c>
      <c r="L6" s="36" t="str">
        <f t="shared" si="3"/>
        <v>○</v>
      </c>
      <c r="M6" s="37"/>
      <c r="N6" s="38" t="s">
        <v>116</v>
      </c>
      <c r="O6" s="34"/>
      <c r="P6" s="35" t="str">
        <f t="shared" si="4"/>
        <v>○</v>
      </c>
      <c r="Q6" s="36" t="str">
        <f t="shared" si="5"/>
        <v/>
      </c>
      <c r="R6" s="37"/>
      <c r="S6" s="38" t="s">
        <v>116</v>
      </c>
      <c r="T6" s="34"/>
      <c r="U6" s="35" t="str">
        <f t="shared" si="6"/>
        <v>○</v>
      </c>
      <c r="V6" s="36" t="str">
        <f t="shared" si="7"/>
        <v/>
      </c>
      <c r="W6" s="37"/>
      <c r="X6" s="38" t="s">
        <v>116</v>
      </c>
      <c r="Y6" s="34"/>
      <c r="Z6" s="35" t="str">
        <f t="shared" si="8"/>
        <v>○</v>
      </c>
      <c r="AA6" s="36" t="str">
        <f t="shared" si="9"/>
        <v/>
      </c>
      <c r="AB6" s="37"/>
      <c r="AC6" s="33"/>
      <c r="AD6" s="46" t="s">
        <v>125</v>
      </c>
      <c r="AE6" s="35" t="str">
        <f t="shared" si="10"/>
        <v/>
      </c>
      <c r="AF6" s="36" t="str">
        <f t="shared" si="11"/>
        <v>○</v>
      </c>
      <c r="AG6" s="37"/>
      <c r="AH6" s="33"/>
      <c r="AI6" s="34"/>
      <c r="AJ6" s="35" t="str">
        <f t="shared" si="12"/>
        <v/>
      </c>
      <c r="AK6" s="36" t="str">
        <f t="shared" si="13"/>
        <v/>
      </c>
      <c r="AL6" s="37"/>
      <c r="AM6" s="33"/>
      <c r="AN6" s="46" t="s">
        <v>125</v>
      </c>
      <c r="AO6" s="35" t="str">
        <f t="shared" si="14"/>
        <v/>
      </c>
      <c r="AP6" s="36" t="str">
        <f t="shared" si="15"/>
        <v>○</v>
      </c>
      <c r="AQ6" s="37"/>
      <c r="AR6" s="38" t="s">
        <v>116</v>
      </c>
      <c r="AS6" s="34"/>
      <c r="AT6" s="35" t="str">
        <f t="shared" si="16"/>
        <v>○</v>
      </c>
      <c r="AU6" s="36" t="str">
        <f t="shared" si="17"/>
        <v/>
      </c>
      <c r="AV6" s="37"/>
      <c r="AW6" s="38" t="s">
        <v>124</v>
      </c>
      <c r="AX6" s="34"/>
      <c r="AY6" s="35" t="str">
        <f t="shared" si="18"/>
        <v>○</v>
      </c>
      <c r="AZ6" s="36" t="str">
        <f t="shared" si="19"/>
        <v/>
      </c>
      <c r="BA6" s="37"/>
      <c r="BB6" s="38" t="s">
        <v>104</v>
      </c>
      <c r="BC6" s="34"/>
      <c r="BD6" s="35" t="str">
        <f t="shared" si="20"/>
        <v>○</v>
      </c>
      <c r="BE6" s="36" t="str">
        <f t="shared" si="21"/>
        <v/>
      </c>
      <c r="BF6" s="37"/>
      <c r="BG6" s="38" t="s">
        <v>116</v>
      </c>
      <c r="BH6" s="34"/>
      <c r="BI6" s="35" t="str">
        <f t="shared" si="22"/>
        <v>○</v>
      </c>
      <c r="BJ6" s="36" t="str">
        <f t="shared" si="23"/>
        <v/>
      </c>
      <c r="BK6" s="37"/>
      <c r="BL6" s="33"/>
      <c r="BM6" s="34"/>
      <c r="BN6" s="35" t="str">
        <f t="shared" si="24"/>
        <v/>
      </c>
      <c r="BO6" s="36" t="str">
        <f t="shared" si="25"/>
        <v/>
      </c>
      <c r="BP6" s="37"/>
      <c r="BQ6" s="33"/>
      <c r="BR6" s="34"/>
      <c r="BS6" s="35" t="str">
        <f t="shared" si="26"/>
        <v/>
      </c>
      <c r="BT6" s="36" t="str">
        <f t="shared" si="27"/>
        <v/>
      </c>
      <c r="BU6" s="37"/>
      <c r="BV6" s="33"/>
      <c r="BW6" s="34"/>
      <c r="BX6" s="35" t="str">
        <f t="shared" si="28"/>
        <v/>
      </c>
      <c r="BY6" s="36" t="str">
        <f t="shared" si="29"/>
        <v/>
      </c>
      <c r="BZ6" s="37"/>
      <c r="CA6" s="33"/>
      <c r="CB6" s="34"/>
      <c r="CC6" s="35" t="str">
        <f t="shared" si="30"/>
        <v/>
      </c>
      <c r="CD6" s="36" t="str">
        <f t="shared" si="31"/>
        <v/>
      </c>
      <c r="CE6" s="37"/>
      <c r="CF6" s="33"/>
      <c r="CG6" s="34"/>
      <c r="CH6" s="35" t="str">
        <f t="shared" si="32"/>
        <v/>
      </c>
      <c r="CI6" s="36" t="str">
        <f t="shared" si="33"/>
        <v/>
      </c>
      <c r="CJ6" s="37"/>
      <c r="CK6" s="33"/>
      <c r="CL6" s="34"/>
      <c r="CM6" s="35" t="str">
        <f t="shared" si="34"/>
        <v/>
      </c>
      <c r="CN6" s="36" t="str">
        <f t="shared" si="35"/>
        <v/>
      </c>
      <c r="CO6" s="37"/>
      <c r="CP6" s="33"/>
      <c r="CQ6" s="34"/>
      <c r="CR6" s="35" t="str">
        <f t="shared" si="36"/>
        <v/>
      </c>
      <c r="CS6" s="36" t="str">
        <f t="shared" si="37"/>
        <v/>
      </c>
      <c r="CT6" s="37"/>
      <c r="CU6" s="33"/>
      <c r="CV6" s="34"/>
      <c r="CW6" s="35" t="str">
        <f t="shared" si="38"/>
        <v/>
      </c>
      <c r="CX6" s="36" t="str">
        <f t="shared" si="39"/>
        <v/>
      </c>
      <c r="CY6" s="37"/>
      <c r="CZ6" s="33"/>
      <c r="DA6" s="34"/>
      <c r="DB6" s="35" t="str">
        <f t="shared" si="40"/>
        <v/>
      </c>
      <c r="DC6" s="36" t="str">
        <f t="shared" si="41"/>
        <v/>
      </c>
      <c r="DD6" s="37"/>
      <c r="DE6" s="33"/>
      <c r="DF6" s="34"/>
      <c r="DG6" s="35" t="str">
        <f t="shared" si="42"/>
        <v/>
      </c>
      <c r="DH6" s="36" t="str">
        <f t="shared" si="43"/>
        <v/>
      </c>
      <c r="DI6" s="37"/>
      <c r="DJ6" s="33"/>
      <c r="DK6" s="34"/>
      <c r="DL6" s="35" t="str">
        <f t="shared" si="44"/>
        <v/>
      </c>
      <c r="DM6" s="36" t="str">
        <f t="shared" si="45"/>
        <v/>
      </c>
      <c r="DN6" s="37"/>
      <c r="DO6" s="33"/>
      <c r="DP6" s="34"/>
      <c r="DQ6" s="35" t="str">
        <f t="shared" si="46"/>
        <v/>
      </c>
      <c r="DR6" s="36" t="str">
        <f t="shared" si="47"/>
        <v/>
      </c>
      <c r="DS6" s="37"/>
      <c r="DT6" s="33"/>
      <c r="DU6" s="34"/>
      <c r="DV6" s="35" t="str">
        <f t="shared" si="48"/>
        <v/>
      </c>
      <c r="DW6" s="36" t="str">
        <f t="shared" si="49"/>
        <v/>
      </c>
      <c r="DX6" s="37"/>
      <c r="DY6" s="33"/>
      <c r="DZ6" s="34"/>
      <c r="EA6" s="35" t="str">
        <f t="shared" si="50"/>
        <v/>
      </c>
      <c r="EB6" s="36" t="str">
        <f t="shared" si="51"/>
        <v/>
      </c>
      <c r="EC6" s="37"/>
      <c r="ED6" s="33"/>
      <c r="EE6" s="34"/>
      <c r="EF6" s="35" t="str">
        <f t="shared" si="52"/>
        <v/>
      </c>
      <c r="EG6" s="36" t="str">
        <f t="shared" si="53"/>
        <v/>
      </c>
      <c r="EH6" s="37"/>
      <c r="EI6" s="33"/>
      <c r="EJ6" s="34"/>
      <c r="EK6" s="35" t="str">
        <f t="shared" si="54"/>
        <v/>
      </c>
      <c r="EL6" s="36" t="str">
        <f t="shared" si="55"/>
        <v/>
      </c>
      <c r="EM6" s="37"/>
      <c r="EN6" s="33"/>
      <c r="EO6" s="34"/>
      <c r="EP6" s="35" t="str">
        <f t="shared" si="56"/>
        <v/>
      </c>
      <c r="EQ6" s="36" t="str">
        <f t="shared" si="57"/>
        <v/>
      </c>
      <c r="ER6" s="37"/>
      <c r="ES6" s="33"/>
      <c r="ET6" s="34"/>
      <c r="EU6" s="35" t="str">
        <f t="shared" si="58"/>
        <v/>
      </c>
      <c r="EV6" s="36" t="str">
        <f t="shared" si="59"/>
        <v/>
      </c>
      <c r="EW6" s="37"/>
    </row>
    <row r="7" spans="1:153" ht="19.5" customHeight="1">
      <c r="A7" s="32">
        <f>IF(DAY(DATE(対象年度,3,4))&lt;&gt;4,"",4)</f>
        <v>4</v>
      </c>
      <c r="B7" s="32" t="str">
        <f>IF(DAY(DATE(対象年度,3,4))&lt;&gt;4,"",CHOOSE(WEEKDAY(DATE(対象年度,3,4),2),"月","火","水","木","金","土","日"))</f>
        <v>水</v>
      </c>
      <c r="C7" s="32" t="str">
        <f>IF(DAY(DATE(対象年度,3,4))&lt;&gt;4,"",IF(ISNUMBER(MATCH(DATE(対象年度,3,4),祝日リスト,0)),"祝",""))</f>
        <v/>
      </c>
      <c r="D7" s="38" t="s">
        <v>104</v>
      </c>
      <c r="E7" s="34"/>
      <c r="F7" s="35" t="str">
        <f t="shared" si="0"/>
        <v>○</v>
      </c>
      <c r="G7" s="36" t="str">
        <f t="shared" si="1"/>
        <v/>
      </c>
      <c r="H7" s="37"/>
      <c r="I7" s="33"/>
      <c r="J7" s="46" t="s">
        <v>126</v>
      </c>
      <c r="K7" s="35" t="str">
        <f t="shared" si="2"/>
        <v/>
      </c>
      <c r="L7" s="36" t="str">
        <f t="shared" si="3"/>
        <v>○</v>
      </c>
      <c r="M7" s="37"/>
      <c r="N7" s="38" t="s">
        <v>116</v>
      </c>
      <c r="O7" s="34"/>
      <c r="P7" s="35" t="str">
        <f t="shared" si="4"/>
        <v>○</v>
      </c>
      <c r="Q7" s="36" t="str">
        <f t="shared" si="5"/>
        <v/>
      </c>
      <c r="R7" s="37"/>
      <c r="S7" s="38" t="s">
        <v>116</v>
      </c>
      <c r="T7" s="34"/>
      <c r="U7" s="35" t="str">
        <f t="shared" si="6"/>
        <v>○</v>
      </c>
      <c r="V7" s="36" t="str">
        <f t="shared" si="7"/>
        <v/>
      </c>
      <c r="W7" s="37"/>
      <c r="X7" s="38" t="s">
        <v>116</v>
      </c>
      <c r="Y7" s="34"/>
      <c r="Z7" s="35" t="str">
        <f t="shared" si="8"/>
        <v>○</v>
      </c>
      <c r="AA7" s="36" t="str">
        <f t="shared" si="9"/>
        <v/>
      </c>
      <c r="AB7" s="37"/>
      <c r="AC7" s="33"/>
      <c r="AD7" s="34"/>
      <c r="AE7" s="35" t="str">
        <f t="shared" si="10"/>
        <v/>
      </c>
      <c r="AF7" s="36" t="str">
        <f t="shared" si="11"/>
        <v/>
      </c>
      <c r="AG7" s="37"/>
      <c r="AH7" s="38" t="s">
        <v>117</v>
      </c>
      <c r="AI7" s="34"/>
      <c r="AJ7" s="35" t="str">
        <f t="shared" si="12"/>
        <v>○</v>
      </c>
      <c r="AK7" s="36" t="str">
        <f t="shared" si="13"/>
        <v/>
      </c>
      <c r="AL7" s="37"/>
      <c r="AM7" s="33"/>
      <c r="AN7" s="34"/>
      <c r="AO7" s="35" t="str">
        <f t="shared" si="14"/>
        <v/>
      </c>
      <c r="AP7" s="36" t="str">
        <f t="shared" si="15"/>
        <v/>
      </c>
      <c r="AQ7" s="37"/>
      <c r="AR7" s="38" t="s">
        <v>116</v>
      </c>
      <c r="AS7" s="34"/>
      <c r="AT7" s="35" t="str">
        <f t="shared" si="16"/>
        <v>○</v>
      </c>
      <c r="AU7" s="36" t="str">
        <f t="shared" si="17"/>
        <v/>
      </c>
      <c r="AV7" s="37"/>
      <c r="AW7" s="38" t="s">
        <v>124</v>
      </c>
      <c r="AX7" s="34"/>
      <c r="AY7" s="35" t="str">
        <f t="shared" si="18"/>
        <v>○</v>
      </c>
      <c r="AZ7" s="36" t="str">
        <f t="shared" si="19"/>
        <v/>
      </c>
      <c r="BA7" s="37"/>
      <c r="BB7" s="38" t="s">
        <v>104</v>
      </c>
      <c r="BC7" s="34"/>
      <c r="BD7" s="35" t="str">
        <f t="shared" si="20"/>
        <v>○</v>
      </c>
      <c r="BE7" s="36" t="str">
        <f t="shared" si="21"/>
        <v/>
      </c>
      <c r="BF7" s="37"/>
      <c r="BG7" s="38" t="s">
        <v>116</v>
      </c>
      <c r="BH7" s="34"/>
      <c r="BI7" s="35" t="str">
        <f t="shared" si="22"/>
        <v>○</v>
      </c>
      <c r="BJ7" s="36" t="str">
        <f t="shared" si="23"/>
        <v/>
      </c>
      <c r="BK7" s="37"/>
      <c r="BL7" s="33"/>
      <c r="BM7" s="34"/>
      <c r="BN7" s="35" t="str">
        <f t="shared" si="24"/>
        <v/>
      </c>
      <c r="BO7" s="36" t="str">
        <f t="shared" si="25"/>
        <v/>
      </c>
      <c r="BP7" s="37"/>
      <c r="BQ7" s="33"/>
      <c r="BR7" s="34"/>
      <c r="BS7" s="35" t="str">
        <f t="shared" si="26"/>
        <v/>
      </c>
      <c r="BT7" s="36" t="str">
        <f t="shared" si="27"/>
        <v/>
      </c>
      <c r="BU7" s="37"/>
      <c r="BV7" s="33"/>
      <c r="BW7" s="34"/>
      <c r="BX7" s="35" t="str">
        <f t="shared" si="28"/>
        <v/>
      </c>
      <c r="BY7" s="36" t="str">
        <f t="shared" si="29"/>
        <v/>
      </c>
      <c r="BZ7" s="37"/>
      <c r="CA7" s="33"/>
      <c r="CB7" s="34"/>
      <c r="CC7" s="35" t="str">
        <f t="shared" si="30"/>
        <v/>
      </c>
      <c r="CD7" s="36" t="str">
        <f t="shared" si="31"/>
        <v/>
      </c>
      <c r="CE7" s="37"/>
      <c r="CF7" s="33"/>
      <c r="CG7" s="34"/>
      <c r="CH7" s="35" t="str">
        <f t="shared" si="32"/>
        <v/>
      </c>
      <c r="CI7" s="36" t="str">
        <f t="shared" si="33"/>
        <v/>
      </c>
      <c r="CJ7" s="37"/>
      <c r="CK7" s="33"/>
      <c r="CL7" s="34"/>
      <c r="CM7" s="35" t="str">
        <f t="shared" si="34"/>
        <v/>
      </c>
      <c r="CN7" s="36" t="str">
        <f t="shared" si="35"/>
        <v/>
      </c>
      <c r="CO7" s="37"/>
      <c r="CP7" s="33"/>
      <c r="CQ7" s="34"/>
      <c r="CR7" s="35" t="str">
        <f t="shared" si="36"/>
        <v/>
      </c>
      <c r="CS7" s="36" t="str">
        <f t="shared" si="37"/>
        <v/>
      </c>
      <c r="CT7" s="37"/>
      <c r="CU7" s="33"/>
      <c r="CV7" s="34"/>
      <c r="CW7" s="35" t="str">
        <f t="shared" si="38"/>
        <v/>
      </c>
      <c r="CX7" s="36" t="str">
        <f t="shared" si="39"/>
        <v/>
      </c>
      <c r="CY7" s="37"/>
      <c r="CZ7" s="33"/>
      <c r="DA7" s="34"/>
      <c r="DB7" s="35" t="str">
        <f t="shared" si="40"/>
        <v/>
      </c>
      <c r="DC7" s="36" t="str">
        <f t="shared" si="41"/>
        <v/>
      </c>
      <c r="DD7" s="37"/>
      <c r="DE7" s="33"/>
      <c r="DF7" s="34"/>
      <c r="DG7" s="35" t="str">
        <f t="shared" si="42"/>
        <v/>
      </c>
      <c r="DH7" s="36" t="str">
        <f t="shared" si="43"/>
        <v/>
      </c>
      <c r="DI7" s="37"/>
      <c r="DJ7" s="33"/>
      <c r="DK7" s="34"/>
      <c r="DL7" s="35" t="str">
        <f t="shared" si="44"/>
        <v/>
      </c>
      <c r="DM7" s="36" t="str">
        <f t="shared" si="45"/>
        <v/>
      </c>
      <c r="DN7" s="37"/>
      <c r="DO7" s="33"/>
      <c r="DP7" s="34"/>
      <c r="DQ7" s="35" t="str">
        <f t="shared" si="46"/>
        <v/>
      </c>
      <c r="DR7" s="36" t="str">
        <f t="shared" si="47"/>
        <v/>
      </c>
      <c r="DS7" s="37"/>
      <c r="DT7" s="33"/>
      <c r="DU7" s="34"/>
      <c r="DV7" s="35" t="str">
        <f t="shared" si="48"/>
        <v/>
      </c>
      <c r="DW7" s="36" t="str">
        <f t="shared" si="49"/>
        <v/>
      </c>
      <c r="DX7" s="37"/>
      <c r="DY7" s="33"/>
      <c r="DZ7" s="34"/>
      <c r="EA7" s="35" t="str">
        <f t="shared" si="50"/>
        <v/>
      </c>
      <c r="EB7" s="36" t="str">
        <f t="shared" si="51"/>
        <v/>
      </c>
      <c r="EC7" s="37"/>
      <c r="ED7" s="33"/>
      <c r="EE7" s="34"/>
      <c r="EF7" s="35" t="str">
        <f t="shared" si="52"/>
        <v/>
      </c>
      <c r="EG7" s="36" t="str">
        <f t="shared" si="53"/>
        <v/>
      </c>
      <c r="EH7" s="37"/>
      <c r="EI7" s="33"/>
      <c r="EJ7" s="34"/>
      <c r="EK7" s="35" t="str">
        <f t="shared" si="54"/>
        <v/>
      </c>
      <c r="EL7" s="36" t="str">
        <f t="shared" si="55"/>
        <v/>
      </c>
      <c r="EM7" s="37"/>
      <c r="EN7" s="33"/>
      <c r="EO7" s="34"/>
      <c r="EP7" s="35" t="str">
        <f t="shared" si="56"/>
        <v/>
      </c>
      <c r="EQ7" s="36" t="str">
        <f t="shared" si="57"/>
        <v/>
      </c>
      <c r="ER7" s="37"/>
      <c r="ES7" s="33"/>
      <c r="ET7" s="34"/>
      <c r="EU7" s="35" t="str">
        <f t="shared" si="58"/>
        <v/>
      </c>
      <c r="EV7" s="36" t="str">
        <f t="shared" si="59"/>
        <v/>
      </c>
      <c r="EW7" s="37"/>
    </row>
    <row r="8" spans="1:153" ht="19.5" customHeight="1">
      <c r="A8" s="32">
        <f>IF(DAY(DATE(対象年度,3,5))&lt;&gt;5,"",5)</f>
        <v>5</v>
      </c>
      <c r="B8" s="32" t="str">
        <f>IF(DAY(DATE(対象年度,3,5))&lt;&gt;5,"",CHOOSE(WEEKDAY(DATE(対象年度,3,5),2),"月","火","水","木","金","土","日"))</f>
        <v>木</v>
      </c>
      <c r="C8" s="32" t="str">
        <f>IF(DAY(DATE(対象年度,3,5))&lt;&gt;5,"",IF(ISNUMBER(MATCH(DATE(対象年度,3,5),祝日リスト,0)),"祝",""))</f>
        <v/>
      </c>
      <c r="D8" s="38" t="s">
        <v>104</v>
      </c>
      <c r="E8" s="34"/>
      <c r="F8" s="35" t="str">
        <f t="shared" si="0"/>
        <v>○</v>
      </c>
      <c r="G8" s="36" t="str">
        <f t="shared" si="1"/>
        <v/>
      </c>
      <c r="H8" s="37"/>
      <c r="I8" s="33"/>
      <c r="J8" s="46" t="s">
        <v>126</v>
      </c>
      <c r="K8" s="35" t="str">
        <f t="shared" si="2"/>
        <v/>
      </c>
      <c r="L8" s="36" t="str">
        <f t="shared" si="3"/>
        <v>○</v>
      </c>
      <c r="M8" s="37"/>
      <c r="N8" s="38" t="s">
        <v>116</v>
      </c>
      <c r="O8" s="34"/>
      <c r="P8" s="35" t="str">
        <f t="shared" si="4"/>
        <v>○</v>
      </c>
      <c r="Q8" s="36" t="str">
        <f t="shared" si="5"/>
        <v/>
      </c>
      <c r="R8" s="37"/>
      <c r="S8" s="38" t="s">
        <v>116</v>
      </c>
      <c r="T8" s="34"/>
      <c r="U8" s="35" t="str">
        <f t="shared" si="6"/>
        <v>○</v>
      </c>
      <c r="V8" s="36" t="str">
        <f t="shared" si="7"/>
        <v/>
      </c>
      <c r="W8" s="37"/>
      <c r="X8" s="38" t="s">
        <v>116</v>
      </c>
      <c r="Y8" s="34"/>
      <c r="Z8" s="35" t="str">
        <f t="shared" si="8"/>
        <v>○</v>
      </c>
      <c r="AA8" s="36" t="str">
        <f t="shared" si="9"/>
        <v/>
      </c>
      <c r="AB8" s="37"/>
      <c r="AC8" s="33"/>
      <c r="AD8" s="46" t="s">
        <v>126</v>
      </c>
      <c r="AE8" s="35" t="str">
        <f t="shared" si="10"/>
        <v/>
      </c>
      <c r="AF8" s="36" t="str">
        <f t="shared" si="11"/>
        <v>○</v>
      </c>
      <c r="AG8" s="37"/>
      <c r="AH8" s="38" t="s">
        <v>117</v>
      </c>
      <c r="AI8" s="34"/>
      <c r="AJ8" s="35" t="str">
        <f t="shared" si="12"/>
        <v>○</v>
      </c>
      <c r="AK8" s="36" t="str">
        <f t="shared" si="13"/>
        <v/>
      </c>
      <c r="AL8" s="37"/>
      <c r="AM8" s="33"/>
      <c r="AN8" s="46" t="s">
        <v>126</v>
      </c>
      <c r="AO8" s="35" t="str">
        <f t="shared" si="14"/>
        <v/>
      </c>
      <c r="AP8" s="36" t="str">
        <f t="shared" si="15"/>
        <v>○</v>
      </c>
      <c r="AQ8" s="37"/>
      <c r="AR8" s="38" t="s">
        <v>116</v>
      </c>
      <c r="AS8" s="34"/>
      <c r="AT8" s="35" t="str">
        <f t="shared" si="16"/>
        <v>○</v>
      </c>
      <c r="AU8" s="36" t="str">
        <f t="shared" si="17"/>
        <v/>
      </c>
      <c r="AV8" s="37"/>
      <c r="AW8" s="38" t="s">
        <v>124</v>
      </c>
      <c r="AX8" s="34"/>
      <c r="AY8" s="35" t="str">
        <f t="shared" si="18"/>
        <v>○</v>
      </c>
      <c r="AZ8" s="36" t="str">
        <f t="shared" si="19"/>
        <v/>
      </c>
      <c r="BA8" s="37"/>
      <c r="BB8" s="38" t="s">
        <v>104</v>
      </c>
      <c r="BC8" s="34"/>
      <c r="BD8" s="35" t="str">
        <f t="shared" si="20"/>
        <v>○</v>
      </c>
      <c r="BE8" s="36" t="str">
        <f t="shared" si="21"/>
        <v/>
      </c>
      <c r="BF8" s="37"/>
      <c r="BG8" s="38" t="s">
        <v>116</v>
      </c>
      <c r="BH8" s="34"/>
      <c r="BI8" s="35" t="str">
        <f t="shared" si="22"/>
        <v>○</v>
      </c>
      <c r="BJ8" s="36" t="str">
        <f t="shared" si="23"/>
        <v/>
      </c>
      <c r="BK8" s="37"/>
      <c r="BL8" s="33"/>
      <c r="BM8" s="34"/>
      <c r="BN8" s="35" t="str">
        <f t="shared" si="24"/>
        <v/>
      </c>
      <c r="BO8" s="36" t="str">
        <f t="shared" si="25"/>
        <v/>
      </c>
      <c r="BP8" s="37"/>
      <c r="BQ8" s="33"/>
      <c r="BR8" s="34"/>
      <c r="BS8" s="35" t="str">
        <f t="shared" si="26"/>
        <v/>
      </c>
      <c r="BT8" s="36" t="str">
        <f t="shared" si="27"/>
        <v/>
      </c>
      <c r="BU8" s="37"/>
      <c r="BV8" s="33"/>
      <c r="BW8" s="34"/>
      <c r="BX8" s="35" t="str">
        <f t="shared" si="28"/>
        <v/>
      </c>
      <c r="BY8" s="36" t="str">
        <f t="shared" si="29"/>
        <v/>
      </c>
      <c r="BZ8" s="37"/>
      <c r="CA8" s="33"/>
      <c r="CB8" s="34"/>
      <c r="CC8" s="35" t="str">
        <f t="shared" si="30"/>
        <v/>
      </c>
      <c r="CD8" s="36" t="str">
        <f t="shared" si="31"/>
        <v/>
      </c>
      <c r="CE8" s="37"/>
      <c r="CF8" s="33"/>
      <c r="CG8" s="34"/>
      <c r="CH8" s="35" t="str">
        <f t="shared" si="32"/>
        <v/>
      </c>
      <c r="CI8" s="36" t="str">
        <f t="shared" si="33"/>
        <v/>
      </c>
      <c r="CJ8" s="37"/>
      <c r="CK8" s="33"/>
      <c r="CL8" s="34"/>
      <c r="CM8" s="35" t="str">
        <f t="shared" si="34"/>
        <v/>
      </c>
      <c r="CN8" s="36" t="str">
        <f t="shared" si="35"/>
        <v/>
      </c>
      <c r="CO8" s="37"/>
      <c r="CP8" s="33"/>
      <c r="CQ8" s="34"/>
      <c r="CR8" s="35" t="str">
        <f t="shared" si="36"/>
        <v/>
      </c>
      <c r="CS8" s="36" t="str">
        <f t="shared" si="37"/>
        <v/>
      </c>
      <c r="CT8" s="37"/>
      <c r="CU8" s="33"/>
      <c r="CV8" s="34"/>
      <c r="CW8" s="35" t="str">
        <f t="shared" si="38"/>
        <v/>
      </c>
      <c r="CX8" s="36" t="str">
        <f t="shared" si="39"/>
        <v/>
      </c>
      <c r="CY8" s="37"/>
      <c r="CZ8" s="33"/>
      <c r="DA8" s="34"/>
      <c r="DB8" s="35" t="str">
        <f t="shared" si="40"/>
        <v/>
      </c>
      <c r="DC8" s="36" t="str">
        <f t="shared" si="41"/>
        <v/>
      </c>
      <c r="DD8" s="37"/>
      <c r="DE8" s="33"/>
      <c r="DF8" s="34"/>
      <c r="DG8" s="35" t="str">
        <f t="shared" si="42"/>
        <v/>
      </c>
      <c r="DH8" s="36" t="str">
        <f t="shared" si="43"/>
        <v/>
      </c>
      <c r="DI8" s="37"/>
      <c r="DJ8" s="33"/>
      <c r="DK8" s="34"/>
      <c r="DL8" s="35" t="str">
        <f t="shared" si="44"/>
        <v/>
      </c>
      <c r="DM8" s="36" t="str">
        <f t="shared" si="45"/>
        <v/>
      </c>
      <c r="DN8" s="37"/>
      <c r="DO8" s="33"/>
      <c r="DP8" s="34"/>
      <c r="DQ8" s="35" t="str">
        <f t="shared" si="46"/>
        <v/>
      </c>
      <c r="DR8" s="36" t="str">
        <f t="shared" si="47"/>
        <v/>
      </c>
      <c r="DS8" s="37"/>
      <c r="DT8" s="33"/>
      <c r="DU8" s="34"/>
      <c r="DV8" s="35" t="str">
        <f t="shared" si="48"/>
        <v/>
      </c>
      <c r="DW8" s="36" t="str">
        <f t="shared" si="49"/>
        <v/>
      </c>
      <c r="DX8" s="37"/>
      <c r="DY8" s="33"/>
      <c r="DZ8" s="34"/>
      <c r="EA8" s="35" t="str">
        <f t="shared" si="50"/>
        <v/>
      </c>
      <c r="EB8" s="36" t="str">
        <f t="shared" si="51"/>
        <v/>
      </c>
      <c r="EC8" s="37"/>
      <c r="ED8" s="33"/>
      <c r="EE8" s="34"/>
      <c r="EF8" s="35" t="str">
        <f t="shared" si="52"/>
        <v/>
      </c>
      <c r="EG8" s="36" t="str">
        <f t="shared" si="53"/>
        <v/>
      </c>
      <c r="EH8" s="37"/>
      <c r="EI8" s="33"/>
      <c r="EJ8" s="34"/>
      <c r="EK8" s="35" t="str">
        <f t="shared" si="54"/>
        <v/>
      </c>
      <c r="EL8" s="36" t="str">
        <f t="shared" si="55"/>
        <v/>
      </c>
      <c r="EM8" s="37"/>
      <c r="EN8" s="33"/>
      <c r="EO8" s="34"/>
      <c r="EP8" s="35" t="str">
        <f t="shared" si="56"/>
        <v/>
      </c>
      <c r="EQ8" s="36" t="str">
        <f t="shared" si="57"/>
        <v/>
      </c>
      <c r="ER8" s="37"/>
      <c r="ES8" s="33"/>
      <c r="ET8" s="34"/>
      <c r="EU8" s="35" t="str">
        <f t="shared" si="58"/>
        <v/>
      </c>
      <c r="EV8" s="36" t="str">
        <f t="shared" si="59"/>
        <v/>
      </c>
      <c r="EW8" s="37"/>
    </row>
    <row r="9" spans="1:153" ht="19.5" customHeight="1">
      <c r="A9" s="32">
        <f>IF(DAY(DATE(対象年度,3,6))&lt;&gt;6,"",6)</f>
        <v>6</v>
      </c>
      <c r="B9" s="32" t="str">
        <f>IF(DAY(DATE(対象年度,3,6))&lt;&gt;6,"",CHOOSE(WEEKDAY(DATE(対象年度,3,6),2),"月","火","水","木","金","土","日"))</f>
        <v>金</v>
      </c>
      <c r="C9" s="32" t="str">
        <f>IF(DAY(DATE(対象年度,3,6))&lt;&gt;6,"",IF(ISNUMBER(MATCH(DATE(対象年度,3,6),祝日リスト,0)),"祝",""))</f>
        <v/>
      </c>
      <c r="D9" s="38" t="s">
        <v>104</v>
      </c>
      <c r="E9" s="34"/>
      <c r="F9" s="35" t="str">
        <f t="shared" si="0"/>
        <v>○</v>
      </c>
      <c r="G9" s="36" t="str">
        <f t="shared" si="1"/>
        <v/>
      </c>
      <c r="H9" s="37"/>
      <c r="I9" s="38" t="s">
        <v>116</v>
      </c>
      <c r="J9" s="34"/>
      <c r="K9" s="35" t="str">
        <f t="shared" si="2"/>
        <v>○</v>
      </c>
      <c r="L9" s="36" t="str">
        <f t="shared" si="3"/>
        <v/>
      </c>
      <c r="M9" s="37"/>
      <c r="N9" s="38" t="s">
        <v>116</v>
      </c>
      <c r="O9" s="34"/>
      <c r="P9" s="35" t="str">
        <f t="shared" si="4"/>
        <v>○</v>
      </c>
      <c r="Q9" s="36" t="str">
        <f t="shared" si="5"/>
        <v/>
      </c>
      <c r="R9" s="37"/>
      <c r="S9" s="38" t="s">
        <v>116</v>
      </c>
      <c r="T9" s="34"/>
      <c r="U9" s="35" t="str">
        <f t="shared" si="6"/>
        <v>○</v>
      </c>
      <c r="V9" s="36" t="str">
        <f t="shared" si="7"/>
        <v/>
      </c>
      <c r="W9" s="37"/>
      <c r="X9" s="38" t="s">
        <v>116</v>
      </c>
      <c r="Y9" s="34"/>
      <c r="Z9" s="35" t="str">
        <f t="shared" si="8"/>
        <v>○</v>
      </c>
      <c r="AA9" s="36" t="str">
        <f t="shared" si="9"/>
        <v/>
      </c>
      <c r="AB9" s="37"/>
      <c r="AC9" s="33"/>
      <c r="AD9" s="46" t="s">
        <v>126</v>
      </c>
      <c r="AE9" s="35" t="str">
        <f t="shared" si="10"/>
        <v/>
      </c>
      <c r="AF9" s="36" t="str">
        <f t="shared" si="11"/>
        <v>○</v>
      </c>
      <c r="AG9" s="37"/>
      <c r="AH9" s="38" t="s">
        <v>117</v>
      </c>
      <c r="AI9" s="34"/>
      <c r="AJ9" s="35" t="str">
        <f t="shared" si="12"/>
        <v>○</v>
      </c>
      <c r="AK9" s="36" t="str">
        <f t="shared" si="13"/>
        <v/>
      </c>
      <c r="AL9" s="37"/>
      <c r="AM9" s="33"/>
      <c r="AN9" s="46" t="s">
        <v>126</v>
      </c>
      <c r="AO9" s="35" t="str">
        <f t="shared" si="14"/>
        <v/>
      </c>
      <c r="AP9" s="36" t="str">
        <f t="shared" si="15"/>
        <v>○</v>
      </c>
      <c r="AQ9" s="37"/>
      <c r="AR9" s="33"/>
      <c r="AS9" s="46" t="s">
        <v>126</v>
      </c>
      <c r="AT9" s="35" t="str">
        <f t="shared" si="16"/>
        <v/>
      </c>
      <c r="AU9" s="36" t="str">
        <f t="shared" si="17"/>
        <v>○</v>
      </c>
      <c r="AV9" s="37"/>
      <c r="AW9" s="33"/>
      <c r="AX9" s="46" t="s">
        <v>126</v>
      </c>
      <c r="AY9" s="35" t="str">
        <f t="shared" si="18"/>
        <v/>
      </c>
      <c r="AZ9" s="36" t="str">
        <f t="shared" si="19"/>
        <v>○</v>
      </c>
      <c r="BA9" s="37"/>
      <c r="BB9" s="38" t="s">
        <v>104</v>
      </c>
      <c r="BC9" s="34"/>
      <c r="BD9" s="35" t="str">
        <f t="shared" si="20"/>
        <v>○</v>
      </c>
      <c r="BE9" s="36" t="str">
        <f t="shared" si="21"/>
        <v/>
      </c>
      <c r="BF9" s="37"/>
      <c r="BG9" s="38" t="s">
        <v>116</v>
      </c>
      <c r="BH9" s="34"/>
      <c r="BI9" s="35" t="str">
        <f t="shared" si="22"/>
        <v>○</v>
      </c>
      <c r="BJ9" s="36" t="str">
        <f t="shared" si="23"/>
        <v/>
      </c>
      <c r="BK9" s="37"/>
      <c r="BL9" s="33"/>
      <c r="BM9" s="34"/>
      <c r="BN9" s="35" t="str">
        <f t="shared" si="24"/>
        <v/>
      </c>
      <c r="BO9" s="36" t="str">
        <f t="shared" si="25"/>
        <v/>
      </c>
      <c r="BP9" s="37"/>
      <c r="BQ9" s="33"/>
      <c r="BR9" s="34"/>
      <c r="BS9" s="35" t="str">
        <f t="shared" si="26"/>
        <v/>
      </c>
      <c r="BT9" s="36" t="str">
        <f t="shared" si="27"/>
        <v/>
      </c>
      <c r="BU9" s="37"/>
      <c r="BV9" s="33"/>
      <c r="BW9" s="34"/>
      <c r="BX9" s="35" t="str">
        <f t="shared" si="28"/>
        <v/>
      </c>
      <c r="BY9" s="36" t="str">
        <f t="shared" si="29"/>
        <v/>
      </c>
      <c r="BZ9" s="37"/>
      <c r="CA9" s="33"/>
      <c r="CB9" s="34"/>
      <c r="CC9" s="35" t="str">
        <f t="shared" si="30"/>
        <v/>
      </c>
      <c r="CD9" s="36" t="str">
        <f t="shared" si="31"/>
        <v/>
      </c>
      <c r="CE9" s="37"/>
      <c r="CF9" s="33"/>
      <c r="CG9" s="34"/>
      <c r="CH9" s="35" t="str">
        <f t="shared" si="32"/>
        <v/>
      </c>
      <c r="CI9" s="36" t="str">
        <f t="shared" si="33"/>
        <v/>
      </c>
      <c r="CJ9" s="37"/>
      <c r="CK9" s="33"/>
      <c r="CL9" s="34"/>
      <c r="CM9" s="35" t="str">
        <f t="shared" si="34"/>
        <v/>
      </c>
      <c r="CN9" s="36" t="str">
        <f t="shared" si="35"/>
        <v/>
      </c>
      <c r="CO9" s="37"/>
      <c r="CP9" s="33"/>
      <c r="CQ9" s="34"/>
      <c r="CR9" s="35" t="str">
        <f t="shared" si="36"/>
        <v/>
      </c>
      <c r="CS9" s="36" t="str">
        <f t="shared" si="37"/>
        <v/>
      </c>
      <c r="CT9" s="37"/>
      <c r="CU9" s="33"/>
      <c r="CV9" s="34"/>
      <c r="CW9" s="35" t="str">
        <f t="shared" si="38"/>
        <v/>
      </c>
      <c r="CX9" s="36" t="str">
        <f t="shared" si="39"/>
        <v/>
      </c>
      <c r="CY9" s="37"/>
      <c r="CZ9" s="33"/>
      <c r="DA9" s="34"/>
      <c r="DB9" s="35" t="str">
        <f t="shared" si="40"/>
        <v/>
      </c>
      <c r="DC9" s="36" t="str">
        <f t="shared" si="41"/>
        <v/>
      </c>
      <c r="DD9" s="37"/>
      <c r="DE9" s="33"/>
      <c r="DF9" s="34"/>
      <c r="DG9" s="35" t="str">
        <f t="shared" si="42"/>
        <v/>
      </c>
      <c r="DH9" s="36" t="str">
        <f t="shared" si="43"/>
        <v/>
      </c>
      <c r="DI9" s="37"/>
      <c r="DJ9" s="33"/>
      <c r="DK9" s="34"/>
      <c r="DL9" s="35" t="str">
        <f t="shared" si="44"/>
        <v/>
      </c>
      <c r="DM9" s="36" t="str">
        <f t="shared" si="45"/>
        <v/>
      </c>
      <c r="DN9" s="37"/>
      <c r="DO9" s="33"/>
      <c r="DP9" s="34"/>
      <c r="DQ9" s="35" t="str">
        <f t="shared" si="46"/>
        <v/>
      </c>
      <c r="DR9" s="36" t="str">
        <f t="shared" si="47"/>
        <v/>
      </c>
      <c r="DS9" s="37"/>
      <c r="DT9" s="33"/>
      <c r="DU9" s="34"/>
      <c r="DV9" s="35" t="str">
        <f t="shared" si="48"/>
        <v/>
      </c>
      <c r="DW9" s="36" t="str">
        <f t="shared" si="49"/>
        <v/>
      </c>
      <c r="DX9" s="37"/>
      <c r="DY9" s="33"/>
      <c r="DZ9" s="34"/>
      <c r="EA9" s="35" t="str">
        <f t="shared" si="50"/>
        <v/>
      </c>
      <c r="EB9" s="36" t="str">
        <f t="shared" si="51"/>
        <v/>
      </c>
      <c r="EC9" s="37"/>
      <c r="ED9" s="33"/>
      <c r="EE9" s="34"/>
      <c r="EF9" s="35" t="str">
        <f t="shared" si="52"/>
        <v/>
      </c>
      <c r="EG9" s="36" t="str">
        <f t="shared" si="53"/>
        <v/>
      </c>
      <c r="EH9" s="37"/>
      <c r="EI9" s="33"/>
      <c r="EJ9" s="34"/>
      <c r="EK9" s="35" t="str">
        <f t="shared" si="54"/>
        <v/>
      </c>
      <c r="EL9" s="36" t="str">
        <f t="shared" si="55"/>
        <v/>
      </c>
      <c r="EM9" s="37"/>
      <c r="EN9" s="33"/>
      <c r="EO9" s="34"/>
      <c r="EP9" s="35" t="str">
        <f t="shared" si="56"/>
        <v/>
      </c>
      <c r="EQ9" s="36" t="str">
        <f t="shared" si="57"/>
        <v/>
      </c>
      <c r="ER9" s="37"/>
      <c r="ES9" s="33"/>
      <c r="ET9" s="34"/>
      <c r="EU9" s="35" t="str">
        <f t="shared" si="58"/>
        <v/>
      </c>
      <c r="EV9" s="36" t="str">
        <f t="shared" si="59"/>
        <v/>
      </c>
      <c r="EW9" s="37"/>
    </row>
    <row r="10" spans="1:153" ht="19.5" customHeight="1">
      <c r="A10" s="32">
        <f>IF(DAY(DATE(対象年度,3,7))&lt;&gt;7,"",7)</f>
        <v>7</v>
      </c>
      <c r="B10" s="32" t="str">
        <f>IF(DAY(DATE(対象年度,3,7))&lt;&gt;7,"",CHOOSE(WEEKDAY(DATE(対象年度,3,7),2),"月","火","水","木","金","土","日"))</f>
        <v>土</v>
      </c>
      <c r="C10" s="32" t="str">
        <f>IF(DAY(DATE(対象年度,3,7))&lt;&gt;7,"",IF(ISNUMBER(MATCH(DATE(対象年度,3,7),祝日リスト,0)),"祝",""))</f>
        <v/>
      </c>
      <c r="D10" s="33"/>
      <c r="E10" s="34"/>
      <c r="F10" s="35" t="str">
        <f t="shared" si="0"/>
        <v/>
      </c>
      <c r="G10" s="36" t="str">
        <f t="shared" si="1"/>
        <v/>
      </c>
      <c r="H10" s="37"/>
      <c r="I10" s="33"/>
      <c r="J10" s="34"/>
      <c r="K10" s="35" t="str">
        <f t="shared" si="2"/>
        <v/>
      </c>
      <c r="L10" s="36" t="str">
        <f t="shared" si="3"/>
        <v/>
      </c>
      <c r="M10" s="37"/>
      <c r="N10" s="38" t="s">
        <v>116</v>
      </c>
      <c r="O10" s="34"/>
      <c r="P10" s="35" t="str">
        <f t="shared" si="4"/>
        <v>○</v>
      </c>
      <c r="Q10" s="36" t="str">
        <f t="shared" si="5"/>
        <v/>
      </c>
      <c r="R10" s="37"/>
      <c r="S10" s="38" t="s">
        <v>116</v>
      </c>
      <c r="T10" s="34"/>
      <c r="U10" s="35" t="str">
        <f t="shared" si="6"/>
        <v>○</v>
      </c>
      <c r="V10" s="36" t="str">
        <f t="shared" si="7"/>
        <v/>
      </c>
      <c r="W10" s="37"/>
      <c r="X10" s="38" t="s">
        <v>116</v>
      </c>
      <c r="Y10" s="34"/>
      <c r="Z10" s="35" t="str">
        <f t="shared" si="8"/>
        <v>○</v>
      </c>
      <c r="AA10" s="36" t="str">
        <f t="shared" si="9"/>
        <v/>
      </c>
      <c r="AB10" s="37"/>
      <c r="AC10" s="33"/>
      <c r="AD10" s="34"/>
      <c r="AE10" s="35" t="str">
        <f t="shared" si="10"/>
        <v/>
      </c>
      <c r="AF10" s="36" t="str">
        <f t="shared" si="11"/>
        <v/>
      </c>
      <c r="AG10" s="37"/>
      <c r="AH10" s="33"/>
      <c r="AI10" s="34"/>
      <c r="AJ10" s="35" t="str">
        <f t="shared" si="12"/>
        <v/>
      </c>
      <c r="AK10" s="36" t="str">
        <f t="shared" si="13"/>
        <v/>
      </c>
      <c r="AL10" s="37"/>
      <c r="AM10" s="33"/>
      <c r="AN10" s="34"/>
      <c r="AO10" s="35" t="str">
        <f t="shared" si="14"/>
        <v/>
      </c>
      <c r="AP10" s="36" t="str">
        <f t="shared" si="15"/>
        <v/>
      </c>
      <c r="AQ10" s="37"/>
      <c r="AR10" s="33"/>
      <c r="AS10" s="34"/>
      <c r="AT10" s="35" t="str">
        <f t="shared" si="16"/>
        <v/>
      </c>
      <c r="AU10" s="36" t="str">
        <f t="shared" si="17"/>
        <v/>
      </c>
      <c r="AV10" s="37"/>
      <c r="AW10" s="33"/>
      <c r="AX10" s="46" t="s">
        <v>126</v>
      </c>
      <c r="AY10" s="35" t="str">
        <f t="shared" si="18"/>
        <v/>
      </c>
      <c r="AZ10" s="36" t="str">
        <f t="shared" si="19"/>
        <v>○</v>
      </c>
      <c r="BA10" s="37"/>
      <c r="BB10" s="33"/>
      <c r="BC10" s="34"/>
      <c r="BD10" s="35" t="str">
        <f t="shared" si="20"/>
        <v/>
      </c>
      <c r="BE10" s="36" t="str">
        <f t="shared" si="21"/>
        <v/>
      </c>
      <c r="BF10" s="37"/>
      <c r="BG10" s="38" t="s">
        <v>116</v>
      </c>
      <c r="BH10" s="34"/>
      <c r="BI10" s="35" t="str">
        <f t="shared" si="22"/>
        <v>○</v>
      </c>
      <c r="BJ10" s="36" t="str">
        <f t="shared" si="23"/>
        <v/>
      </c>
      <c r="BK10" s="37"/>
      <c r="BL10" s="33"/>
      <c r="BM10" s="34"/>
      <c r="BN10" s="35" t="str">
        <f t="shared" si="24"/>
        <v/>
      </c>
      <c r="BO10" s="36" t="str">
        <f t="shared" si="25"/>
        <v/>
      </c>
      <c r="BP10" s="37"/>
      <c r="BQ10" s="33"/>
      <c r="BR10" s="34"/>
      <c r="BS10" s="35" t="str">
        <f t="shared" si="26"/>
        <v/>
      </c>
      <c r="BT10" s="36" t="str">
        <f t="shared" si="27"/>
        <v/>
      </c>
      <c r="BU10" s="37"/>
      <c r="BV10" s="33"/>
      <c r="BW10" s="34"/>
      <c r="BX10" s="35" t="str">
        <f t="shared" si="28"/>
        <v/>
      </c>
      <c r="BY10" s="36" t="str">
        <f t="shared" si="29"/>
        <v/>
      </c>
      <c r="BZ10" s="37"/>
      <c r="CA10" s="33"/>
      <c r="CB10" s="34"/>
      <c r="CC10" s="35" t="str">
        <f t="shared" si="30"/>
        <v/>
      </c>
      <c r="CD10" s="36" t="str">
        <f t="shared" si="31"/>
        <v/>
      </c>
      <c r="CE10" s="37"/>
      <c r="CF10" s="33"/>
      <c r="CG10" s="34"/>
      <c r="CH10" s="35" t="str">
        <f t="shared" si="32"/>
        <v/>
      </c>
      <c r="CI10" s="36" t="str">
        <f t="shared" si="33"/>
        <v/>
      </c>
      <c r="CJ10" s="37"/>
      <c r="CK10" s="33"/>
      <c r="CL10" s="34"/>
      <c r="CM10" s="35" t="str">
        <f t="shared" si="34"/>
        <v/>
      </c>
      <c r="CN10" s="36" t="str">
        <f t="shared" si="35"/>
        <v/>
      </c>
      <c r="CO10" s="37"/>
      <c r="CP10" s="33"/>
      <c r="CQ10" s="34"/>
      <c r="CR10" s="35" t="str">
        <f t="shared" si="36"/>
        <v/>
      </c>
      <c r="CS10" s="36" t="str">
        <f t="shared" si="37"/>
        <v/>
      </c>
      <c r="CT10" s="37"/>
      <c r="CU10" s="33"/>
      <c r="CV10" s="34"/>
      <c r="CW10" s="35" t="str">
        <f t="shared" si="38"/>
        <v/>
      </c>
      <c r="CX10" s="36" t="str">
        <f t="shared" si="39"/>
        <v/>
      </c>
      <c r="CY10" s="37"/>
      <c r="CZ10" s="33"/>
      <c r="DA10" s="34"/>
      <c r="DB10" s="35" t="str">
        <f t="shared" si="40"/>
        <v/>
      </c>
      <c r="DC10" s="36" t="str">
        <f t="shared" si="41"/>
        <v/>
      </c>
      <c r="DD10" s="37"/>
      <c r="DE10" s="33"/>
      <c r="DF10" s="34"/>
      <c r="DG10" s="35" t="str">
        <f t="shared" si="42"/>
        <v/>
      </c>
      <c r="DH10" s="36" t="str">
        <f t="shared" si="43"/>
        <v/>
      </c>
      <c r="DI10" s="37"/>
      <c r="DJ10" s="33"/>
      <c r="DK10" s="34"/>
      <c r="DL10" s="35" t="str">
        <f t="shared" si="44"/>
        <v/>
      </c>
      <c r="DM10" s="36" t="str">
        <f t="shared" si="45"/>
        <v/>
      </c>
      <c r="DN10" s="37"/>
      <c r="DO10" s="33"/>
      <c r="DP10" s="34"/>
      <c r="DQ10" s="35" t="str">
        <f t="shared" si="46"/>
        <v/>
      </c>
      <c r="DR10" s="36" t="str">
        <f t="shared" si="47"/>
        <v/>
      </c>
      <c r="DS10" s="37"/>
      <c r="DT10" s="33"/>
      <c r="DU10" s="34"/>
      <c r="DV10" s="35" t="str">
        <f t="shared" si="48"/>
        <v/>
      </c>
      <c r="DW10" s="36" t="str">
        <f t="shared" si="49"/>
        <v/>
      </c>
      <c r="DX10" s="37"/>
      <c r="DY10" s="33"/>
      <c r="DZ10" s="34"/>
      <c r="EA10" s="35" t="str">
        <f t="shared" si="50"/>
        <v/>
      </c>
      <c r="EB10" s="36" t="str">
        <f t="shared" si="51"/>
        <v/>
      </c>
      <c r="EC10" s="37"/>
      <c r="ED10" s="33"/>
      <c r="EE10" s="34"/>
      <c r="EF10" s="35" t="str">
        <f t="shared" si="52"/>
        <v/>
      </c>
      <c r="EG10" s="36" t="str">
        <f t="shared" si="53"/>
        <v/>
      </c>
      <c r="EH10" s="37"/>
      <c r="EI10" s="33"/>
      <c r="EJ10" s="34"/>
      <c r="EK10" s="35" t="str">
        <f t="shared" si="54"/>
        <v/>
      </c>
      <c r="EL10" s="36" t="str">
        <f t="shared" si="55"/>
        <v/>
      </c>
      <c r="EM10" s="37"/>
      <c r="EN10" s="33"/>
      <c r="EO10" s="34"/>
      <c r="EP10" s="35" t="str">
        <f t="shared" si="56"/>
        <v/>
      </c>
      <c r="EQ10" s="36" t="str">
        <f t="shared" si="57"/>
        <v/>
      </c>
      <c r="ER10" s="37"/>
      <c r="ES10" s="33"/>
      <c r="ET10" s="34"/>
      <c r="EU10" s="35" t="str">
        <f t="shared" si="58"/>
        <v/>
      </c>
      <c r="EV10" s="36" t="str">
        <f t="shared" si="59"/>
        <v/>
      </c>
      <c r="EW10" s="37"/>
    </row>
    <row r="11" spans="1:153" ht="19.5" customHeight="1">
      <c r="A11" s="32">
        <f>IF(DAY(DATE(対象年度,3,8))&lt;&gt;8,"",8)</f>
        <v>8</v>
      </c>
      <c r="B11" s="32" t="str">
        <f>IF(DAY(DATE(対象年度,3,8))&lt;&gt;8,"",CHOOSE(WEEKDAY(DATE(対象年度,3,8),2),"月","火","水","木","金","土","日"))</f>
        <v>日</v>
      </c>
      <c r="C11" s="32" t="str">
        <f>IF(DAY(DATE(対象年度,3,8))&lt;&gt;8,"",IF(ISNUMBER(MATCH(DATE(対象年度,3,8),祝日リスト,0)),"祝",""))</f>
        <v/>
      </c>
      <c r="D11" s="33"/>
      <c r="E11" s="34"/>
      <c r="F11" s="35" t="str">
        <f t="shared" si="0"/>
        <v/>
      </c>
      <c r="G11" s="36" t="str">
        <f t="shared" si="1"/>
        <v/>
      </c>
      <c r="H11" s="37"/>
      <c r="I11" s="33"/>
      <c r="J11" s="34"/>
      <c r="K11" s="35" t="str">
        <f t="shared" si="2"/>
        <v/>
      </c>
      <c r="L11" s="36" t="str">
        <f t="shared" si="3"/>
        <v/>
      </c>
      <c r="M11" s="37"/>
      <c r="N11" s="33"/>
      <c r="O11" s="34"/>
      <c r="P11" s="35" t="str">
        <f t="shared" si="4"/>
        <v/>
      </c>
      <c r="Q11" s="36" t="str">
        <f t="shared" si="5"/>
        <v/>
      </c>
      <c r="R11" s="37"/>
      <c r="S11" s="33"/>
      <c r="T11" s="34"/>
      <c r="U11" s="35" t="str">
        <f t="shared" si="6"/>
        <v/>
      </c>
      <c r="V11" s="36" t="str">
        <f t="shared" si="7"/>
        <v/>
      </c>
      <c r="W11" s="37"/>
      <c r="X11" s="33"/>
      <c r="Y11" s="34"/>
      <c r="Z11" s="35" t="str">
        <f t="shared" si="8"/>
        <v/>
      </c>
      <c r="AA11" s="36" t="str">
        <f t="shared" si="9"/>
        <v/>
      </c>
      <c r="AB11" s="37"/>
      <c r="AC11" s="33"/>
      <c r="AD11" s="34"/>
      <c r="AE11" s="35" t="str">
        <f t="shared" si="10"/>
        <v/>
      </c>
      <c r="AF11" s="36" t="str">
        <f t="shared" si="11"/>
        <v/>
      </c>
      <c r="AG11" s="37"/>
      <c r="AH11" s="33"/>
      <c r="AI11" s="34"/>
      <c r="AJ11" s="35" t="str">
        <f t="shared" si="12"/>
        <v/>
      </c>
      <c r="AK11" s="36" t="str">
        <f t="shared" si="13"/>
        <v/>
      </c>
      <c r="AL11" s="37"/>
      <c r="AM11" s="33"/>
      <c r="AN11" s="34"/>
      <c r="AO11" s="35" t="str">
        <f t="shared" si="14"/>
        <v/>
      </c>
      <c r="AP11" s="36" t="str">
        <f t="shared" si="15"/>
        <v/>
      </c>
      <c r="AQ11" s="37"/>
      <c r="AR11" s="33"/>
      <c r="AS11" s="34"/>
      <c r="AT11" s="35" t="str">
        <f t="shared" si="16"/>
        <v/>
      </c>
      <c r="AU11" s="36" t="str">
        <f t="shared" si="17"/>
        <v/>
      </c>
      <c r="AV11" s="37"/>
      <c r="AW11" s="33"/>
      <c r="AX11" s="46" t="s">
        <v>126</v>
      </c>
      <c r="AY11" s="35" t="str">
        <f t="shared" si="18"/>
        <v/>
      </c>
      <c r="AZ11" s="36" t="str">
        <f t="shared" si="19"/>
        <v>○</v>
      </c>
      <c r="BA11" s="37"/>
      <c r="BB11" s="33"/>
      <c r="BC11" s="34"/>
      <c r="BD11" s="35" t="str">
        <f t="shared" si="20"/>
        <v/>
      </c>
      <c r="BE11" s="36" t="str">
        <f t="shared" si="21"/>
        <v/>
      </c>
      <c r="BF11" s="37"/>
      <c r="BG11" s="33"/>
      <c r="BH11" s="34"/>
      <c r="BI11" s="35" t="str">
        <f t="shared" si="22"/>
        <v/>
      </c>
      <c r="BJ11" s="36" t="str">
        <f t="shared" si="23"/>
        <v/>
      </c>
      <c r="BK11" s="37"/>
      <c r="BL11" s="33"/>
      <c r="BM11" s="34"/>
      <c r="BN11" s="35" t="str">
        <f t="shared" si="24"/>
        <v/>
      </c>
      <c r="BO11" s="36" t="str">
        <f t="shared" si="25"/>
        <v/>
      </c>
      <c r="BP11" s="37"/>
      <c r="BQ11" s="33"/>
      <c r="BR11" s="34"/>
      <c r="BS11" s="35" t="str">
        <f t="shared" si="26"/>
        <v/>
      </c>
      <c r="BT11" s="36" t="str">
        <f t="shared" si="27"/>
        <v/>
      </c>
      <c r="BU11" s="37"/>
      <c r="BV11" s="33"/>
      <c r="BW11" s="34"/>
      <c r="BX11" s="35" t="str">
        <f t="shared" si="28"/>
        <v/>
      </c>
      <c r="BY11" s="36" t="str">
        <f t="shared" si="29"/>
        <v/>
      </c>
      <c r="BZ11" s="37"/>
      <c r="CA11" s="33"/>
      <c r="CB11" s="34"/>
      <c r="CC11" s="35" t="str">
        <f t="shared" si="30"/>
        <v/>
      </c>
      <c r="CD11" s="36" t="str">
        <f t="shared" si="31"/>
        <v/>
      </c>
      <c r="CE11" s="37"/>
      <c r="CF11" s="33"/>
      <c r="CG11" s="34"/>
      <c r="CH11" s="35" t="str">
        <f t="shared" si="32"/>
        <v/>
      </c>
      <c r="CI11" s="36" t="str">
        <f t="shared" si="33"/>
        <v/>
      </c>
      <c r="CJ11" s="37"/>
      <c r="CK11" s="33"/>
      <c r="CL11" s="34"/>
      <c r="CM11" s="35" t="str">
        <f t="shared" si="34"/>
        <v/>
      </c>
      <c r="CN11" s="36" t="str">
        <f t="shared" si="35"/>
        <v/>
      </c>
      <c r="CO11" s="37"/>
      <c r="CP11" s="33"/>
      <c r="CQ11" s="34"/>
      <c r="CR11" s="35" t="str">
        <f t="shared" si="36"/>
        <v/>
      </c>
      <c r="CS11" s="36" t="str">
        <f t="shared" si="37"/>
        <v/>
      </c>
      <c r="CT11" s="37"/>
      <c r="CU11" s="33"/>
      <c r="CV11" s="34"/>
      <c r="CW11" s="35" t="str">
        <f t="shared" si="38"/>
        <v/>
      </c>
      <c r="CX11" s="36" t="str">
        <f t="shared" si="39"/>
        <v/>
      </c>
      <c r="CY11" s="37"/>
      <c r="CZ11" s="33"/>
      <c r="DA11" s="34"/>
      <c r="DB11" s="35" t="str">
        <f t="shared" si="40"/>
        <v/>
      </c>
      <c r="DC11" s="36" t="str">
        <f t="shared" si="41"/>
        <v/>
      </c>
      <c r="DD11" s="37"/>
      <c r="DE11" s="33"/>
      <c r="DF11" s="34"/>
      <c r="DG11" s="35" t="str">
        <f t="shared" si="42"/>
        <v/>
      </c>
      <c r="DH11" s="36" t="str">
        <f t="shared" si="43"/>
        <v/>
      </c>
      <c r="DI11" s="37"/>
      <c r="DJ11" s="33"/>
      <c r="DK11" s="34"/>
      <c r="DL11" s="35" t="str">
        <f t="shared" si="44"/>
        <v/>
      </c>
      <c r="DM11" s="36" t="str">
        <f t="shared" si="45"/>
        <v/>
      </c>
      <c r="DN11" s="37"/>
      <c r="DO11" s="33"/>
      <c r="DP11" s="34"/>
      <c r="DQ11" s="35" t="str">
        <f t="shared" si="46"/>
        <v/>
      </c>
      <c r="DR11" s="36" t="str">
        <f t="shared" si="47"/>
        <v/>
      </c>
      <c r="DS11" s="37"/>
      <c r="DT11" s="33"/>
      <c r="DU11" s="34"/>
      <c r="DV11" s="35" t="str">
        <f t="shared" si="48"/>
        <v/>
      </c>
      <c r="DW11" s="36" t="str">
        <f t="shared" si="49"/>
        <v/>
      </c>
      <c r="DX11" s="37"/>
      <c r="DY11" s="33"/>
      <c r="DZ11" s="34"/>
      <c r="EA11" s="35" t="str">
        <f t="shared" si="50"/>
        <v/>
      </c>
      <c r="EB11" s="36" t="str">
        <f t="shared" si="51"/>
        <v/>
      </c>
      <c r="EC11" s="37"/>
      <c r="ED11" s="33"/>
      <c r="EE11" s="34"/>
      <c r="EF11" s="35" t="str">
        <f t="shared" si="52"/>
        <v/>
      </c>
      <c r="EG11" s="36" t="str">
        <f t="shared" si="53"/>
        <v/>
      </c>
      <c r="EH11" s="37"/>
      <c r="EI11" s="33"/>
      <c r="EJ11" s="34"/>
      <c r="EK11" s="35" t="str">
        <f t="shared" si="54"/>
        <v/>
      </c>
      <c r="EL11" s="36" t="str">
        <f t="shared" si="55"/>
        <v/>
      </c>
      <c r="EM11" s="37"/>
      <c r="EN11" s="33"/>
      <c r="EO11" s="34"/>
      <c r="EP11" s="35" t="str">
        <f t="shared" si="56"/>
        <v/>
      </c>
      <c r="EQ11" s="36" t="str">
        <f t="shared" si="57"/>
        <v/>
      </c>
      <c r="ER11" s="37"/>
      <c r="ES11" s="33"/>
      <c r="ET11" s="34"/>
      <c r="EU11" s="35" t="str">
        <f t="shared" si="58"/>
        <v/>
      </c>
      <c r="EV11" s="36" t="str">
        <f t="shared" si="59"/>
        <v/>
      </c>
      <c r="EW11" s="37"/>
    </row>
    <row r="12" spans="1:153" ht="19.5" customHeight="1">
      <c r="A12" s="32">
        <f>IF(DAY(DATE(対象年度,3,9))&lt;&gt;9,"",9)</f>
        <v>9</v>
      </c>
      <c r="B12" s="32" t="str">
        <f>IF(DAY(DATE(対象年度,3,9))&lt;&gt;9,"",CHOOSE(WEEKDAY(DATE(対象年度,3,9),2),"月","火","水","木","金","土","日"))</f>
        <v>月</v>
      </c>
      <c r="C12" s="32" t="str">
        <f>IF(DAY(DATE(対象年度,3,9))&lt;&gt;9,"",IF(ISNUMBER(MATCH(DATE(対象年度,3,9),祝日リスト,0)),"祝",""))</f>
        <v/>
      </c>
      <c r="D12" s="38" t="s">
        <v>104</v>
      </c>
      <c r="E12" s="34"/>
      <c r="F12" s="35" t="str">
        <f t="shared" si="0"/>
        <v>○</v>
      </c>
      <c r="G12" s="36" t="str">
        <f t="shared" si="1"/>
        <v/>
      </c>
      <c r="H12" s="37"/>
      <c r="I12" s="38" t="s">
        <v>116</v>
      </c>
      <c r="J12" s="34"/>
      <c r="K12" s="35" t="str">
        <f t="shared" si="2"/>
        <v>○</v>
      </c>
      <c r="L12" s="36" t="str">
        <f t="shared" si="3"/>
        <v/>
      </c>
      <c r="M12" s="37"/>
      <c r="N12" s="38" t="s">
        <v>116</v>
      </c>
      <c r="O12" s="34"/>
      <c r="P12" s="35" t="str">
        <f t="shared" si="4"/>
        <v>○</v>
      </c>
      <c r="Q12" s="36" t="str">
        <f t="shared" si="5"/>
        <v/>
      </c>
      <c r="R12" s="37"/>
      <c r="S12" s="38" t="s">
        <v>116</v>
      </c>
      <c r="T12" s="34"/>
      <c r="U12" s="35" t="str">
        <f t="shared" si="6"/>
        <v>○</v>
      </c>
      <c r="V12" s="36" t="str">
        <f t="shared" si="7"/>
        <v/>
      </c>
      <c r="W12" s="37"/>
      <c r="X12" s="38" t="s">
        <v>116</v>
      </c>
      <c r="Y12" s="34"/>
      <c r="Z12" s="35" t="str">
        <f t="shared" si="8"/>
        <v>○</v>
      </c>
      <c r="AA12" s="36" t="str">
        <f t="shared" si="9"/>
        <v/>
      </c>
      <c r="AB12" s="37"/>
      <c r="AC12" s="38" t="s">
        <v>116</v>
      </c>
      <c r="AD12" s="34"/>
      <c r="AE12" s="35" t="str">
        <f t="shared" si="10"/>
        <v>○</v>
      </c>
      <c r="AF12" s="36" t="str">
        <f t="shared" si="11"/>
        <v/>
      </c>
      <c r="AG12" s="37"/>
      <c r="AH12" s="38" t="s">
        <v>117</v>
      </c>
      <c r="AI12" s="34"/>
      <c r="AJ12" s="35" t="str">
        <f t="shared" si="12"/>
        <v>○</v>
      </c>
      <c r="AK12" s="36" t="str">
        <f t="shared" si="13"/>
        <v/>
      </c>
      <c r="AL12" s="37"/>
      <c r="AM12" s="38" t="s">
        <v>116</v>
      </c>
      <c r="AN12" s="34"/>
      <c r="AO12" s="35" t="str">
        <f t="shared" si="14"/>
        <v>○</v>
      </c>
      <c r="AP12" s="36" t="str">
        <f t="shared" si="15"/>
        <v/>
      </c>
      <c r="AQ12" s="37"/>
      <c r="AR12" s="38" t="s">
        <v>116</v>
      </c>
      <c r="AS12" s="34"/>
      <c r="AT12" s="35" t="str">
        <f t="shared" si="16"/>
        <v>○</v>
      </c>
      <c r="AU12" s="36" t="str">
        <f t="shared" si="17"/>
        <v/>
      </c>
      <c r="AV12" s="37"/>
      <c r="AW12" s="38" t="s">
        <v>124</v>
      </c>
      <c r="AX12" s="34"/>
      <c r="AY12" s="35" t="str">
        <f t="shared" si="18"/>
        <v>○</v>
      </c>
      <c r="AZ12" s="36" t="str">
        <f t="shared" si="19"/>
        <v/>
      </c>
      <c r="BA12" s="37"/>
      <c r="BB12" s="38" t="s">
        <v>104</v>
      </c>
      <c r="BC12" s="34"/>
      <c r="BD12" s="35" t="str">
        <f t="shared" si="20"/>
        <v>○</v>
      </c>
      <c r="BE12" s="36" t="str">
        <f t="shared" si="21"/>
        <v/>
      </c>
      <c r="BF12" s="37"/>
      <c r="BG12" s="38" t="s">
        <v>116</v>
      </c>
      <c r="BH12" s="34"/>
      <c r="BI12" s="35" t="str">
        <f t="shared" si="22"/>
        <v>○</v>
      </c>
      <c r="BJ12" s="36" t="str">
        <f t="shared" si="23"/>
        <v/>
      </c>
      <c r="BK12" s="37"/>
      <c r="BL12" s="33"/>
      <c r="BM12" s="34"/>
      <c r="BN12" s="35" t="str">
        <f t="shared" si="24"/>
        <v/>
      </c>
      <c r="BO12" s="36" t="str">
        <f t="shared" si="25"/>
        <v/>
      </c>
      <c r="BP12" s="37"/>
      <c r="BQ12" s="33"/>
      <c r="BR12" s="34"/>
      <c r="BS12" s="35" t="str">
        <f t="shared" si="26"/>
        <v/>
      </c>
      <c r="BT12" s="36" t="str">
        <f t="shared" si="27"/>
        <v/>
      </c>
      <c r="BU12" s="37"/>
      <c r="BV12" s="33"/>
      <c r="BW12" s="34"/>
      <c r="BX12" s="35" t="str">
        <f t="shared" si="28"/>
        <v/>
      </c>
      <c r="BY12" s="36" t="str">
        <f t="shared" si="29"/>
        <v/>
      </c>
      <c r="BZ12" s="37"/>
      <c r="CA12" s="33"/>
      <c r="CB12" s="34"/>
      <c r="CC12" s="35" t="str">
        <f t="shared" si="30"/>
        <v/>
      </c>
      <c r="CD12" s="36" t="str">
        <f t="shared" si="31"/>
        <v/>
      </c>
      <c r="CE12" s="37"/>
      <c r="CF12" s="33"/>
      <c r="CG12" s="34"/>
      <c r="CH12" s="35" t="str">
        <f t="shared" si="32"/>
        <v/>
      </c>
      <c r="CI12" s="36" t="str">
        <f t="shared" si="33"/>
        <v/>
      </c>
      <c r="CJ12" s="37"/>
      <c r="CK12" s="33"/>
      <c r="CL12" s="34"/>
      <c r="CM12" s="35" t="str">
        <f t="shared" si="34"/>
        <v/>
      </c>
      <c r="CN12" s="36" t="str">
        <f t="shared" si="35"/>
        <v/>
      </c>
      <c r="CO12" s="37"/>
      <c r="CP12" s="33"/>
      <c r="CQ12" s="34"/>
      <c r="CR12" s="35" t="str">
        <f t="shared" si="36"/>
        <v/>
      </c>
      <c r="CS12" s="36" t="str">
        <f t="shared" si="37"/>
        <v/>
      </c>
      <c r="CT12" s="37"/>
      <c r="CU12" s="33"/>
      <c r="CV12" s="34"/>
      <c r="CW12" s="35" t="str">
        <f t="shared" si="38"/>
        <v/>
      </c>
      <c r="CX12" s="36" t="str">
        <f t="shared" si="39"/>
        <v/>
      </c>
      <c r="CY12" s="37"/>
      <c r="CZ12" s="33"/>
      <c r="DA12" s="34"/>
      <c r="DB12" s="35" t="str">
        <f t="shared" si="40"/>
        <v/>
      </c>
      <c r="DC12" s="36" t="str">
        <f t="shared" si="41"/>
        <v/>
      </c>
      <c r="DD12" s="37"/>
      <c r="DE12" s="33"/>
      <c r="DF12" s="34"/>
      <c r="DG12" s="35" t="str">
        <f t="shared" si="42"/>
        <v/>
      </c>
      <c r="DH12" s="36" t="str">
        <f t="shared" si="43"/>
        <v/>
      </c>
      <c r="DI12" s="37"/>
      <c r="DJ12" s="33"/>
      <c r="DK12" s="34"/>
      <c r="DL12" s="35" t="str">
        <f t="shared" si="44"/>
        <v/>
      </c>
      <c r="DM12" s="36" t="str">
        <f t="shared" si="45"/>
        <v/>
      </c>
      <c r="DN12" s="37"/>
      <c r="DO12" s="33"/>
      <c r="DP12" s="34"/>
      <c r="DQ12" s="35" t="str">
        <f t="shared" si="46"/>
        <v/>
      </c>
      <c r="DR12" s="36" t="str">
        <f t="shared" si="47"/>
        <v/>
      </c>
      <c r="DS12" s="37"/>
      <c r="DT12" s="33"/>
      <c r="DU12" s="34"/>
      <c r="DV12" s="35" t="str">
        <f t="shared" si="48"/>
        <v/>
      </c>
      <c r="DW12" s="36" t="str">
        <f t="shared" si="49"/>
        <v/>
      </c>
      <c r="DX12" s="37"/>
      <c r="DY12" s="33"/>
      <c r="DZ12" s="34"/>
      <c r="EA12" s="35" t="str">
        <f t="shared" si="50"/>
        <v/>
      </c>
      <c r="EB12" s="36" t="str">
        <f t="shared" si="51"/>
        <v/>
      </c>
      <c r="EC12" s="37"/>
      <c r="ED12" s="33"/>
      <c r="EE12" s="34"/>
      <c r="EF12" s="35" t="str">
        <f t="shared" si="52"/>
        <v/>
      </c>
      <c r="EG12" s="36" t="str">
        <f t="shared" si="53"/>
        <v/>
      </c>
      <c r="EH12" s="37"/>
      <c r="EI12" s="33"/>
      <c r="EJ12" s="34"/>
      <c r="EK12" s="35" t="str">
        <f t="shared" si="54"/>
        <v/>
      </c>
      <c r="EL12" s="36" t="str">
        <f t="shared" si="55"/>
        <v/>
      </c>
      <c r="EM12" s="37"/>
      <c r="EN12" s="33"/>
      <c r="EO12" s="34"/>
      <c r="EP12" s="35" t="str">
        <f t="shared" si="56"/>
        <v/>
      </c>
      <c r="EQ12" s="36" t="str">
        <f t="shared" si="57"/>
        <v/>
      </c>
      <c r="ER12" s="37"/>
      <c r="ES12" s="33"/>
      <c r="ET12" s="34"/>
      <c r="EU12" s="35" t="str">
        <f t="shared" si="58"/>
        <v/>
      </c>
      <c r="EV12" s="36" t="str">
        <f t="shared" si="59"/>
        <v/>
      </c>
      <c r="EW12" s="37"/>
    </row>
    <row r="13" spans="1:153" ht="19.5" customHeight="1">
      <c r="A13" s="32">
        <f>IF(DAY(DATE(対象年度,3,10))&lt;&gt;10,"",10)</f>
        <v>10</v>
      </c>
      <c r="B13" s="32" t="str">
        <f>IF(DAY(DATE(対象年度,3,10))&lt;&gt;10,"",CHOOSE(WEEKDAY(DATE(対象年度,3,10),2),"月","火","水","木","金","土","日"))</f>
        <v>火</v>
      </c>
      <c r="C13" s="32" t="str">
        <f>IF(DAY(DATE(対象年度,3,10))&lt;&gt;10,"",IF(ISNUMBER(MATCH(DATE(対象年度,3,10),祝日リスト,0)),"祝",""))</f>
        <v/>
      </c>
      <c r="D13" s="38" t="s">
        <v>104</v>
      </c>
      <c r="E13" s="34"/>
      <c r="F13" s="35" t="str">
        <f t="shared" si="0"/>
        <v>○</v>
      </c>
      <c r="G13" s="36" t="str">
        <f t="shared" si="1"/>
        <v/>
      </c>
      <c r="H13" s="37"/>
      <c r="I13" s="33"/>
      <c r="J13" s="46" t="s">
        <v>126</v>
      </c>
      <c r="K13" s="35" t="str">
        <f t="shared" si="2"/>
        <v/>
      </c>
      <c r="L13" s="36" t="str">
        <f t="shared" si="3"/>
        <v>○</v>
      </c>
      <c r="M13" s="37"/>
      <c r="N13" s="38" t="s">
        <v>116</v>
      </c>
      <c r="O13" s="34"/>
      <c r="P13" s="35" t="str">
        <f t="shared" si="4"/>
        <v>○</v>
      </c>
      <c r="Q13" s="36" t="str">
        <f t="shared" si="5"/>
        <v/>
      </c>
      <c r="R13" s="37"/>
      <c r="S13" s="38" t="s">
        <v>116</v>
      </c>
      <c r="T13" s="34"/>
      <c r="U13" s="35" t="str">
        <f t="shared" si="6"/>
        <v>○</v>
      </c>
      <c r="V13" s="36" t="str">
        <f t="shared" si="7"/>
        <v/>
      </c>
      <c r="W13" s="37"/>
      <c r="X13" s="38" t="s">
        <v>116</v>
      </c>
      <c r="Y13" s="34"/>
      <c r="Z13" s="35" t="str">
        <f t="shared" si="8"/>
        <v>○</v>
      </c>
      <c r="AA13" s="36" t="str">
        <f t="shared" si="9"/>
        <v/>
      </c>
      <c r="AB13" s="37"/>
      <c r="AC13" s="33"/>
      <c r="AD13" s="46" t="s">
        <v>126</v>
      </c>
      <c r="AE13" s="35" t="str">
        <f t="shared" si="10"/>
        <v/>
      </c>
      <c r="AF13" s="36" t="str">
        <f t="shared" si="11"/>
        <v>○</v>
      </c>
      <c r="AG13" s="37"/>
      <c r="AH13" s="33"/>
      <c r="AI13" s="34"/>
      <c r="AJ13" s="35" t="str">
        <f t="shared" si="12"/>
        <v/>
      </c>
      <c r="AK13" s="36" t="str">
        <f t="shared" si="13"/>
        <v/>
      </c>
      <c r="AL13" s="37"/>
      <c r="AM13" s="33"/>
      <c r="AN13" s="46" t="s">
        <v>126</v>
      </c>
      <c r="AO13" s="35" t="str">
        <f t="shared" si="14"/>
        <v/>
      </c>
      <c r="AP13" s="36" t="str">
        <f t="shared" si="15"/>
        <v>○</v>
      </c>
      <c r="AQ13" s="37"/>
      <c r="AR13" s="33"/>
      <c r="AS13" s="46" t="s">
        <v>126</v>
      </c>
      <c r="AT13" s="35" t="str">
        <f t="shared" si="16"/>
        <v/>
      </c>
      <c r="AU13" s="36" t="str">
        <f t="shared" si="17"/>
        <v>○</v>
      </c>
      <c r="AV13" s="37"/>
      <c r="AW13" s="38" t="s">
        <v>124</v>
      </c>
      <c r="AX13" s="34"/>
      <c r="AY13" s="35" t="str">
        <f t="shared" si="18"/>
        <v>○</v>
      </c>
      <c r="AZ13" s="36" t="str">
        <f t="shared" si="19"/>
        <v/>
      </c>
      <c r="BA13" s="37"/>
      <c r="BB13" s="38" t="s">
        <v>104</v>
      </c>
      <c r="BC13" s="34"/>
      <c r="BD13" s="35" t="str">
        <f t="shared" si="20"/>
        <v>○</v>
      </c>
      <c r="BE13" s="36" t="str">
        <f t="shared" si="21"/>
        <v/>
      </c>
      <c r="BF13" s="37"/>
      <c r="BG13" s="38" t="s">
        <v>116</v>
      </c>
      <c r="BH13" s="34"/>
      <c r="BI13" s="35" t="str">
        <f t="shared" si="22"/>
        <v>○</v>
      </c>
      <c r="BJ13" s="36" t="str">
        <f t="shared" si="23"/>
        <v/>
      </c>
      <c r="BK13" s="37"/>
      <c r="BL13" s="33"/>
      <c r="BM13" s="34"/>
      <c r="BN13" s="35" t="str">
        <f t="shared" si="24"/>
        <v/>
      </c>
      <c r="BO13" s="36" t="str">
        <f t="shared" si="25"/>
        <v/>
      </c>
      <c r="BP13" s="37"/>
      <c r="BQ13" s="33"/>
      <c r="BR13" s="34"/>
      <c r="BS13" s="35" t="str">
        <f t="shared" si="26"/>
        <v/>
      </c>
      <c r="BT13" s="36" t="str">
        <f t="shared" si="27"/>
        <v/>
      </c>
      <c r="BU13" s="37"/>
      <c r="BV13" s="33"/>
      <c r="BW13" s="34"/>
      <c r="BX13" s="35" t="str">
        <f t="shared" si="28"/>
        <v/>
      </c>
      <c r="BY13" s="36" t="str">
        <f t="shared" si="29"/>
        <v/>
      </c>
      <c r="BZ13" s="37"/>
      <c r="CA13" s="33"/>
      <c r="CB13" s="34"/>
      <c r="CC13" s="35" t="str">
        <f t="shared" si="30"/>
        <v/>
      </c>
      <c r="CD13" s="36" t="str">
        <f t="shared" si="31"/>
        <v/>
      </c>
      <c r="CE13" s="37"/>
      <c r="CF13" s="33"/>
      <c r="CG13" s="34"/>
      <c r="CH13" s="35" t="str">
        <f t="shared" si="32"/>
        <v/>
      </c>
      <c r="CI13" s="36" t="str">
        <f t="shared" si="33"/>
        <v/>
      </c>
      <c r="CJ13" s="37"/>
      <c r="CK13" s="33"/>
      <c r="CL13" s="34"/>
      <c r="CM13" s="35" t="str">
        <f t="shared" si="34"/>
        <v/>
      </c>
      <c r="CN13" s="36" t="str">
        <f t="shared" si="35"/>
        <v/>
      </c>
      <c r="CO13" s="37"/>
      <c r="CP13" s="33"/>
      <c r="CQ13" s="34"/>
      <c r="CR13" s="35" t="str">
        <f t="shared" si="36"/>
        <v/>
      </c>
      <c r="CS13" s="36" t="str">
        <f t="shared" si="37"/>
        <v/>
      </c>
      <c r="CT13" s="37"/>
      <c r="CU13" s="33"/>
      <c r="CV13" s="34"/>
      <c r="CW13" s="35" t="str">
        <f t="shared" si="38"/>
        <v/>
      </c>
      <c r="CX13" s="36" t="str">
        <f t="shared" si="39"/>
        <v/>
      </c>
      <c r="CY13" s="37"/>
      <c r="CZ13" s="33"/>
      <c r="DA13" s="34"/>
      <c r="DB13" s="35" t="str">
        <f t="shared" si="40"/>
        <v/>
      </c>
      <c r="DC13" s="36" t="str">
        <f t="shared" si="41"/>
        <v/>
      </c>
      <c r="DD13" s="37"/>
      <c r="DE13" s="33"/>
      <c r="DF13" s="34"/>
      <c r="DG13" s="35" t="str">
        <f t="shared" si="42"/>
        <v/>
      </c>
      <c r="DH13" s="36" t="str">
        <f t="shared" si="43"/>
        <v/>
      </c>
      <c r="DI13" s="37"/>
      <c r="DJ13" s="33"/>
      <c r="DK13" s="34"/>
      <c r="DL13" s="35" t="str">
        <f t="shared" si="44"/>
        <v/>
      </c>
      <c r="DM13" s="36" t="str">
        <f t="shared" si="45"/>
        <v/>
      </c>
      <c r="DN13" s="37"/>
      <c r="DO13" s="33"/>
      <c r="DP13" s="34"/>
      <c r="DQ13" s="35" t="str">
        <f t="shared" si="46"/>
        <v/>
      </c>
      <c r="DR13" s="36" t="str">
        <f t="shared" si="47"/>
        <v/>
      </c>
      <c r="DS13" s="37"/>
      <c r="DT13" s="33"/>
      <c r="DU13" s="34"/>
      <c r="DV13" s="35" t="str">
        <f t="shared" si="48"/>
        <v/>
      </c>
      <c r="DW13" s="36" t="str">
        <f t="shared" si="49"/>
        <v/>
      </c>
      <c r="DX13" s="37"/>
      <c r="DY13" s="33"/>
      <c r="DZ13" s="34"/>
      <c r="EA13" s="35" t="str">
        <f t="shared" si="50"/>
        <v/>
      </c>
      <c r="EB13" s="36" t="str">
        <f t="shared" si="51"/>
        <v/>
      </c>
      <c r="EC13" s="37"/>
      <c r="ED13" s="33"/>
      <c r="EE13" s="34"/>
      <c r="EF13" s="35" t="str">
        <f t="shared" si="52"/>
        <v/>
      </c>
      <c r="EG13" s="36" t="str">
        <f t="shared" si="53"/>
        <v/>
      </c>
      <c r="EH13" s="37"/>
      <c r="EI13" s="33"/>
      <c r="EJ13" s="34"/>
      <c r="EK13" s="35" t="str">
        <f t="shared" si="54"/>
        <v/>
      </c>
      <c r="EL13" s="36" t="str">
        <f t="shared" si="55"/>
        <v/>
      </c>
      <c r="EM13" s="37"/>
      <c r="EN13" s="33"/>
      <c r="EO13" s="34"/>
      <c r="EP13" s="35" t="str">
        <f t="shared" si="56"/>
        <v/>
      </c>
      <c r="EQ13" s="36" t="str">
        <f t="shared" si="57"/>
        <v/>
      </c>
      <c r="ER13" s="37"/>
      <c r="ES13" s="33"/>
      <c r="ET13" s="34"/>
      <c r="EU13" s="35" t="str">
        <f t="shared" si="58"/>
        <v/>
      </c>
      <c r="EV13" s="36" t="str">
        <f t="shared" si="59"/>
        <v/>
      </c>
      <c r="EW13" s="37"/>
    </row>
    <row r="14" spans="1:153" ht="19.5" customHeight="1">
      <c r="A14" s="32">
        <f>IF(DAY(DATE(対象年度,3,11))&lt;&gt;11,"",11)</f>
        <v>11</v>
      </c>
      <c r="B14" s="32" t="str">
        <f>IF(DAY(DATE(対象年度,3,11))&lt;&gt;11,"",CHOOSE(WEEKDAY(DATE(対象年度,3,11),2),"月","火","水","木","金","土","日"))</f>
        <v>水</v>
      </c>
      <c r="C14" s="32" t="str">
        <f>IF(DAY(DATE(対象年度,3,11))&lt;&gt;11,"",IF(ISNUMBER(MATCH(DATE(対象年度,3,11),祝日リスト,0)),"祝",""))</f>
        <v/>
      </c>
      <c r="D14" s="38" t="s">
        <v>104</v>
      </c>
      <c r="E14" s="34"/>
      <c r="F14" s="35" t="str">
        <f t="shared" si="0"/>
        <v>○</v>
      </c>
      <c r="G14" s="36" t="str">
        <f t="shared" si="1"/>
        <v/>
      </c>
      <c r="H14" s="37"/>
      <c r="I14" s="33"/>
      <c r="J14" s="34"/>
      <c r="K14" s="35" t="str">
        <f t="shared" si="2"/>
        <v/>
      </c>
      <c r="L14" s="36" t="str">
        <f t="shared" si="3"/>
        <v/>
      </c>
      <c r="M14" s="37"/>
      <c r="N14" s="38" t="s">
        <v>116</v>
      </c>
      <c r="O14" s="34"/>
      <c r="P14" s="35" t="str">
        <f t="shared" si="4"/>
        <v>○</v>
      </c>
      <c r="Q14" s="36" t="str">
        <f t="shared" si="5"/>
        <v/>
      </c>
      <c r="R14" s="37"/>
      <c r="S14" s="38" t="s">
        <v>116</v>
      </c>
      <c r="T14" s="34"/>
      <c r="U14" s="35" t="str">
        <f t="shared" si="6"/>
        <v>○</v>
      </c>
      <c r="V14" s="36" t="str">
        <f t="shared" si="7"/>
        <v/>
      </c>
      <c r="W14" s="37"/>
      <c r="X14" s="38" t="s">
        <v>116</v>
      </c>
      <c r="Y14" s="34"/>
      <c r="Z14" s="35" t="str">
        <f t="shared" si="8"/>
        <v>○</v>
      </c>
      <c r="AA14" s="36" t="str">
        <f t="shared" si="9"/>
        <v/>
      </c>
      <c r="AB14" s="37"/>
      <c r="AC14" s="33"/>
      <c r="AD14" s="34"/>
      <c r="AE14" s="35" t="str">
        <f t="shared" si="10"/>
        <v/>
      </c>
      <c r="AF14" s="36" t="str">
        <f t="shared" si="11"/>
        <v/>
      </c>
      <c r="AG14" s="37"/>
      <c r="AH14" s="38" t="s">
        <v>117</v>
      </c>
      <c r="AI14" s="34"/>
      <c r="AJ14" s="35" t="str">
        <f t="shared" si="12"/>
        <v>○</v>
      </c>
      <c r="AK14" s="36" t="str">
        <f t="shared" si="13"/>
        <v/>
      </c>
      <c r="AL14" s="37"/>
      <c r="AM14" s="33"/>
      <c r="AN14" s="34"/>
      <c r="AO14" s="35" t="str">
        <f t="shared" si="14"/>
        <v/>
      </c>
      <c r="AP14" s="36" t="str">
        <f t="shared" si="15"/>
        <v/>
      </c>
      <c r="AQ14" s="37"/>
      <c r="AR14" s="33"/>
      <c r="AS14" s="34"/>
      <c r="AT14" s="35" t="str">
        <f t="shared" si="16"/>
        <v/>
      </c>
      <c r="AU14" s="36" t="str">
        <f t="shared" si="17"/>
        <v/>
      </c>
      <c r="AV14" s="37"/>
      <c r="AW14" s="38" t="s">
        <v>124</v>
      </c>
      <c r="AX14" s="34"/>
      <c r="AY14" s="35" t="str">
        <f t="shared" si="18"/>
        <v>○</v>
      </c>
      <c r="AZ14" s="36" t="str">
        <f t="shared" si="19"/>
        <v/>
      </c>
      <c r="BA14" s="37"/>
      <c r="BB14" s="38" t="s">
        <v>104</v>
      </c>
      <c r="BC14" s="34"/>
      <c r="BD14" s="35" t="str">
        <f t="shared" si="20"/>
        <v>○</v>
      </c>
      <c r="BE14" s="36" t="str">
        <f t="shared" si="21"/>
        <v/>
      </c>
      <c r="BF14" s="37"/>
      <c r="BG14" s="38" t="s">
        <v>116</v>
      </c>
      <c r="BH14" s="34"/>
      <c r="BI14" s="35" t="str">
        <f t="shared" si="22"/>
        <v>○</v>
      </c>
      <c r="BJ14" s="36" t="str">
        <f t="shared" si="23"/>
        <v/>
      </c>
      <c r="BK14" s="37"/>
      <c r="BL14" s="33"/>
      <c r="BM14" s="34"/>
      <c r="BN14" s="35" t="str">
        <f t="shared" si="24"/>
        <v/>
      </c>
      <c r="BO14" s="36" t="str">
        <f t="shared" si="25"/>
        <v/>
      </c>
      <c r="BP14" s="37"/>
      <c r="BQ14" s="33"/>
      <c r="BR14" s="34"/>
      <c r="BS14" s="35" t="str">
        <f t="shared" si="26"/>
        <v/>
      </c>
      <c r="BT14" s="36" t="str">
        <f t="shared" si="27"/>
        <v/>
      </c>
      <c r="BU14" s="37"/>
      <c r="BV14" s="33"/>
      <c r="BW14" s="34"/>
      <c r="BX14" s="35" t="str">
        <f t="shared" si="28"/>
        <v/>
      </c>
      <c r="BY14" s="36" t="str">
        <f t="shared" si="29"/>
        <v/>
      </c>
      <c r="BZ14" s="37"/>
      <c r="CA14" s="33"/>
      <c r="CB14" s="34"/>
      <c r="CC14" s="35" t="str">
        <f t="shared" si="30"/>
        <v/>
      </c>
      <c r="CD14" s="36" t="str">
        <f t="shared" si="31"/>
        <v/>
      </c>
      <c r="CE14" s="37"/>
      <c r="CF14" s="33"/>
      <c r="CG14" s="34"/>
      <c r="CH14" s="35" t="str">
        <f t="shared" si="32"/>
        <v/>
      </c>
      <c r="CI14" s="36" t="str">
        <f t="shared" si="33"/>
        <v/>
      </c>
      <c r="CJ14" s="37"/>
      <c r="CK14" s="33"/>
      <c r="CL14" s="34"/>
      <c r="CM14" s="35" t="str">
        <f t="shared" si="34"/>
        <v/>
      </c>
      <c r="CN14" s="36" t="str">
        <f t="shared" si="35"/>
        <v/>
      </c>
      <c r="CO14" s="37"/>
      <c r="CP14" s="33"/>
      <c r="CQ14" s="34"/>
      <c r="CR14" s="35" t="str">
        <f t="shared" si="36"/>
        <v/>
      </c>
      <c r="CS14" s="36" t="str">
        <f t="shared" si="37"/>
        <v/>
      </c>
      <c r="CT14" s="37"/>
      <c r="CU14" s="33"/>
      <c r="CV14" s="34"/>
      <c r="CW14" s="35" t="str">
        <f t="shared" si="38"/>
        <v/>
      </c>
      <c r="CX14" s="36" t="str">
        <f t="shared" si="39"/>
        <v/>
      </c>
      <c r="CY14" s="37"/>
      <c r="CZ14" s="33"/>
      <c r="DA14" s="34"/>
      <c r="DB14" s="35" t="str">
        <f t="shared" si="40"/>
        <v/>
      </c>
      <c r="DC14" s="36" t="str">
        <f t="shared" si="41"/>
        <v/>
      </c>
      <c r="DD14" s="37"/>
      <c r="DE14" s="33"/>
      <c r="DF14" s="34"/>
      <c r="DG14" s="35" t="str">
        <f t="shared" si="42"/>
        <v/>
      </c>
      <c r="DH14" s="36" t="str">
        <f t="shared" si="43"/>
        <v/>
      </c>
      <c r="DI14" s="37"/>
      <c r="DJ14" s="33"/>
      <c r="DK14" s="34"/>
      <c r="DL14" s="35" t="str">
        <f t="shared" si="44"/>
        <v/>
      </c>
      <c r="DM14" s="36" t="str">
        <f t="shared" si="45"/>
        <v/>
      </c>
      <c r="DN14" s="37"/>
      <c r="DO14" s="33"/>
      <c r="DP14" s="34"/>
      <c r="DQ14" s="35" t="str">
        <f t="shared" si="46"/>
        <v/>
      </c>
      <c r="DR14" s="36" t="str">
        <f t="shared" si="47"/>
        <v/>
      </c>
      <c r="DS14" s="37"/>
      <c r="DT14" s="33"/>
      <c r="DU14" s="34"/>
      <c r="DV14" s="35" t="str">
        <f t="shared" si="48"/>
        <v/>
      </c>
      <c r="DW14" s="36" t="str">
        <f t="shared" si="49"/>
        <v/>
      </c>
      <c r="DX14" s="37"/>
      <c r="DY14" s="33"/>
      <c r="DZ14" s="34"/>
      <c r="EA14" s="35" t="str">
        <f t="shared" si="50"/>
        <v/>
      </c>
      <c r="EB14" s="36" t="str">
        <f t="shared" si="51"/>
        <v/>
      </c>
      <c r="EC14" s="37"/>
      <c r="ED14" s="33"/>
      <c r="EE14" s="34"/>
      <c r="EF14" s="35" t="str">
        <f t="shared" si="52"/>
        <v/>
      </c>
      <c r="EG14" s="36" t="str">
        <f t="shared" si="53"/>
        <v/>
      </c>
      <c r="EH14" s="37"/>
      <c r="EI14" s="33"/>
      <c r="EJ14" s="34"/>
      <c r="EK14" s="35" t="str">
        <f t="shared" si="54"/>
        <v/>
      </c>
      <c r="EL14" s="36" t="str">
        <f t="shared" si="55"/>
        <v/>
      </c>
      <c r="EM14" s="37"/>
      <c r="EN14" s="33"/>
      <c r="EO14" s="34"/>
      <c r="EP14" s="35" t="str">
        <f t="shared" si="56"/>
        <v/>
      </c>
      <c r="EQ14" s="36" t="str">
        <f t="shared" si="57"/>
        <v/>
      </c>
      <c r="ER14" s="37"/>
      <c r="ES14" s="33"/>
      <c r="ET14" s="34"/>
      <c r="EU14" s="35" t="str">
        <f t="shared" si="58"/>
        <v/>
      </c>
      <c r="EV14" s="36" t="str">
        <f t="shared" si="59"/>
        <v/>
      </c>
      <c r="EW14" s="37"/>
    </row>
    <row r="15" spans="1:153" ht="19.5" customHeight="1">
      <c r="A15" s="32">
        <f>IF(DAY(DATE(対象年度,3,12))&lt;&gt;12,"",12)</f>
        <v>12</v>
      </c>
      <c r="B15" s="32" t="str">
        <f>IF(DAY(DATE(対象年度,3,12))&lt;&gt;12,"",CHOOSE(WEEKDAY(DATE(対象年度,3,12),2),"月","火","水","木","金","土","日"))</f>
        <v>木</v>
      </c>
      <c r="C15" s="32" t="str">
        <f>IF(DAY(DATE(対象年度,3,12))&lt;&gt;12,"",IF(ISNUMBER(MATCH(DATE(対象年度,3,12),祝日リスト,0)),"祝",""))</f>
        <v/>
      </c>
      <c r="D15" s="38" t="s">
        <v>104</v>
      </c>
      <c r="E15" s="34"/>
      <c r="F15" s="35" t="str">
        <f t="shared" si="0"/>
        <v>○</v>
      </c>
      <c r="G15" s="36" t="str">
        <f t="shared" si="1"/>
        <v/>
      </c>
      <c r="H15" s="37"/>
      <c r="I15" s="33"/>
      <c r="J15" s="46" t="s">
        <v>125</v>
      </c>
      <c r="K15" s="35" t="str">
        <f t="shared" si="2"/>
        <v/>
      </c>
      <c r="L15" s="36" t="str">
        <f t="shared" si="3"/>
        <v>○</v>
      </c>
      <c r="M15" s="37"/>
      <c r="N15" s="38" t="s">
        <v>116</v>
      </c>
      <c r="O15" s="34"/>
      <c r="P15" s="35" t="str">
        <f t="shared" si="4"/>
        <v>○</v>
      </c>
      <c r="Q15" s="36" t="str">
        <f t="shared" si="5"/>
        <v/>
      </c>
      <c r="R15" s="37"/>
      <c r="S15" s="38" t="s">
        <v>116</v>
      </c>
      <c r="T15" s="34"/>
      <c r="U15" s="35" t="str">
        <f t="shared" si="6"/>
        <v>○</v>
      </c>
      <c r="V15" s="36" t="str">
        <f t="shared" si="7"/>
        <v/>
      </c>
      <c r="W15" s="37"/>
      <c r="X15" s="38" t="s">
        <v>116</v>
      </c>
      <c r="Y15" s="34"/>
      <c r="Z15" s="35" t="str">
        <f t="shared" si="8"/>
        <v>○</v>
      </c>
      <c r="AA15" s="36" t="str">
        <f t="shared" si="9"/>
        <v/>
      </c>
      <c r="AB15" s="37"/>
      <c r="AC15" s="33"/>
      <c r="AD15" s="46" t="s">
        <v>125</v>
      </c>
      <c r="AE15" s="35" t="str">
        <f t="shared" si="10"/>
        <v/>
      </c>
      <c r="AF15" s="36" t="str">
        <f t="shared" si="11"/>
        <v>○</v>
      </c>
      <c r="AG15" s="37"/>
      <c r="AH15" s="38" t="s">
        <v>117</v>
      </c>
      <c r="AI15" s="34"/>
      <c r="AJ15" s="35" t="str">
        <f t="shared" si="12"/>
        <v>○</v>
      </c>
      <c r="AK15" s="36" t="str">
        <f t="shared" si="13"/>
        <v/>
      </c>
      <c r="AL15" s="37"/>
      <c r="AM15" s="33"/>
      <c r="AN15" s="46" t="s">
        <v>125</v>
      </c>
      <c r="AO15" s="35" t="str">
        <f t="shared" si="14"/>
        <v/>
      </c>
      <c r="AP15" s="36" t="str">
        <f t="shared" si="15"/>
        <v>○</v>
      </c>
      <c r="AQ15" s="37"/>
      <c r="AR15" s="38" t="s">
        <v>116</v>
      </c>
      <c r="AS15" s="34"/>
      <c r="AT15" s="35" t="str">
        <f t="shared" si="16"/>
        <v>○</v>
      </c>
      <c r="AU15" s="36" t="str">
        <f t="shared" si="17"/>
        <v/>
      </c>
      <c r="AV15" s="37"/>
      <c r="AW15" s="38" t="s">
        <v>124</v>
      </c>
      <c r="AX15" s="34"/>
      <c r="AY15" s="35" t="str">
        <f t="shared" si="18"/>
        <v>○</v>
      </c>
      <c r="AZ15" s="36" t="str">
        <f t="shared" si="19"/>
        <v/>
      </c>
      <c r="BA15" s="37"/>
      <c r="BB15" s="38" t="s">
        <v>104</v>
      </c>
      <c r="BC15" s="34"/>
      <c r="BD15" s="35" t="str">
        <f t="shared" si="20"/>
        <v>○</v>
      </c>
      <c r="BE15" s="36" t="str">
        <f t="shared" si="21"/>
        <v/>
      </c>
      <c r="BF15" s="37"/>
      <c r="BG15" s="38" t="s">
        <v>116</v>
      </c>
      <c r="BH15" s="34"/>
      <c r="BI15" s="35" t="str">
        <f t="shared" si="22"/>
        <v>○</v>
      </c>
      <c r="BJ15" s="36" t="str">
        <f t="shared" si="23"/>
        <v/>
      </c>
      <c r="BK15" s="37"/>
      <c r="BL15" s="33"/>
      <c r="BM15" s="34"/>
      <c r="BN15" s="35" t="str">
        <f t="shared" si="24"/>
        <v/>
      </c>
      <c r="BO15" s="36" t="str">
        <f t="shared" si="25"/>
        <v/>
      </c>
      <c r="BP15" s="37"/>
      <c r="BQ15" s="33"/>
      <c r="BR15" s="34"/>
      <c r="BS15" s="35" t="str">
        <f t="shared" si="26"/>
        <v/>
      </c>
      <c r="BT15" s="36" t="str">
        <f t="shared" si="27"/>
        <v/>
      </c>
      <c r="BU15" s="37"/>
      <c r="BV15" s="33"/>
      <c r="BW15" s="34"/>
      <c r="BX15" s="35" t="str">
        <f t="shared" si="28"/>
        <v/>
      </c>
      <c r="BY15" s="36" t="str">
        <f t="shared" si="29"/>
        <v/>
      </c>
      <c r="BZ15" s="37"/>
      <c r="CA15" s="33"/>
      <c r="CB15" s="34"/>
      <c r="CC15" s="35" t="str">
        <f t="shared" si="30"/>
        <v/>
      </c>
      <c r="CD15" s="36" t="str">
        <f t="shared" si="31"/>
        <v/>
      </c>
      <c r="CE15" s="37"/>
      <c r="CF15" s="33"/>
      <c r="CG15" s="34"/>
      <c r="CH15" s="35" t="str">
        <f t="shared" si="32"/>
        <v/>
      </c>
      <c r="CI15" s="36" t="str">
        <f t="shared" si="33"/>
        <v/>
      </c>
      <c r="CJ15" s="37"/>
      <c r="CK15" s="33"/>
      <c r="CL15" s="34"/>
      <c r="CM15" s="35" t="str">
        <f t="shared" si="34"/>
        <v/>
      </c>
      <c r="CN15" s="36" t="str">
        <f t="shared" si="35"/>
        <v/>
      </c>
      <c r="CO15" s="37"/>
      <c r="CP15" s="33"/>
      <c r="CQ15" s="34"/>
      <c r="CR15" s="35" t="str">
        <f t="shared" si="36"/>
        <v/>
      </c>
      <c r="CS15" s="36" t="str">
        <f t="shared" si="37"/>
        <v/>
      </c>
      <c r="CT15" s="37"/>
      <c r="CU15" s="33"/>
      <c r="CV15" s="34"/>
      <c r="CW15" s="35" t="str">
        <f t="shared" si="38"/>
        <v/>
      </c>
      <c r="CX15" s="36" t="str">
        <f t="shared" si="39"/>
        <v/>
      </c>
      <c r="CY15" s="37"/>
      <c r="CZ15" s="33"/>
      <c r="DA15" s="34"/>
      <c r="DB15" s="35" t="str">
        <f t="shared" si="40"/>
        <v/>
      </c>
      <c r="DC15" s="36" t="str">
        <f t="shared" si="41"/>
        <v/>
      </c>
      <c r="DD15" s="37"/>
      <c r="DE15" s="33"/>
      <c r="DF15" s="34"/>
      <c r="DG15" s="35" t="str">
        <f t="shared" si="42"/>
        <v/>
      </c>
      <c r="DH15" s="36" t="str">
        <f t="shared" si="43"/>
        <v/>
      </c>
      <c r="DI15" s="37"/>
      <c r="DJ15" s="33"/>
      <c r="DK15" s="34"/>
      <c r="DL15" s="35" t="str">
        <f t="shared" si="44"/>
        <v/>
      </c>
      <c r="DM15" s="36" t="str">
        <f t="shared" si="45"/>
        <v/>
      </c>
      <c r="DN15" s="37"/>
      <c r="DO15" s="33"/>
      <c r="DP15" s="34"/>
      <c r="DQ15" s="35" t="str">
        <f t="shared" si="46"/>
        <v/>
      </c>
      <c r="DR15" s="36" t="str">
        <f t="shared" si="47"/>
        <v/>
      </c>
      <c r="DS15" s="37"/>
      <c r="DT15" s="33"/>
      <c r="DU15" s="34"/>
      <c r="DV15" s="35" t="str">
        <f t="shared" si="48"/>
        <v/>
      </c>
      <c r="DW15" s="36" t="str">
        <f t="shared" si="49"/>
        <v/>
      </c>
      <c r="DX15" s="37"/>
      <c r="DY15" s="33"/>
      <c r="DZ15" s="34"/>
      <c r="EA15" s="35" t="str">
        <f t="shared" si="50"/>
        <v/>
      </c>
      <c r="EB15" s="36" t="str">
        <f t="shared" si="51"/>
        <v/>
      </c>
      <c r="EC15" s="37"/>
      <c r="ED15" s="33"/>
      <c r="EE15" s="34"/>
      <c r="EF15" s="35" t="str">
        <f t="shared" si="52"/>
        <v/>
      </c>
      <c r="EG15" s="36" t="str">
        <f t="shared" si="53"/>
        <v/>
      </c>
      <c r="EH15" s="37"/>
      <c r="EI15" s="33"/>
      <c r="EJ15" s="34"/>
      <c r="EK15" s="35" t="str">
        <f t="shared" si="54"/>
        <v/>
      </c>
      <c r="EL15" s="36" t="str">
        <f t="shared" si="55"/>
        <v/>
      </c>
      <c r="EM15" s="37"/>
      <c r="EN15" s="33"/>
      <c r="EO15" s="34"/>
      <c r="EP15" s="35" t="str">
        <f t="shared" si="56"/>
        <v/>
      </c>
      <c r="EQ15" s="36" t="str">
        <f t="shared" si="57"/>
        <v/>
      </c>
      <c r="ER15" s="37"/>
      <c r="ES15" s="33"/>
      <c r="ET15" s="34"/>
      <c r="EU15" s="35" t="str">
        <f t="shared" si="58"/>
        <v/>
      </c>
      <c r="EV15" s="36" t="str">
        <f t="shared" si="59"/>
        <v/>
      </c>
      <c r="EW15" s="37"/>
    </row>
    <row r="16" spans="1:153" ht="19.5" customHeight="1">
      <c r="A16" s="32">
        <f>IF(DAY(DATE(対象年度,3,13))&lt;&gt;13,"",13)</f>
        <v>13</v>
      </c>
      <c r="B16" s="32" t="str">
        <f>IF(DAY(DATE(対象年度,3,13))&lt;&gt;13,"",CHOOSE(WEEKDAY(DATE(対象年度,3,13),2),"月","火","水","木","金","土","日"))</f>
        <v>金</v>
      </c>
      <c r="C16" s="32" t="str">
        <f>IF(DAY(DATE(対象年度,3,13))&lt;&gt;13,"",IF(ISNUMBER(MATCH(DATE(対象年度,3,13),祝日リスト,0)),"祝",""))</f>
        <v/>
      </c>
      <c r="D16" s="38" t="s">
        <v>104</v>
      </c>
      <c r="E16" s="34"/>
      <c r="F16" s="35" t="str">
        <f t="shared" si="0"/>
        <v>○</v>
      </c>
      <c r="G16" s="36" t="str">
        <f t="shared" si="1"/>
        <v/>
      </c>
      <c r="H16" s="37"/>
      <c r="I16" s="38" t="s">
        <v>118</v>
      </c>
      <c r="J16" s="34"/>
      <c r="K16" s="35" t="str">
        <f t="shared" si="2"/>
        <v>○</v>
      </c>
      <c r="L16" s="36" t="str">
        <f t="shared" si="3"/>
        <v/>
      </c>
      <c r="M16" s="37"/>
      <c r="N16" s="38" t="s">
        <v>116</v>
      </c>
      <c r="O16" s="34"/>
      <c r="P16" s="35" t="str">
        <f t="shared" si="4"/>
        <v>○</v>
      </c>
      <c r="Q16" s="36" t="str">
        <f t="shared" si="5"/>
        <v/>
      </c>
      <c r="R16" s="37"/>
      <c r="S16" s="38" t="s">
        <v>116</v>
      </c>
      <c r="T16" s="34"/>
      <c r="U16" s="35" t="str">
        <f t="shared" si="6"/>
        <v>○</v>
      </c>
      <c r="V16" s="36" t="str">
        <f t="shared" si="7"/>
        <v/>
      </c>
      <c r="W16" s="37"/>
      <c r="X16" s="38" t="s">
        <v>116</v>
      </c>
      <c r="Y16" s="34"/>
      <c r="Z16" s="35" t="str">
        <f t="shared" si="8"/>
        <v>○</v>
      </c>
      <c r="AA16" s="36" t="str">
        <f t="shared" si="9"/>
        <v/>
      </c>
      <c r="AB16" s="37"/>
      <c r="AC16" s="38" t="s">
        <v>118</v>
      </c>
      <c r="AD16" s="34"/>
      <c r="AE16" s="35" t="str">
        <f t="shared" si="10"/>
        <v>○</v>
      </c>
      <c r="AF16" s="36" t="str">
        <f t="shared" si="11"/>
        <v/>
      </c>
      <c r="AG16" s="37"/>
      <c r="AH16" s="38" t="s">
        <v>117</v>
      </c>
      <c r="AI16" s="34"/>
      <c r="AJ16" s="35" t="str">
        <f t="shared" si="12"/>
        <v>○</v>
      </c>
      <c r="AK16" s="36" t="str">
        <f t="shared" si="13"/>
        <v/>
      </c>
      <c r="AL16" s="37"/>
      <c r="AM16" s="38" t="s">
        <v>118</v>
      </c>
      <c r="AN16" s="34"/>
      <c r="AO16" s="35" t="str">
        <f t="shared" si="14"/>
        <v>○</v>
      </c>
      <c r="AP16" s="36" t="str">
        <f t="shared" si="15"/>
        <v/>
      </c>
      <c r="AQ16" s="37"/>
      <c r="AR16" s="38" t="s">
        <v>116</v>
      </c>
      <c r="AS16" s="34"/>
      <c r="AT16" s="35" t="str">
        <f t="shared" si="16"/>
        <v>○</v>
      </c>
      <c r="AU16" s="36" t="str">
        <f t="shared" si="17"/>
        <v/>
      </c>
      <c r="AV16" s="37"/>
      <c r="AW16" s="38" t="s">
        <v>124</v>
      </c>
      <c r="AX16" s="34"/>
      <c r="AY16" s="35" t="str">
        <f t="shared" si="18"/>
        <v>○</v>
      </c>
      <c r="AZ16" s="36" t="str">
        <f t="shared" si="19"/>
        <v/>
      </c>
      <c r="BA16" s="37"/>
      <c r="BB16" s="38" t="s">
        <v>104</v>
      </c>
      <c r="BC16" s="34"/>
      <c r="BD16" s="35" t="str">
        <f t="shared" si="20"/>
        <v>○</v>
      </c>
      <c r="BE16" s="36" t="str">
        <f t="shared" si="21"/>
        <v/>
      </c>
      <c r="BF16" s="37"/>
      <c r="BG16" s="38" t="s">
        <v>116</v>
      </c>
      <c r="BH16" s="34"/>
      <c r="BI16" s="35" t="str">
        <f t="shared" si="22"/>
        <v>○</v>
      </c>
      <c r="BJ16" s="36" t="str">
        <f t="shared" si="23"/>
        <v/>
      </c>
      <c r="BK16" s="37"/>
      <c r="BL16" s="33"/>
      <c r="BM16" s="34"/>
      <c r="BN16" s="35" t="str">
        <f t="shared" si="24"/>
        <v/>
      </c>
      <c r="BO16" s="36" t="str">
        <f t="shared" si="25"/>
        <v/>
      </c>
      <c r="BP16" s="37"/>
      <c r="BQ16" s="33"/>
      <c r="BR16" s="34"/>
      <c r="BS16" s="35" t="str">
        <f t="shared" si="26"/>
        <v/>
      </c>
      <c r="BT16" s="36" t="str">
        <f t="shared" si="27"/>
        <v/>
      </c>
      <c r="BU16" s="37"/>
      <c r="BV16" s="33"/>
      <c r="BW16" s="34"/>
      <c r="BX16" s="35" t="str">
        <f t="shared" si="28"/>
        <v/>
      </c>
      <c r="BY16" s="36" t="str">
        <f t="shared" si="29"/>
        <v/>
      </c>
      <c r="BZ16" s="37"/>
      <c r="CA16" s="33"/>
      <c r="CB16" s="34"/>
      <c r="CC16" s="35" t="str">
        <f t="shared" si="30"/>
        <v/>
      </c>
      <c r="CD16" s="36" t="str">
        <f t="shared" si="31"/>
        <v/>
      </c>
      <c r="CE16" s="37"/>
      <c r="CF16" s="33"/>
      <c r="CG16" s="34"/>
      <c r="CH16" s="35" t="str">
        <f t="shared" si="32"/>
        <v/>
      </c>
      <c r="CI16" s="36" t="str">
        <f t="shared" si="33"/>
        <v/>
      </c>
      <c r="CJ16" s="37"/>
      <c r="CK16" s="33"/>
      <c r="CL16" s="34"/>
      <c r="CM16" s="35" t="str">
        <f t="shared" si="34"/>
        <v/>
      </c>
      <c r="CN16" s="36" t="str">
        <f t="shared" si="35"/>
        <v/>
      </c>
      <c r="CO16" s="37"/>
      <c r="CP16" s="33"/>
      <c r="CQ16" s="34"/>
      <c r="CR16" s="35" t="str">
        <f t="shared" si="36"/>
        <v/>
      </c>
      <c r="CS16" s="36" t="str">
        <f t="shared" si="37"/>
        <v/>
      </c>
      <c r="CT16" s="37"/>
      <c r="CU16" s="33"/>
      <c r="CV16" s="34"/>
      <c r="CW16" s="35" t="str">
        <f t="shared" si="38"/>
        <v/>
      </c>
      <c r="CX16" s="36" t="str">
        <f t="shared" si="39"/>
        <v/>
      </c>
      <c r="CY16" s="37"/>
      <c r="CZ16" s="33"/>
      <c r="DA16" s="34"/>
      <c r="DB16" s="35" t="str">
        <f t="shared" si="40"/>
        <v/>
      </c>
      <c r="DC16" s="36" t="str">
        <f t="shared" si="41"/>
        <v/>
      </c>
      <c r="DD16" s="37"/>
      <c r="DE16" s="33"/>
      <c r="DF16" s="34"/>
      <c r="DG16" s="35" t="str">
        <f t="shared" si="42"/>
        <v/>
      </c>
      <c r="DH16" s="36" t="str">
        <f t="shared" si="43"/>
        <v/>
      </c>
      <c r="DI16" s="37"/>
      <c r="DJ16" s="33"/>
      <c r="DK16" s="34"/>
      <c r="DL16" s="35" t="str">
        <f t="shared" si="44"/>
        <v/>
      </c>
      <c r="DM16" s="36" t="str">
        <f t="shared" si="45"/>
        <v/>
      </c>
      <c r="DN16" s="37"/>
      <c r="DO16" s="33"/>
      <c r="DP16" s="34"/>
      <c r="DQ16" s="35" t="str">
        <f t="shared" si="46"/>
        <v/>
      </c>
      <c r="DR16" s="36" t="str">
        <f t="shared" si="47"/>
        <v/>
      </c>
      <c r="DS16" s="37"/>
      <c r="DT16" s="33"/>
      <c r="DU16" s="34"/>
      <c r="DV16" s="35" t="str">
        <f t="shared" si="48"/>
        <v/>
      </c>
      <c r="DW16" s="36" t="str">
        <f t="shared" si="49"/>
        <v/>
      </c>
      <c r="DX16" s="37"/>
      <c r="DY16" s="33"/>
      <c r="DZ16" s="34"/>
      <c r="EA16" s="35" t="str">
        <f t="shared" si="50"/>
        <v/>
      </c>
      <c r="EB16" s="36" t="str">
        <f t="shared" si="51"/>
        <v/>
      </c>
      <c r="EC16" s="37"/>
      <c r="ED16" s="33"/>
      <c r="EE16" s="34"/>
      <c r="EF16" s="35" t="str">
        <f t="shared" si="52"/>
        <v/>
      </c>
      <c r="EG16" s="36" t="str">
        <f t="shared" si="53"/>
        <v/>
      </c>
      <c r="EH16" s="37"/>
      <c r="EI16" s="33"/>
      <c r="EJ16" s="34"/>
      <c r="EK16" s="35" t="str">
        <f t="shared" si="54"/>
        <v/>
      </c>
      <c r="EL16" s="36" t="str">
        <f t="shared" si="55"/>
        <v/>
      </c>
      <c r="EM16" s="37"/>
      <c r="EN16" s="33"/>
      <c r="EO16" s="34"/>
      <c r="EP16" s="35" t="str">
        <f t="shared" si="56"/>
        <v/>
      </c>
      <c r="EQ16" s="36" t="str">
        <f t="shared" si="57"/>
        <v/>
      </c>
      <c r="ER16" s="37"/>
      <c r="ES16" s="33"/>
      <c r="ET16" s="34"/>
      <c r="EU16" s="35" t="str">
        <f t="shared" si="58"/>
        <v/>
      </c>
      <c r="EV16" s="36" t="str">
        <f t="shared" si="59"/>
        <v/>
      </c>
      <c r="EW16" s="37"/>
    </row>
    <row r="17" spans="1:153" ht="19.5" customHeight="1">
      <c r="A17" s="32">
        <f>IF(DAY(DATE(対象年度,3,14))&lt;&gt;14,"",14)</f>
        <v>14</v>
      </c>
      <c r="B17" s="32" t="str">
        <f>IF(DAY(DATE(対象年度,3,14))&lt;&gt;14,"",CHOOSE(WEEKDAY(DATE(対象年度,3,14),2),"月","火","水","木","金","土","日"))</f>
        <v>土</v>
      </c>
      <c r="C17" s="32" t="str">
        <f>IF(DAY(DATE(対象年度,3,14))&lt;&gt;14,"",IF(ISNUMBER(MATCH(DATE(対象年度,3,14),祝日リスト,0)),"祝",""))</f>
        <v/>
      </c>
      <c r="D17" s="33"/>
      <c r="E17" s="34"/>
      <c r="F17" s="35" t="str">
        <f t="shared" si="0"/>
        <v/>
      </c>
      <c r="G17" s="36" t="str">
        <f t="shared" si="1"/>
        <v/>
      </c>
      <c r="H17" s="37"/>
      <c r="I17" s="38" t="s">
        <v>118</v>
      </c>
      <c r="J17" s="34"/>
      <c r="K17" s="35" t="str">
        <f t="shared" si="2"/>
        <v>○</v>
      </c>
      <c r="L17" s="36" t="str">
        <f t="shared" si="3"/>
        <v/>
      </c>
      <c r="M17" s="37"/>
      <c r="N17" s="38" t="s">
        <v>116</v>
      </c>
      <c r="O17" s="34"/>
      <c r="P17" s="35" t="str">
        <f t="shared" si="4"/>
        <v>○</v>
      </c>
      <c r="Q17" s="36" t="str">
        <f t="shared" si="5"/>
        <v/>
      </c>
      <c r="R17" s="37"/>
      <c r="S17" s="38" t="s">
        <v>116</v>
      </c>
      <c r="T17" s="34"/>
      <c r="U17" s="35" t="str">
        <f t="shared" si="6"/>
        <v>○</v>
      </c>
      <c r="V17" s="36" t="str">
        <f t="shared" si="7"/>
        <v/>
      </c>
      <c r="W17" s="37"/>
      <c r="X17" s="38" t="s">
        <v>116</v>
      </c>
      <c r="Y17" s="34"/>
      <c r="Z17" s="35" t="str">
        <f t="shared" si="8"/>
        <v>○</v>
      </c>
      <c r="AA17" s="36" t="str">
        <f t="shared" si="9"/>
        <v/>
      </c>
      <c r="AB17" s="37"/>
      <c r="AC17" s="38" t="s">
        <v>118</v>
      </c>
      <c r="AD17" s="34"/>
      <c r="AE17" s="35" t="str">
        <f t="shared" si="10"/>
        <v>○</v>
      </c>
      <c r="AF17" s="36" t="str">
        <f t="shared" si="11"/>
        <v/>
      </c>
      <c r="AG17" s="37"/>
      <c r="AH17" s="33"/>
      <c r="AI17" s="34"/>
      <c r="AJ17" s="35" t="str">
        <f t="shared" si="12"/>
        <v/>
      </c>
      <c r="AK17" s="36" t="str">
        <f t="shared" si="13"/>
        <v/>
      </c>
      <c r="AL17" s="37"/>
      <c r="AM17" s="38" t="s">
        <v>118</v>
      </c>
      <c r="AN17" s="34"/>
      <c r="AO17" s="35" t="str">
        <f t="shared" si="14"/>
        <v>○</v>
      </c>
      <c r="AP17" s="36" t="str">
        <f t="shared" si="15"/>
        <v/>
      </c>
      <c r="AQ17" s="37"/>
      <c r="AR17" s="38" t="s">
        <v>116</v>
      </c>
      <c r="AS17" s="34"/>
      <c r="AT17" s="35" t="str">
        <f t="shared" si="16"/>
        <v>○</v>
      </c>
      <c r="AU17" s="36" t="str">
        <f t="shared" si="17"/>
        <v/>
      </c>
      <c r="AV17" s="37"/>
      <c r="AW17" s="33"/>
      <c r="AX17" s="34"/>
      <c r="AY17" s="35" t="str">
        <f t="shared" si="18"/>
        <v/>
      </c>
      <c r="AZ17" s="36" t="str">
        <f t="shared" si="19"/>
        <v/>
      </c>
      <c r="BA17" s="37"/>
      <c r="BB17" s="33"/>
      <c r="BC17" s="34"/>
      <c r="BD17" s="35" t="str">
        <f t="shared" si="20"/>
        <v/>
      </c>
      <c r="BE17" s="36" t="str">
        <f t="shared" si="21"/>
        <v/>
      </c>
      <c r="BF17" s="37"/>
      <c r="BG17" s="38" t="s">
        <v>116</v>
      </c>
      <c r="BH17" s="34"/>
      <c r="BI17" s="35" t="str">
        <f t="shared" si="22"/>
        <v>○</v>
      </c>
      <c r="BJ17" s="36" t="str">
        <f t="shared" si="23"/>
        <v/>
      </c>
      <c r="BK17" s="37"/>
      <c r="BL17" s="33"/>
      <c r="BM17" s="34"/>
      <c r="BN17" s="35" t="str">
        <f t="shared" si="24"/>
        <v/>
      </c>
      <c r="BO17" s="36" t="str">
        <f t="shared" si="25"/>
        <v/>
      </c>
      <c r="BP17" s="37"/>
      <c r="BQ17" s="33"/>
      <c r="BR17" s="34"/>
      <c r="BS17" s="35" t="str">
        <f t="shared" si="26"/>
        <v/>
      </c>
      <c r="BT17" s="36" t="str">
        <f t="shared" si="27"/>
        <v/>
      </c>
      <c r="BU17" s="37"/>
      <c r="BV17" s="33"/>
      <c r="BW17" s="34"/>
      <c r="BX17" s="35" t="str">
        <f t="shared" si="28"/>
        <v/>
      </c>
      <c r="BY17" s="36" t="str">
        <f t="shared" si="29"/>
        <v/>
      </c>
      <c r="BZ17" s="37"/>
      <c r="CA17" s="33"/>
      <c r="CB17" s="34"/>
      <c r="CC17" s="35" t="str">
        <f t="shared" si="30"/>
        <v/>
      </c>
      <c r="CD17" s="36" t="str">
        <f t="shared" si="31"/>
        <v/>
      </c>
      <c r="CE17" s="37"/>
      <c r="CF17" s="33"/>
      <c r="CG17" s="34"/>
      <c r="CH17" s="35" t="str">
        <f t="shared" si="32"/>
        <v/>
      </c>
      <c r="CI17" s="36" t="str">
        <f t="shared" si="33"/>
        <v/>
      </c>
      <c r="CJ17" s="37"/>
      <c r="CK17" s="33"/>
      <c r="CL17" s="34"/>
      <c r="CM17" s="35" t="str">
        <f t="shared" si="34"/>
        <v/>
      </c>
      <c r="CN17" s="36" t="str">
        <f t="shared" si="35"/>
        <v/>
      </c>
      <c r="CO17" s="37"/>
      <c r="CP17" s="33"/>
      <c r="CQ17" s="34"/>
      <c r="CR17" s="35" t="str">
        <f t="shared" si="36"/>
        <v/>
      </c>
      <c r="CS17" s="36" t="str">
        <f t="shared" si="37"/>
        <v/>
      </c>
      <c r="CT17" s="37"/>
      <c r="CU17" s="33"/>
      <c r="CV17" s="34"/>
      <c r="CW17" s="35" t="str">
        <f t="shared" si="38"/>
        <v/>
      </c>
      <c r="CX17" s="36" t="str">
        <f t="shared" si="39"/>
        <v/>
      </c>
      <c r="CY17" s="37"/>
      <c r="CZ17" s="33"/>
      <c r="DA17" s="34"/>
      <c r="DB17" s="35" t="str">
        <f t="shared" si="40"/>
        <v/>
      </c>
      <c r="DC17" s="36" t="str">
        <f t="shared" si="41"/>
        <v/>
      </c>
      <c r="DD17" s="37"/>
      <c r="DE17" s="33"/>
      <c r="DF17" s="34"/>
      <c r="DG17" s="35" t="str">
        <f t="shared" si="42"/>
        <v/>
      </c>
      <c r="DH17" s="36" t="str">
        <f t="shared" si="43"/>
        <v/>
      </c>
      <c r="DI17" s="37"/>
      <c r="DJ17" s="33"/>
      <c r="DK17" s="34"/>
      <c r="DL17" s="35" t="str">
        <f t="shared" si="44"/>
        <v/>
      </c>
      <c r="DM17" s="36" t="str">
        <f t="shared" si="45"/>
        <v/>
      </c>
      <c r="DN17" s="37"/>
      <c r="DO17" s="33"/>
      <c r="DP17" s="34"/>
      <c r="DQ17" s="35" t="str">
        <f t="shared" si="46"/>
        <v/>
      </c>
      <c r="DR17" s="36" t="str">
        <f t="shared" si="47"/>
        <v/>
      </c>
      <c r="DS17" s="37"/>
      <c r="DT17" s="33"/>
      <c r="DU17" s="34"/>
      <c r="DV17" s="35" t="str">
        <f t="shared" si="48"/>
        <v/>
      </c>
      <c r="DW17" s="36" t="str">
        <f t="shared" si="49"/>
        <v/>
      </c>
      <c r="DX17" s="37"/>
      <c r="DY17" s="33"/>
      <c r="DZ17" s="34"/>
      <c r="EA17" s="35" t="str">
        <f t="shared" si="50"/>
        <v/>
      </c>
      <c r="EB17" s="36" t="str">
        <f t="shared" si="51"/>
        <v/>
      </c>
      <c r="EC17" s="37"/>
      <c r="ED17" s="33"/>
      <c r="EE17" s="34"/>
      <c r="EF17" s="35" t="str">
        <f t="shared" si="52"/>
        <v/>
      </c>
      <c r="EG17" s="36" t="str">
        <f t="shared" si="53"/>
        <v/>
      </c>
      <c r="EH17" s="37"/>
      <c r="EI17" s="33"/>
      <c r="EJ17" s="34"/>
      <c r="EK17" s="35" t="str">
        <f t="shared" si="54"/>
        <v/>
      </c>
      <c r="EL17" s="36" t="str">
        <f t="shared" si="55"/>
        <v/>
      </c>
      <c r="EM17" s="37"/>
      <c r="EN17" s="33"/>
      <c r="EO17" s="34"/>
      <c r="EP17" s="35" t="str">
        <f t="shared" si="56"/>
        <v/>
      </c>
      <c r="EQ17" s="36" t="str">
        <f t="shared" si="57"/>
        <v/>
      </c>
      <c r="ER17" s="37"/>
      <c r="ES17" s="33"/>
      <c r="ET17" s="34"/>
      <c r="EU17" s="35" t="str">
        <f t="shared" si="58"/>
        <v/>
      </c>
      <c r="EV17" s="36" t="str">
        <f t="shared" si="59"/>
        <v/>
      </c>
      <c r="EW17" s="37"/>
    </row>
    <row r="18" spans="1:153" ht="19.5" customHeight="1">
      <c r="A18" s="32">
        <f>IF(DAY(DATE(対象年度,3,15))&lt;&gt;15,"",15)</f>
        <v>15</v>
      </c>
      <c r="B18" s="32" t="str">
        <f>IF(DAY(DATE(対象年度,3,15))&lt;&gt;15,"",CHOOSE(WEEKDAY(DATE(対象年度,3,15),2),"月","火","水","木","金","土","日"))</f>
        <v>日</v>
      </c>
      <c r="C18" s="32" t="str">
        <f>IF(DAY(DATE(対象年度,3,15))&lt;&gt;15,"",IF(ISNUMBER(MATCH(DATE(対象年度,3,15),祝日リスト,0)),"祝",""))</f>
        <v/>
      </c>
      <c r="D18" s="33"/>
      <c r="E18" s="34"/>
      <c r="F18" s="35" t="str">
        <f t="shared" si="0"/>
        <v/>
      </c>
      <c r="G18" s="36" t="str">
        <f t="shared" si="1"/>
        <v/>
      </c>
      <c r="H18" s="37"/>
      <c r="I18" s="33"/>
      <c r="J18" s="34"/>
      <c r="K18" s="35" t="str">
        <f t="shared" si="2"/>
        <v/>
      </c>
      <c r="L18" s="36" t="str">
        <f t="shared" si="3"/>
        <v/>
      </c>
      <c r="M18" s="37"/>
      <c r="N18" s="33"/>
      <c r="O18" s="34"/>
      <c r="P18" s="35" t="str">
        <f t="shared" si="4"/>
        <v/>
      </c>
      <c r="Q18" s="36" t="str">
        <f t="shared" si="5"/>
        <v/>
      </c>
      <c r="R18" s="37"/>
      <c r="S18" s="33"/>
      <c r="T18" s="34"/>
      <c r="U18" s="35" t="str">
        <f t="shared" si="6"/>
        <v/>
      </c>
      <c r="V18" s="36" t="str">
        <f t="shared" si="7"/>
        <v/>
      </c>
      <c r="W18" s="37"/>
      <c r="X18" s="33"/>
      <c r="Y18" s="34"/>
      <c r="Z18" s="35" t="str">
        <f t="shared" si="8"/>
        <v/>
      </c>
      <c r="AA18" s="36" t="str">
        <f t="shared" si="9"/>
        <v/>
      </c>
      <c r="AB18" s="37"/>
      <c r="AC18" s="33"/>
      <c r="AD18" s="46" t="s">
        <v>127</v>
      </c>
      <c r="AE18" s="35" t="str">
        <f t="shared" si="10"/>
        <v/>
      </c>
      <c r="AF18" s="36" t="str">
        <f t="shared" si="11"/>
        <v>○</v>
      </c>
      <c r="AG18" s="37"/>
      <c r="AH18" s="33"/>
      <c r="AI18" s="34"/>
      <c r="AJ18" s="35" t="str">
        <f t="shared" si="12"/>
        <v/>
      </c>
      <c r="AK18" s="36" t="str">
        <f t="shared" si="13"/>
        <v/>
      </c>
      <c r="AL18" s="37"/>
      <c r="AM18" s="33"/>
      <c r="AN18" s="34"/>
      <c r="AO18" s="35" t="str">
        <f t="shared" si="14"/>
        <v/>
      </c>
      <c r="AP18" s="36" t="str">
        <f t="shared" si="15"/>
        <v/>
      </c>
      <c r="AQ18" s="37"/>
      <c r="AR18" s="33"/>
      <c r="AS18" s="34"/>
      <c r="AT18" s="35" t="str">
        <f t="shared" si="16"/>
        <v/>
      </c>
      <c r="AU18" s="36" t="str">
        <f t="shared" si="17"/>
        <v/>
      </c>
      <c r="AV18" s="37"/>
      <c r="AW18" s="33"/>
      <c r="AX18" s="34"/>
      <c r="AY18" s="35" t="str">
        <f t="shared" si="18"/>
        <v/>
      </c>
      <c r="AZ18" s="36" t="str">
        <f t="shared" si="19"/>
        <v/>
      </c>
      <c r="BA18" s="37"/>
      <c r="BB18" s="33"/>
      <c r="BC18" s="34"/>
      <c r="BD18" s="35" t="str">
        <f t="shared" si="20"/>
        <v/>
      </c>
      <c r="BE18" s="36" t="str">
        <f t="shared" si="21"/>
        <v/>
      </c>
      <c r="BF18" s="37"/>
      <c r="BG18" s="33"/>
      <c r="BH18" s="34"/>
      <c r="BI18" s="35" t="str">
        <f t="shared" si="22"/>
        <v/>
      </c>
      <c r="BJ18" s="36" t="str">
        <f t="shared" si="23"/>
        <v/>
      </c>
      <c r="BK18" s="37"/>
      <c r="BL18" s="33"/>
      <c r="BM18" s="34"/>
      <c r="BN18" s="35" t="str">
        <f t="shared" si="24"/>
        <v/>
      </c>
      <c r="BO18" s="36" t="str">
        <f t="shared" si="25"/>
        <v/>
      </c>
      <c r="BP18" s="37"/>
      <c r="BQ18" s="33"/>
      <c r="BR18" s="34"/>
      <c r="BS18" s="35" t="str">
        <f t="shared" si="26"/>
        <v/>
      </c>
      <c r="BT18" s="36" t="str">
        <f t="shared" si="27"/>
        <v/>
      </c>
      <c r="BU18" s="37"/>
      <c r="BV18" s="33"/>
      <c r="BW18" s="34"/>
      <c r="BX18" s="35" t="str">
        <f t="shared" si="28"/>
        <v/>
      </c>
      <c r="BY18" s="36" t="str">
        <f t="shared" si="29"/>
        <v/>
      </c>
      <c r="BZ18" s="37"/>
      <c r="CA18" s="33"/>
      <c r="CB18" s="34"/>
      <c r="CC18" s="35" t="str">
        <f t="shared" si="30"/>
        <v/>
      </c>
      <c r="CD18" s="36" t="str">
        <f t="shared" si="31"/>
        <v/>
      </c>
      <c r="CE18" s="37"/>
      <c r="CF18" s="33"/>
      <c r="CG18" s="34"/>
      <c r="CH18" s="35" t="str">
        <f t="shared" si="32"/>
        <v/>
      </c>
      <c r="CI18" s="36" t="str">
        <f t="shared" si="33"/>
        <v/>
      </c>
      <c r="CJ18" s="37"/>
      <c r="CK18" s="33"/>
      <c r="CL18" s="34"/>
      <c r="CM18" s="35" t="str">
        <f t="shared" si="34"/>
        <v/>
      </c>
      <c r="CN18" s="36" t="str">
        <f t="shared" si="35"/>
        <v/>
      </c>
      <c r="CO18" s="37"/>
      <c r="CP18" s="33"/>
      <c r="CQ18" s="34"/>
      <c r="CR18" s="35" t="str">
        <f t="shared" si="36"/>
        <v/>
      </c>
      <c r="CS18" s="36" t="str">
        <f t="shared" si="37"/>
        <v/>
      </c>
      <c r="CT18" s="37"/>
      <c r="CU18" s="33"/>
      <c r="CV18" s="34"/>
      <c r="CW18" s="35" t="str">
        <f t="shared" si="38"/>
        <v/>
      </c>
      <c r="CX18" s="36" t="str">
        <f t="shared" si="39"/>
        <v/>
      </c>
      <c r="CY18" s="37"/>
      <c r="CZ18" s="33"/>
      <c r="DA18" s="34"/>
      <c r="DB18" s="35" t="str">
        <f t="shared" si="40"/>
        <v/>
      </c>
      <c r="DC18" s="36" t="str">
        <f t="shared" si="41"/>
        <v/>
      </c>
      <c r="DD18" s="37"/>
      <c r="DE18" s="33"/>
      <c r="DF18" s="34"/>
      <c r="DG18" s="35" t="str">
        <f t="shared" si="42"/>
        <v/>
      </c>
      <c r="DH18" s="36" t="str">
        <f t="shared" si="43"/>
        <v/>
      </c>
      <c r="DI18" s="37"/>
      <c r="DJ18" s="33"/>
      <c r="DK18" s="34"/>
      <c r="DL18" s="35" t="str">
        <f t="shared" si="44"/>
        <v/>
      </c>
      <c r="DM18" s="36" t="str">
        <f t="shared" si="45"/>
        <v/>
      </c>
      <c r="DN18" s="37"/>
      <c r="DO18" s="33"/>
      <c r="DP18" s="34"/>
      <c r="DQ18" s="35" t="str">
        <f t="shared" si="46"/>
        <v/>
      </c>
      <c r="DR18" s="36" t="str">
        <f t="shared" si="47"/>
        <v/>
      </c>
      <c r="DS18" s="37"/>
      <c r="DT18" s="33"/>
      <c r="DU18" s="34"/>
      <c r="DV18" s="35" t="str">
        <f t="shared" si="48"/>
        <v/>
      </c>
      <c r="DW18" s="36" t="str">
        <f t="shared" si="49"/>
        <v/>
      </c>
      <c r="DX18" s="37"/>
      <c r="DY18" s="33"/>
      <c r="DZ18" s="34"/>
      <c r="EA18" s="35" t="str">
        <f t="shared" si="50"/>
        <v/>
      </c>
      <c r="EB18" s="36" t="str">
        <f t="shared" si="51"/>
        <v/>
      </c>
      <c r="EC18" s="37"/>
      <c r="ED18" s="33"/>
      <c r="EE18" s="34"/>
      <c r="EF18" s="35" t="str">
        <f t="shared" si="52"/>
        <v/>
      </c>
      <c r="EG18" s="36" t="str">
        <f t="shared" si="53"/>
        <v/>
      </c>
      <c r="EH18" s="37"/>
      <c r="EI18" s="33"/>
      <c r="EJ18" s="34"/>
      <c r="EK18" s="35" t="str">
        <f t="shared" si="54"/>
        <v/>
      </c>
      <c r="EL18" s="36" t="str">
        <f t="shared" si="55"/>
        <v/>
      </c>
      <c r="EM18" s="37"/>
      <c r="EN18" s="33"/>
      <c r="EO18" s="34"/>
      <c r="EP18" s="35" t="str">
        <f t="shared" si="56"/>
        <v/>
      </c>
      <c r="EQ18" s="36" t="str">
        <f t="shared" si="57"/>
        <v/>
      </c>
      <c r="ER18" s="37"/>
      <c r="ES18" s="33"/>
      <c r="ET18" s="34"/>
      <c r="EU18" s="35" t="str">
        <f t="shared" si="58"/>
        <v/>
      </c>
      <c r="EV18" s="36" t="str">
        <f t="shared" si="59"/>
        <v/>
      </c>
      <c r="EW18" s="37"/>
    </row>
    <row r="19" spans="1:153" ht="19.5" customHeight="1">
      <c r="A19" s="32">
        <f>IF(DAY(DATE(対象年度,3,16))&lt;&gt;16,"",16)</f>
        <v>16</v>
      </c>
      <c r="B19" s="32" t="str">
        <f>IF(DAY(DATE(対象年度,3,16))&lt;&gt;16,"",CHOOSE(WEEKDAY(DATE(対象年度,3,16),2),"月","火","水","木","金","土","日"))</f>
        <v>月</v>
      </c>
      <c r="C19" s="32" t="str">
        <f>IF(DAY(DATE(対象年度,3,16))&lt;&gt;16,"",IF(ISNUMBER(MATCH(DATE(対象年度,3,16),祝日リスト,0)),"祝",""))</f>
        <v/>
      </c>
      <c r="D19" s="38" t="s">
        <v>104</v>
      </c>
      <c r="E19" s="34"/>
      <c r="F19" s="35" t="str">
        <f t="shared" si="0"/>
        <v>○</v>
      </c>
      <c r="G19" s="36" t="str">
        <f t="shared" si="1"/>
        <v/>
      </c>
      <c r="H19" s="37"/>
      <c r="I19" s="33"/>
      <c r="J19" s="46" t="s">
        <v>125</v>
      </c>
      <c r="K19" s="35" t="str">
        <f t="shared" si="2"/>
        <v/>
      </c>
      <c r="L19" s="36" t="str">
        <f t="shared" si="3"/>
        <v>○</v>
      </c>
      <c r="M19" s="37"/>
      <c r="N19" s="38" t="s">
        <v>105</v>
      </c>
      <c r="O19" s="34"/>
      <c r="P19" s="35" t="str">
        <f t="shared" si="4"/>
        <v>○</v>
      </c>
      <c r="Q19" s="36" t="str">
        <f t="shared" si="5"/>
        <v/>
      </c>
      <c r="R19" s="37"/>
      <c r="S19" s="38" t="s">
        <v>116</v>
      </c>
      <c r="T19" s="34"/>
      <c r="U19" s="35" t="str">
        <f t="shared" si="6"/>
        <v>○</v>
      </c>
      <c r="V19" s="36" t="str">
        <f t="shared" si="7"/>
        <v/>
      </c>
      <c r="W19" s="37"/>
      <c r="X19" s="38" t="s">
        <v>116</v>
      </c>
      <c r="Y19" s="34"/>
      <c r="Z19" s="35" t="str">
        <f t="shared" si="8"/>
        <v>○</v>
      </c>
      <c r="AA19" s="36" t="str">
        <f t="shared" si="9"/>
        <v/>
      </c>
      <c r="AB19" s="37"/>
      <c r="AC19" s="38" t="s">
        <v>116</v>
      </c>
      <c r="AD19" s="34"/>
      <c r="AE19" s="35" t="str">
        <f t="shared" si="10"/>
        <v>○</v>
      </c>
      <c r="AF19" s="36" t="str">
        <f t="shared" si="11"/>
        <v/>
      </c>
      <c r="AG19" s="37"/>
      <c r="AH19" s="33"/>
      <c r="AI19" s="34"/>
      <c r="AJ19" s="35" t="str">
        <f t="shared" si="12"/>
        <v/>
      </c>
      <c r="AK19" s="36" t="str">
        <f t="shared" si="13"/>
        <v/>
      </c>
      <c r="AL19" s="37"/>
      <c r="AM19" s="33"/>
      <c r="AN19" s="46" t="s">
        <v>125</v>
      </c>
      <c r="AO19" s="35" t="str">
        <f t="shared" si="14"/>
        <v/>
      </c>
      <c r="AP19" s="36" t="str">
        <f t="shared" si="15"/>
        <v>○</v>
      </c>
      <c r="AQ19" s="37"/>
      <c r="AR19" s="38" t="s">
        <v>116</v>
      </c>
      <c r="AS19" s="34"/>
      <c r="AT19" s="35" t="str">
        <f t="shared" si="16"/>
        <v>○</v>
      </c>
      <c r="AU19" s="36" t="str">
        <f t="shared" si="17"/>
        <v/>
      </c>
      <c r="AV19" s="37"/>
      <c r="AW19" s="38" t="s">
        <v>124</v>
      </c>
      <c r="AX19" s="34"/>
      <c r="AY19" s="35" t="str">
        <f t="shared" si="18"/>
        <v>○</v>
      </c>
      <c r="AZ19" s="36" t="str">
        <f t="shared" si="19"/>
        <v/>
      </c>
      <c r="BA19" s="37"/>
      <c r="BB19" s="38" t="s">
        <v>104</v>
      </c>
      <c r="BC19" s="34"/>
      <c r="BD19" s="35" t="str">
        <f t="shared" si="20"/>
        <v>○</v>
      </c>
      <c r="BE19" s="36" t="str">
        <f t="shared" si="21"/>
        <v/>
      </c>
      <c r="BF19" s="37"/>
      <c r="BG19" s="38" t="s">
        <v>116</v>
      </c>
      <c r="BH19" s="34"/>
      <c r="BI19" s="35" t="str">
        <f t="shared" si="22"/>
        <v>○</v>
      </c>
      <c r="BJ19" s="36" t="str">
        <f t="shared" si="23"/>
        <v/>
      </c>
      <c r="BK19" s="37"/>
      <c r="BL19" s="33"/>
      <c r="BM19" s="34"/>
      <c r="BN19" s="35" t="str">
        <f t="shared" si="24"/>
        <v/>
      </c>
      <c r="BO19" s="36" t="str">
        <f t="shared" si="25"/>
        <v/>
      </c>
      <c r="BP19" s="37"/>
      <c r="BQ19" s="33"/>
      <c r="BR19" s="34"/>
      <c r="BS19" s="35" t="str">
        <f t="shared" si="26"/>
        <v/>
      </c>
      <c r="BT19" s="36" t="str">
        <f t="shared" si="27"/>
        <v/>
      </c>
      <c r="BU19" s="37"/>
      <c r="BV19" s="33"/>
      <c r="BW19" s="34"/>
      <c r="BX19" s="35" t="str">
        <f t="shared" si="28"/>
        <v/>
      </c>
      <c r="BY19" s="36" t="str">
        <f t="shared" si="29"/>
        <v/>
      </c>
      <c r="BZ19" s="37"/>
      <c r="CA19" s="33"/>
      <c r="CB19" s="34"/>
      <c r="CC19" s="35" t="str">
        <f t="shared" si="30"/>
        <v/>
      </c>
      <c r="CD19" s="36" t="str">
        <f t="shared" si="31"/>
        <v/>
      </c>
      <c r="CE19" s="37"/>
      <c r="CF19" s="33"/>
      <c r="CG19" s="34"/>
      <c r="CH19" s="35" t="str">
        <f t="shared" si="32"/>
        <v/>
      </c>
      <c r="CI19" s="36" t="str">
        <f t="shared" si="33"/>
        <v/>
      </c>
      <c r="CJ19" s="37"/>
      <c r="CK19" s="33"/>
      <c r="CL19" s="34"/>
      <c r="CM19" s="35" t="str">
        <f t="shared" si="34"/>
        <v/>
      </c>
      <c r="CN19" s="36" t="str">
        <f t="shared" si="35"/>
        <v/>
      </c>
      <c r="CO19" s="37"/>
      <c r="CP19" s="33"/>
      <c r="CQ19" s="34"/>
      <c r="CR19" s="35" t="str">
        <f t="shared" si="36"/>
        <v/>
      </c>
      <c r="CS19" s="36" t="str">
        <f t="shared" si="37"/>
        <v/>
      </c>
      <c r="CT19" s="37"/>
      <c r="CU19" s="33"/>
      <c r="CV19" s="34"/>
      <c r="CW19" s="35" t="str">
        <f t="shared" si="38"/>
        <v/>
      </c>
      <c r="CX19" s="36" t="str">
        <f t="shared" si="39"/>
        <v/>
      </c>
      <c r="CY19" s="37"/>
      <c r="CZ19" s="33"/>
      <c r="DA19" s="34"/>
      <c r="DB19" s="35" t="str">
        <f t="shared" si="40"/>
        <v/>
      </c>
      <c r="DC19" s="36" t="str">
        <f t="shared" si="41"/>
        <v/>
      </c>
      <c r="DD19" s="37"/>
      <c r="DE19" s="33"/>
      <c r="DF19" s="34"/>
      <c r="DG19" s="35" t="str">
        <f t="shared" si="42"/>
        <v/>
      </c>
      <c r="DH19" s="36" t="str">
        <f t="shared" si="43"/>
        <v/>
      </c>
      <c r="DI19" s="37"/>
      <c r="DJ19" s="33"/>
      <c r="DK19" s="34"/>
      <c r="DL19" s="35" t="str">
        <f t="shared" si="44"/>
        <v/>
      </c>
      <c r="DM19" s="36" t="str">
        <f t="shared" si="45"/>
        <v/>
      </c>
      <c r="DN19" s="37"/>
      <c r="DO19" s="33"/>
      <c r="DP19" s="34"/>
      <c r="DQ19" s="35" t="str">
        <f t="shared" si="46"/>
        <v/>
      </c>
      <c r="DR19" s="36" t="str">
        <f t="shared" si="47"/>
        <v/>
      </c>
      <c r="DS19" s="37"/>
      <c r="DT19" s="33"/>
      <c r="DU19" s="34"/>
      <c r="DV19" s="35" t="str">
        <f t="shared" si="48"/>
        <v/>
      </c>
      <c r="DW19" s="36" t="str">
        <f t="shared" si="49"/>
        <v/>
      </c>
      <c r="DX19" s="37"/>
      <c r="DY19" s="33"/>
      <c r="DZ19" s="34"/>
      <c r="EA19" s="35" t="str">
        <f t="shared" si="50"/>
        <v/>
      </c>
      <c r="EB19" s="36" t="str">
        <f t="shared" si="51"/>
        <v/>
      </c>
      <c r="EC19" s="37"/>
      <c r="ED19" s="33"/>
      <c r="EE19" s="34"/>
      <c r="EF19" s="35" t="str">
        <f t="shared" si="52"/>
        <v/>
      </c>
      <c r="EG19" s="36" t="str">
        <f t="shared" si="53"/>
        <v/>
      </c>
      <c r="EH19" s="37"/>
      <c r="EI19" s="33"/>
      <c r="EJ19" s="34"/>
      <c r="EK19" s="35" t="str">
        <f t="shared" si="54"/>
        <v/>
      </c>
      <c r="EL19" s="36" t="str">
        <f t="shared" si="55"/>
        <v/>
      </c>
      <c r="EM19" s="37"/>
      <c r="EN19" s="33"/>
      <c r="EO19" s="34"/>
      <c r="EP19" s="35" t="str">
        <f t="shared" si="56"/>
        <v/>
      </c>
      <c r="EQ19" s="36" t="str">
        <f t="shared" si="57"/>
        <v/>
      </c>
      <c r="ER19" s="37"/>
      <c r="ES19" s="33"/>
      <c r="ET19" s="34"/>
      <c r="EU19" s="35" t="str">
        <f t="shared" si="58"/>
        <v/>
      </c>
      <c r="EV19" s="36" t="str">
        <f t="shared" si="59"/>
        <v/>
      </c>
      <c r="EW19" s="37"/>
    </row>
    <row r="20" spans="1:153" ht="19.5" customHeight="1">
      <c r="A20" s="32">
        <f>IF(DAY(DATE(対象年度,3,17))&lt;&gt;17,"",17)</f>
        <v>17</v>
      </c>
      <c r="B20" s="32" t="str">
        <f>IF(DAY(DATE(対象年度,3,17))&lt;&gt;17,"",CHOOSE(WEEKDAY(DATE(対象年度,3,17),2),"月","火","水","木","金","土","日"))</f>
        <v>火</v>
      </c>
      <c r="C20" s="32" t="str">
        <f>IF(DAY(DATE(対象年度,3,17))&lt;&gt;17,"",IF(ISNUMBER(MATCH(DATE(対象年度,3,17),祝日リスト,0)),"祝",""))</f>
        <v/>
      </c>
      <c r="D20" s="38" t="s">
        <v>104</v>
      </c>
      <c r="E20" s="34"/>
      <c r="F20" s="35" t="str">
        <f t="shared" si="0"/>
        <v>○</v>
      </c>
      <c r="G20" s="36" t="str">
        <f t="shared" si="1"/>
        <v/>
      </c>
      <c r="H20" s="37"/>
      <c r="I20" s="33"/>
      <c r="J20" s="46" t="s">
        <v>127</v>
      </c>
      <c r="K20" s="35" t="str">
        <f t="shared" si="2"/>
        <v/>
      </c>
      <c r="L20" s="36" t="str">
        <f t="shared" si="3"/>
        <v>○</v>
      </c>
      <c r="M20" s="37"/>
      <c r="N20" s="38" t="s">
        <v>116</v>
      </c>
      <c r="O20" s="34"/>
      <c r="P20" s="35" t="str">
        <f t="shared" si="4"/>
        <v>○</v>
      </c>
      <c r="Q20" s="36" t="str">
        <f t="shared" si="5"/>
        <v/>
      </c>
      <c r="R20" s="37"/>
      <c r="S20" s="38" t="s">
        <v>116</v>
      </c>
      <c r="T20" s="34"/>
      <c r="U20" s="35" t="str">
        <f t="shared" si="6"/>
        <v>○</v>
      </c>
      <c r="V20" s="36" t="str">
        <f t="shared" si="7"/>
        <v/>
      </c>
      <c r="W20" s="37"/>
      <c r="X20" s="38" t="s">
        <v>116</v>
      </c>
      <c r="Y20" s="34"/>
      <c r="Z20" s="35" t="str">
        <f t="shared" si="8"/>
        <v>○</v>
      </c>
      <c r="AA20" s="36" t="str">
        <f t="shared" si="9"/>
        <v/>
      </c>
      <c r="AB20" s="37"/>
      <c r="AC20" s="38" t="s">
        <v>116</v>
      </c>
      <c r="AD20" s="34"/>
      <c r="AE20" s="35" t="str">
        <f t="shared" si="10"/>
        <v>○</v>
      </c>
      <c r="AF20" s="36" t="str">
        <f t="shared" si="11"/>
        <v/>
      </c>
      <c r="AG20" s="37"/>
      <c r="AH20" s="33"/>
      <c r="AI20" s="34"/>
      <c r="AJ20" s="35" t="str">
        <f t="shared" si="12"/>
        <v/>
      </c>
      <c r="AK20" s="36" t="str">
        <f t="shared" si="13"/>
        <v/>
      </c>
      <c r="AL20" s="37"/>
      <c r="AM20" s="33"/>
      <c r="AN20" s="46" t="s">
        <v>127</v>
      </c>
      <c r="AO20" s="35" t="str">
        <f t="shared" si="14"/>
        <v/>
      </c>
      <c r="AP20" s="36" t="str">
        <f t="shared" si="15"/>
        <v>○</v>
      </c>
      <c r="AQ20" s="37"/>
      <c r="AR20" s="38" t="s">
        <v>116</v>
      </c>
      <c r="AS20" s="34"/>
      <c r="AT20" s="35" t="str">
        <f t="shared" si="16"/>
        <v>○</v>
      </c>
      <c r="AU20" s="36" t="str">
        <f t="shared" si="17"/>
        <v/>
      </c>
      <c r="AV20" s="37"/>
      <c r="AW20" s="38" t="s">
        <v>124</v>
      </c>
      <c r="AX20" s="34"/>
      <c r="AY20" s="35" t="str">
        <f t="shared" si="18"/>
        <v>○</v>
      </c>
      <c r="AZ20" s="36" t="str">
        <f t="shared" si="19"/>
        <v/>
      </c>
      <c r="BA20" s="37"/>
      <c r="BB20" s="38" t="s">
        <v>104</v>
      </c>
      <c r="BC20" s="34"/>
      <c r="BD20" s="35" t="str">
        <f t="shared" si="20"/>
        <v>○</v>
      </c>
      <c r="BE20" s="36" t="str">
        <f t="shared" si="21"/>
        <v/>
      </c>
      <c r="BF20" s="37"/>
      <c r="BG20" s="38" t="s">
        <v>116</v>
      </c>
      <c r="BH20" s="34"/>
      <c r="BI20" s="35" t="str">
        <f t="shared" si="22"/>
        <v>○</v>
      </c>
      <c r="BJ20" s="36" t="str">
        <f t="shared" si="23"/>
        <v/>
      </c>
      <c r="BK20" s="37"/>
      <c r="BL20" s="33"/>
      <c r="BM20" s="34"/>
      <c r="BN20" s="35" t="str">
        <f t="shared" si="24"/>
        <v/>
      </c>
      <c r="BO20" s="36" t="str">
        <f t="shared" si="25"/>
        <v/>
      </c>
      <c r="BP20" s="37"/>
      <c r="BQ20" s="33"/>
      <c r="BR20" s="34"/>
      <c r="BS20" s="35" t="str">
        <f t="shared" si="26"/>
        <v/>
      </c>
      <c r="BT20" s="36" t="str">
        <f t="shared" si="27"/>
        <v/>
      </c>
      <c r="BU20" s="37"/>
      <c r="BV20" s="33"/>
      <c r="BW20" s="34"/>
      <c r="BX20" s="35" t="str">
        <f t="shared" si="28"/>
        <v/>
      </c>
      <c r="BY20" s="36" t="str">
        <f t="shared" si="29"/>
        <v/>
      </c>
      <c r="BZ20" s="37"/>
      <c r="CA20" s="33"/>
      <c r="CB20" s="34"/>
      <c r="CC20" s="35" t="str">
        <f t="shared" si="30"/>
        <v/>
      </c>
      <c r="CD20" s="36" t="str">
        <f t="shared" si="31"/>
        <v/>
      </c>
      <c r="CE20" s="37"/>
      <c r="CF20" s="33"/>
      <c r="CG20" s="34"/>
      <c r="CH20" s="35" t="str">
        <f t="shared" si="32"/>
        <v/>
      </c>
      <c r="CI20" s="36" t="str">
        <f t="shared" si="33"/>
        <v/>
      </c>
      <c r="CJ20" s="37"/>
      <c r="CK20" s="33"/>
      <c r="CL20" s="34"/>
      <c r="CM20" s="35" t="str">
        <f t="shared" si="34"/>
        <v/>
      </c>
      <c r="CN20" s="36" t="str">
        <f t="shared" si="35"/>
        <v/>
      </c>
      <c r="CO20" s="37"/>
      <c r="CP20" s="33"/>
      <c r="CQ20" s="34"/>
      <c r="CR20" s="35" t="str">
        <f t="shared" si="36"/>
        <v/>
      </c>
      <c r="CS20" s="36" t="str">
        <f t="shared" si="37"/>
        <v/>
      </c>
      <c r="CT20" s="37"/>
      <c r="CU20" s="33"/>
      <c r="CV20" s="34"/>
      <c r="CW20" s="35" t="str">
        <f t="shared" si="38"/>
        <v/>
      </c>
      <c r="CX20" s="36" t="str">
        <f t="shared" si="39"/>
        <v/>
      </c>
      <c r="CY20" s="37"/>
      <c r="CZ20" s="33"/>
      <c r="DA20" s="34"/>
      <c r="DB20" s="35" t="str">
        <f t="shared" si="40"/>
        <v/>
      </c>
      <c r="DC20" s="36" t="str">
        <f t="shared" si="41"/>
        <v/>
      </c>
      <c r="DD20" s="37"/>
      <c r="DE20" s="33"/>
      <c r="DF20" s="34"/>
      <c r="DG20" s="35" t="str">
        <f t="shared" si="42"/>
        <v/>
      </c>
      <c r="DH20" s="36" t="str">
        <f t="shared" si="43"/>
        <v/>
      </c>
      <c r="DI20" s="37"/>
      <c r="DJ20" s="33"/>
      <c r="DK20" s="34"/>
      <c r="DL20" s="35" t="str">
        <f t="shared" si="44"/>
        <v/>
      </c>
      <c r="DM20" s="36" t="str">
        <f t="shared" si="45"/>
        <v/>
      </c>
      <c r="DN20" s="37"/>
      <c r="DO20" s="33"/>
      <c r="DP20" s="34"/>
      <c r="DQ20" s="35" t="str">
        <f t="shared" si="46"/>
        <v/>
      </c>
      <c r="DR20" s="36" t="str">
        <f t="shared" si="47"/>
        <v/>
      </c>
      <c r="DS20" s="37"/>
      <c r="DT20" s="33"/>
      <c r="DU20" s="34"/>
      <c r="DV20" s="35" t="str">
        <f t="shared" si="48"/>
        <v/>
      </c>
      <c r="DW20" s="36" t="str">
        <f t="shared" si="49"/>
        <v/>
      </c>
      <c r="DX20" s="37"/>
      <c r="DY20" s="33"/>
      <c r="DZ20" s="34"/>
      <c r="EA20" s="35" t="str">
        <f t="shared" si="50"/>
        <v/>
      </c>
      <c r="EB20" s="36" t="str">
        <f t="shared" si="51"/>
        <v/>
      </c>
      <c r="EC20" s="37"/>
      <c r="ED20" s="33"/>
      <c r="EE20" s="34"/>
      <c r="EF20" s="35" t="str">
        <f t="shared" si="52"/>
        <v/>
      </c>
      <c r="EG20" s="36" t="str">
        <f t="shared" si="53"/>
        <v/>
      </c>
      <c r="EH20" s="37"/>
      <c r="EI20" s="33"/>
      <c r="EJ20" s="34"/>
      <c r="EK20" s="35" t="str">
        <f t="shared" si="54"/>
        <v/>
      </c>
      <c r="EL20" s="36" t="str">
        <f t="shared" si="55"/>
        <v/>
      </c>
      <c r="EM20" s="37"/>
      <c r="EN20" s="33"/>
      <c r="EO20" s="34"/>
      <c r="EP20" s="35" t="str">
        <f t="shared" si="56"/>
        <v/>
      </c>
      <c r="EQ20" s="36" t="str">
        <f t="shared" si="57"/>
        <v/>
      </c>
      <c r="ER20" s="37"/>
      <c r="ES20" s="33"/>
      <c r="ET20" s="34"/>
      <c r="EU20" s="35" t="str">
        <f t="shared" si="58"/>
        <v/>
      </c>
      <c r="EV20" s="36" t="str">
        <f t="shared" si="59"/>
        <v/>
      </c>
      <c r="EW20" s="37"/>
    </row>
    <row r="21" spans="1:153" ht="19.5" customHeight="1">
      <c r="A21" s="32">
        <f>IF(DAY(DATE(対象年度,3,18))&lt;&gt;18,"",18)</f>
        <v>18</v>
      </c>
      <c r="B21" s="32" t="str">
        <f>IF(DAY(DATE(対象年度,3,18))&lt;&gt;18,"",CHOOSE(WEEKDAY(DATE(対象年度,3,18),2),"月","火","水","木","金","土","日"))</f>
        <v>水</v>
      </c>
      <c r="C21" s="32" t="str">
        <f>IF(DAY(DATE(対象年度,3,18))&lt;&gt;18,"",IF(ISNUMBER(MATCH(DATE(対象年度,3,18),祝日リスト,0)),"祝",""))</f>
        <v/>
      </c>
      <c r="D21" s="38" t="s">
        <v>104</v>
      </c>
      <c r="E21" s="34"/>
      <c r="F21" s="35" t="str">
        <f t="shared" si="0"/>
        <v>○</v>
      </c>
      <c r="G21" s="36" t="str">
        <f t="shared" si="1"/>
        <v/>
      </c>
      <c r="H21" s="37"/>
      <c r="I21" s="38" t="s">
        <v>128</v>
      </c>
      <c r="J21" s="34"/>
      <c r="K21" s="35" t="str">
        <f t="shared" si="2"/>
        <v>○</v>
      </c>
      <c r="L21" s="36" t="str">
        <f t="shared" si="3"/>
        <v/>
      </c>
      <c r="M21" s="37"/>
      <c r="N21" s="38" t="s">
        <v>116</v>
      </c>
      <c r="O21" s="34"/>
      <c r="P21" s="35" t="str">
        <f t="shared" si="4"/>
        <v>○</v>
      </c>
      <c r="Q21" s="36" t="str">
        <f t="shared" si="5"/>
        <v/>
      </c>
      <c r="R21" s="37"/>
      <c r="S21" s="38" t="s">
        <v>116</v>
      </c>
      <c r="T21" s="34"/>
      <c r="U21" s="35" t="str">
        <f t="shared" si="6"/>
        <v>○</v>
      </c>
      <c r="V21" s="36" t="str">
        <f t="shared" si="7"/>
        <v/>
      </c>
      <c r="W21" s="37"/>
      <c r="X21" s="38" t="s">
        <v>116</v>
      </c>
      <c r="Y21" s="34"/>
      <c r="Z21" s="35" t="str">
        <f t="shared" si="8"/>
        <v>○</v>
      </c>
      <c r="AA21" s="36" t="str">
        <f t="shared" si="9"/>
        <v/>
      </c>
      <c r="AB21" s="37"/>
      <c r="AC21" s="38" t="s">
        <v>128</v>
      </c>
      <c r="AD21" s="34"/>
      <c r="AE21" s="35" t="str">
        <f t="shared" si="10"/>
        <v>○</v>
      </c>
      <c r="AF21" s="36" t="str">
        <f t="shared" si="11"/>
        <v/>
      </c>
      <c r="AG21" s="37"/>
      <c r="AH21" s="33"/>
      <c r="AI21" s="34"/>
      <c r="AJ21" s="35" t="str">
        <f t="shared" si="12"/>
        <v/>
      </c>
      <c r="AK21" s="36" t="str">
        <f t="shared" si="13"/>
        <v/>
      </c>
      <c r="AL21" s="37"/>
      <c r="AM21" s="38" t="s">
        <v>128</v>
      </c>
      <c r="AN21" s="34"/>
      <c r="AO21" s="35" t="str">
        <f t="shared" si="14"/>
        <v>○</v>
      </c>
      <c r="AP21" s="36" t="str">
        <f t="shared" si="15"/>
        <v/>
      </c>
      <c r="AQ21" s="37"/>
      <c r="AR21" s="38" t="s">
        <v>116</v>
      </c>
      <c r="AS21" s="34"/>
      <c r="AT21" s="35" t="str">
        <f t="shared" si="16"/>
        <v>○</v>
      </c>
      <c r="AU21" s="36" t="str">
        <f t="shared" si="17"/>
        <v/>
      </c>
      <c r="AV21" s="37"/>
      <c r="AW21" s="38" t="s">
        <v>124</v>
      </c>
      <c r="AX21" s="34"/>
      <c r="AY21" s="35" t="str">
        <f t="shared" si="18"/>
        <v>○</v>
      </c>
      <c r="AZ21" s="36" t="str">
        <f t="shared" si="19"/>
        <v/>
      </c>
      <c r="BA21" s="37"/>
      <c r="BB21" s="38" t="s">
        <v>104</v>
      </c>
      <c r="BC21" s="34"/>
      <c r="BD21" s="35" t="str">
        <f t="shared" si="20"/>
        <v>○</v>
      </c>
      <c r="BE21" s="36" t="str">
        <f t="shared" si="21"/>
        <v/>
      </c>
      <c r="BF21" s="37"/>
      <c r="BG21" s="38" t="s">
        <v>116</v>
      </c>
      <c r="BH21" s="34"/>
      <c r="BI21" s="35" t="str">
        <f t="shared" si="22"/>
        <v>○</v>
      </c>
      <c r="BJ21" s="36" t="str">
        <f t="shared" si="23"/>
        <v/>
      </c>
      <c r="BK21" s="37"/>
      <c r="BL21" s="33"/>
      <c r="BM21" s="34"/>
      <c r="BN21" s="35" t="str">
        <f t="shared" si="24"/>
        <v/>
      </c>
      <c r="BO21" s="36" t="str">
        <f t="shared" si="25"/>
        <v/>
      </c>
      <c r="BP21" s="37"/>
      <c r="BQ21" s="33"/>
      <c r="BR21" s="34"/>
      <c r="BS21" s="35" t="str">
        <f t="shared" si="26"/>
        <v/>
      </c>
      <c r="BT21" s="36" t="str">
        <f t="shared" si="27"/>
        <v/>
      </c>
      <c r="BU21" s="37"/>
      <c r="BV21" s="33"/>
      <c r="BW21" s="34"/>
      <c r="BX21" s="35" t="str">
        <f t="shared" si="28"/>
        <v/>
      </c>
      <c r="BY21" s="36" t="str">
        <f t="shared" si="29"/>
        <v/>
      </c>
      <c r="BZ21" s="37"/>
      <c r="CA21" s="33"/>
      <c r="CB21" s="34"/>
      <c r="CC21" s="35" t="str">
        <f t="shared" si="30"/>
        <v/>
      </c>
      <c r="CD21" s="36" t="str">
        <f t="shared" si="31"/>
        <v/>
      </c>
      <c r="CE21" s="37"/>
      <c r="CF21" s="33"/>
      <c r="CG21" s="34"/>
      <c r="CH21" s="35" t="str">
        <f t="shared" si="32"/>
        <v/>
      </c>
      <c r="CI21" s="36" t="str">
        <f t="shared" si="33"/>
        <v/>
      </c>
      <c r="CJ21" s="37"/>
      <c r="CK21" s="33"/>
      <c r="CL21" s="34"/>
      <c r="CM21" s="35" t="str">
        <f t="shared" si="34"/>
        <v/>
      </c>
      <c r="CN21" s="36" t="str">
        <f t="shared" si="35"/>
        <v/>
      </c>
      <c r="CO21" s="37"/>
      <c r="CP21" s="33"/>
      <c r="CQ21" s="34"/>
      <c r="CR21" s="35" t="str">
        <f t="shared" si="36"/>
        <v/>
      </c>
      <c r="CS21" s="36" t="str">
        <f t="shared" si="37"/>
        <v/>
      </c>
      <c r="CT21" s="37"/>
      <c r="CU21" s="33"/>
      <c r="CV21" s="34"/>
      <c r="CW21" s="35" t="str">
        <f t="shared" si="38"/>
        <v/>
      </c>
      <c r="CX21" s="36" t="str">
        <f t="shared" si="39"/>
        <v/>
      </c>
      <c r="CY21" s="37"/>
      <c r="CZ21" s="33"/>
      <c r="DA21" s="34"/>
      <c r="DB21" s="35" t="str">
        <f t="shared" si="40"/>
        <v/>
      </c>
      <c r="DC21" s="36" t="str">
        <f t="shared" si="41"/>
        <v/>
      </c>
      <c r="DD21" s="37"/>
      <c r="DE21" s="33"/>
      <c r="DF21" s="34"/>
      <c r="DG21" s="35" t="str">
        <f t="shared" si="42"/>
        <v/>
      </c>
      <c r="DH21" s="36" t="str">
        <f t="shared" si="43"/>
        <v/>
      </c>
      <c r="DI21" s="37"/>
      <c r="DJ21" s="33"/>
      <c r="DK21" s="34"/>
      <c r="DL21" s="35" t="str">
        <f t="shared" si="44"/>
        <v/>
      </c>
      <c r="DM21" s="36" t="str">
        <f t="shared" si="45"/>
        <v/>
      </c>
      <c r="DN21" s="37"/>
      <c r="DO21" s="33"/>
      <c r="DP21" s="34"/>
      <c r="DQ21" s="35" t="str">
        <f t="shared" si="46"/>
        <v/>
      </c>
      <c r="DR21" s="36" t="str">
        <f t="shared" si="47"/>
        <v/>
      </c>
      <c r="DS21" s="37"/>
      <c r="DT21" s="33"/>
      <c r="DU21" s="34"/>
      <c r="DV21" s="35" t="str">
        <f t="shared" si="48"/>
        <v/>
      </c>
      <c r="DW21" s="36" t="str">
        <f t="shared" si="49"/>
        <v/>
      </c>
      <c r="DX21" s="37"/>
      <c r="DY21" s="33"/>
      <c r="DZ21" s="34"/>
      <c r="EA21" s="35" t="str">
        <f t="shared" si="50"/>
        <v/>
      </c>
      <c r="EB21" s="36" t="str">
        <f t="shared" si="51"/>
        <v/>
      </c>
      <c r="EC21" s="37"/>
      <c r="ED21" s="33"/>
      <c r="EE21" s="34"/>
      <c r="EF21" s="35" t="str">
        <f t="shared" si="52"/>
        <v/>
      </c>
      <c r="EG21" s="36" t="str">
        <f t="shared" si="53"/>
        <v/>
      </c>
      <c r="EH21" s="37"/>
      <c r="EI21" s="33"/>
      <c r="EJ21" s="34"/>
      <c r="EK21" s="35" t="str">
        <f t="shared" si="54"/>
        <v/>
      </c>
      <c r="EL21" s="36" t="str">
        <f t="shared" si="55"/>
        <v/>
      </c>
      <c r="EM21" s="37"/>
      <c r="EN21" s="33"/>
      <c r="EO21" s="34"/>
      <c r="EP21" s="35" t="str">
        <f t="shared" si="56"/>
        <v/>
      </c>
      <c r="EQ21" s="36" t="str">
        <f t="shared" si="57"/>
        <v/>
      </c>
      <c r="ER21" s="37"/>
      <c r="ES21" s="33"/>
      <c r="ET21" s="34"/>
      <c r="EU21" s="35" t="str">
        <f t="shared" si="58"/>
        <v/>
      </c>
      <c r="EV21" s="36" t="str">
        <f t="shared" si="59"/>
        <v/>
      </c>
      <c r="EW21" s="37"/>
    </row>
    <row r="22" spans="1:153" ht="19.5" customHeight="1">
      <c r="A22" s="32">
        <f>IF(DAY(DATE(対象年度,3,19))&lt;&gt;19,"",19)</f>
        <v>19</v>
      </c>
      <c r="B22" s="32" t="str">
        <f>IF(DAY(DATE(対象年度,3,19))&lt;&gt;19,"",CHOOSE(WEEKDAY(DATE(対象年度,3,19),2),"月","火","水","木","金","土","日"))</f>
        <v>木</v>
      </c>
      <c r="C22" s="32" t="str">
        <f>IF(DAY(DATE(対象年度,3,19))&lt;&gt;19,"",IF(ISNUMBER(MATCH(DATE(対象年度,3,19),祝日リスト,0)),"祝",""))</f>
        <v/>
      </c>
      <c r="D22" s="38" t="s">
        <v>104</v>
      </c>
      <c r="E22" s="34"/>
      <c r="F22" s="35" t="str">
        <f t="shared" si="0"/>
        <v>○</v>
      </c>
      <c r="G22" s="36" t="str">
        <f t="shared" si="1"/>
        <v/>
      </c>
      <c r="H22" s="37"/>
      <c r="I22" s="38" t="s">
        <v>129</v>
      </c>
      <c r="J22" s="34"/>
      <c r="K22" s="35" t="str">
        <f t="shared" si="2"/>
        <v>○</v>
      </c>
      <c r="L22" s="36" t="str">
        <f t="shared" si="3"/>
        <v/>
      </c>
      <c r="M22" s="37"/>
      <c r="N22" s="38" t="s">
        <v>105</v>
      </c>
      <c r="O22" s="34"/>
      <c r="P22" s="35" t="str">
        <f t="shared" si="4"/>
        <v>○</v>
      </c>
      <c r="Q22" s="36" t="str">
        <f t="shared" si="5"/>
        <v/>
      </c>
      <c r="R22" s="37"/>
      <c r="S22" s="38" t="s">
        <v>116</v>
      </c>
      <c r="T22" s="34"/>
      <c r="U22" s="35" t="str">
        <f t="shared" si="6"/>
        <v>○</v>
      </c>
      <c r="V22" s="36" t="str">
        <f t="shared" si="7"/>
        <v/>
      </c>
      <c r="W22" s="37"/>
      <c r="X22" s="38" t="s">
        <v>105</v>
      </c>
      <c r="Y22" s="34"/>
      <c r="Z22" s="35" t="str">
        <f t="shared" si="8"/>
        <v>○</v>
      </c>
      <c r="AA22" s="36" t="str">
        <f t="shared" si="9"/>
        <v/>
      </c>
      <c r="AB22" s="37"/>
      <c r="AC22" s="38" t="s">
        <v>129</v>
      </c>
      <c r="AD22" s="34"/>
      <c r="AE22" s="35" t="str">
        <f t="shared" si="10"/>
        <v>○</v>
      </c>
      <c r="AF22" s="36" t="str">
        <f t="shared" si="11"/>
        <v/>
      </c>
      <c r="AG22" s="37"/>
      <c r="AH22" s="33"/>
      <c r="AI22" s="34"/>
      <c r="AJ22" s="35" t="str">
        <f t="shared" si="12"/>
        <v/>
      </c>
      <c r="AK22" s="36" t="str">
        <f t="shared" si="13"/>
        <v/>
      </c>
      <c r="AL22" s="37"/>
      <c r="AM22" s="38" t="s">
        <v>129</v>
      </c>
      <c r="AN22" s="34"/>
      <c r="AO22" s="35" t="str">
        <f t="shared" si="14"/>
        <v>○</v>
      </c>
      <c r="AP22" s="36" t="str">
        <f t="shared" si="15"/>
        <v/>
      </c>
      <c r="AQ22" s="37"/>
      <c r="AR22" s="38" t="s">
        <v>116</v>
      </c>
      <c r="AS22" s="34"/>
      <c r="AT22" s="35" t="str">
        <f t="shared" si="16"/>
        <v>○</v>
      </c>
      <c r="AU22" s="36" t="str">
        <f t="shared" si="17"/>
        <v/>
      </c>
      <c r="AV22" s="37"/>
      <c r="AW22" s="38" t="s">
        <v>124</v>
      </c>
      <c r="AX22" s="34"/>
      <c r="AY22" s="35" t="str">
        <f t="shared" si="18"/>
        <v>○</v>
      </c>
      <c r="AZ22" s="36" t="str">
        <f t="shared" si="19"/>
        <v/>
      </c>
      <c r="BA22" s="37"/>
      <c r="BB22" s="38" t="s">
        <v>104</v>
      </c>
      <c r="BC22" s="34"/>
      <c r="BD22" s="35" t="str">
        <f t="shared" si="20"/>
        <v>○</v>
      </c>
      <c r="BE22" s="36" t="str">
        <f t="shared" si="21"/>
        <v/>
      </c>
      <c r="BF22" s="37"/>
      <c r="BG22" s="38" t="s">
        <v>116</v>
      </c>
      <c r="BH22" s="34"/>
      <c r="BI22" s="35" t="str">
        <f t="shared" si="22"/>
        <v>○</v>
      </c>
      <c r="BJ22" s="36" t="str">
        <f t="shared" si="23"/>
        <v/>
      </c>
      <c r="BK22" s="37"/>
      <c r="BL22" s="33"/>
      <c r="BM22" s="34"/>
      <c r="BN22" s="35" t="str">
        <f t="shared" si="24"/>
        <v/>
      </c>
      <c r="BO22" s="36" t="str">
        <f t="shared" si="25"/>
        <v/>
      </c>
      <c r="BP22" s="37"/>
      <c r="BQ22" s="33"/>
      <c r="BR22" s="34"/>
      <c r="BS22" s="35" t="str">
        <f t="shared" si="26"/>
        <v/>
      </c>
      <c r="BT22" s="36" t="str">
        <f t="shared" si="27"/>
        <v/>
      </c>
      <c r="BU22" s="37"/>
      <c r="BV22" s="33"/>
      <c r="BW22" s="34"/>
      <c r="BX22" s="35" t="str">
        <f t="shared" si="28"/>
        <v/>
      </c>
      <c r="BY22" s="36" t="str">
        <f t="shared" si="29"/>
        <v/>
      </c>
      <c r="BZ22" s="37"/>
      <c r="CA22" s="33"/>
      <c r="CB22" s="34"/>
      <c r="CC22" s="35" t="str">
        <f t="shared" si="30"/>
        <v/>
      </c>
      <c r="CD22" s="36" t="str">
        <f t="shared" si="31"/>
        <v/>
      </c>
      <c r="CE22" s="37"/>
      <c r="CF22" s="33"/>
      <c r="CG22" s="34"/>
      <c r="CH22" s="35" t="str">
        <f t="shared" si="32"/>
        <v/>
      </c>
      <c r="CI22" s="36" t="str">
        <f t="shared" si="33"/>
        <v/>
      </c>
      <c r="CJ22" s="37"/>
      <c r="CK22" s="33"/>
      <c r="CL22" s="34"/>
      <c r="CM22" s="35" t="str">
        <f t="shared" si="34"/>
        <v/>
      </c>
      <c r="CN22" s="36" t="str">
        <f t="shared" si="35"/>
        <v/>
      </c>
      <c r="CO22" s="37"/>
      <c r="CP22" s="33"/>
      <c r="CQ22" s="34"/>
      <c r="CR22" s="35" t="str">
        <f t="shared" si="36"/>
        <v/>
      </c>
      <c r="CS22" s="36" t="str">
        <f t="shared" si="37"/>
        <v/>
      </c>
      <c r="CT22" s="37"/>
      <c r="CU22" s="33"/>
      <c r="CV22" s="34"/>
      <c r="CW22" s="35" t="str">
        <f t="shared" si="38"/>
        <v/>
      </c>
      <c r="CX22" s="36" t="str">
        <f t="shared" si="39"/>
        <v/>
      </c>
      <c r="CY22" s="37"/>
      <c r="CZ22" s="33"/>
      <c r="DA22" s="34"/>
      <c r="DB22" s="35" t="str">
        <f t="shared" si="40"/>
        <v/>
      </c>
      <c r="DC22" s="36" t="str">
        <f t="shared" si="41"/>
        <v/>
      </c>
      <c r="DD22" s="37"/>
      <c r="DE22" s="33"/>
      <c r="DF22" s="34"/>
      <c r="DG22" s="35" t="str">
        <f t="shared" si="42"/>
        <v/>
      </c>
      <c r="DH22" s="36" t="str">
        <f t="shared" si="43"/>
        <v/>
      </c>
      <c r="DI22" s="37"/>
      <c r="DJ22" s="33"/>
      <c r="DK22" s="34"/>
      <c r="DL22" s="35" t="str">
        <f t="shared" si="44"/>
        <v/>
      </c>
      <c r="DM22" s="36" t="str">
        <f t="shared" si="45"/>
        <v/>
      </c>
      <c r="DN22" s="37"/>
      <c r="DO22" s="33"/>
      <c r="DP22" s="34"/>
      <c r="DQ22" s="35" t="str">
        <f t="shared" si="46"/>
        <v/>
      </c>
      <c r="DR22" s="36" t="str">
        <f t="shared" si="47"/>
        <v/>
      </c>
      <c r="DS22" s="37"/>
      <c r="DT22" s="33"/>
      <c r="DU22" s="34"/>
      <c r="DV22" s="35" t="str">
        <f t="shared" si="48"/>
        <v/>
      </c>
      <c r="DW22" s="36" t="str">
        <f t="shared" si="49"/>
        <v/>
      </c>
      <c r="DX22" s="37"/>
      <c r="DY22" s="33"/>
      <c r="DZ22" s="34"/>
      <c r="EA22" s="35" t="str">
        <f t="shared" si="50"/>
        <v/>
      </c>
      <c r="EB22" s="36" t="str">
        <f t="shared" si="51"/>
        <v/>
      </c>
      <c r="EC22" s="37"/>
      <c r="ED22" s="33"/>
      <c r="EE22" s="34"/>
      <c r="EF22" s="35" t="str">
        <f t="shared" si="52"/>
        <v/>
      </c>
      <c r="EG22" s="36" t="str">
        <f t="shared" si="53"/>
        <v/>
      </c>
      <c r="EH22" s="37"/>
      <c r="EI22" s="33"/>
      <c r="EJ22" s="34"/>
      <c r="EK22" s="35" t="str">
        <f t="shared" si="54"/>
        <v/>
      </c>
      <c r="EL22" s="36" t="str">
        <f t="shared" si="55"/>
        <v/>
      </c>
      <c r="EM22" s="37"/>
      <c r="EN22" s="33"/>
      <c r="EO22" s="34"/>
      <c r="EP22" s="35" t="str">
        <f t="shared" si="56"/>
        <v/>
      </c>
      <c r="EQ22" s="36" t="str">
        <f t="shared" si="57"/>
        <v/>
      </c>
      <c r="ER22" s="37"/>
      <c r="ES22" s="33"/>
      <c r="ET22" s="34"/>
      <c r="EU22" s="35" t="str">
        <f t="shared" si="58"/>
        <v/>
      </c>
      <c r="EV22" s="36" t="str">
        <f t="shared" si="59"/>
        <v/>
      </c>
      <c r="EW22" s="37"/>
    </row>
    <row r="23" spans="1:153" ht="19.5" customHeight="1">
      <c r="A23" s="32">
        <f>IF(DAY(DATE(対象年度,3,20))&lt;&gt;20,"",20)</f>
        <v>20</v>
      </c>
      <c r="B23" s="32" t="str">
        <f>IF(DAY(DATE(対象年度,3,20))&lt;&gt;20,"",CHOOSE(WEEKDAY(DATE(対象年度,3,20),2),"月","火","水","木","金","土","日"))</f>
        <v>金</v>
      </c>
      <c r="C23" s="32" t="str">
        <f>IF(DAY(DATE(対象年度,3,20))&lt;&gt;20,"",IF(ISNUMBER(MATCH(DATE(対象年度,3,20),祝日リスト,0)),"祝",""))</f>
        <v>祝</v>
      </c>
      <c r="D23" s="33"/>
      <c r="E23" s="34"/>
      <c r="F23" s="35" t="str">
        <f t="shared" si="0"/>
        <v/>
      </c>
      <c r="G23" s="36" t="str">
        <f t="shared" si="1"/>
        <v/>
      </c>
      <c r="H23" s="37"/>
      <c r="I23" s="33"/>
      <c r="J23" s="46" t="s">
        <v>125</v>
      </c>
      <c r="K23" s="35" t="str">
        <f t="shared" si="2"/>
        <v/>
      </c>
      <c r="L23" s="36" t="str">
        <f t="shared" si="3"/>
        <v>○</v>
      </c>
      <c r="M23" s="37"/>
      <c r="N23" s="38" t="s">
        <v>116</v>
      </c>
      <c r="O23" s="34"/>
      <c r="P23" s="35" t="str">
        <f t="shared" si="4"/>
        <v>○</v>
      </c>
      <c r="Q23" s="36" t="str">
        <f t="shared" si="5"/>
        <v/>
      </c>
      <c r="R23" s="37"/>
      <c r="S23" s="38" t="s">
        <v>116</v>
      </c>
      <c r="T23" s="34"/>
      <c r="U23" s="35" t="str">
        <f t="shared" si="6"/>
        <v>○</v>
      </c>
      <c r="V23" s="36" t="str">
        <f t="shared" si="7"/>
        <v/>
      </c>
      <c r="W23" s="37"/>
      <c r="X23" s="38" t="s">
        <v>116</v>
      </c>
      <c r="Y23" s="34"/>
      <c r="Z23" s="35" t="str">
        <f t="shared" si="8"/>
        <v>○</v>
      </c>
      <c r="AA23" s="36" t="str">
        <f t="shared" si="9"/>
        <v/>
      </c>
      <c r="AB23" s="37"/>
      <c r="AC23" s="33"/>
      <c r="AD23" s="46" t="s">
        <v>125</v>
      </c>
      <c r="AE23" s="35" t="str">
        <f t="shared" si="10"/>
        <v/>
      </c>
      <c r="AF23" s="36" t="str">
        <f t="shared" si="11"/>
        <v>○</v>
      </c>
      <c r="AG23" s="37"/>
      <c r="AH23" s="33"/>
      <c r="AI23" s="34"/>
      <c r="AJ23" s="35" t="str">
        <f t="shared" si="12"/>
        <v/>
      </c>
      <c r="AK23" s="36" t="str">
        <f t="shared" si="13"/>
        <v/>
      </c>
      <c r="AL23" s="37"/>
      <c r="AM23" s="33"/>
      <c r="AN23" s="46" t="s">
        <v>125</v>
      </c>
      <c r="AO23" s="35" t="str">
        <f t="shared" si="14"/>
        <v/>
      </c>
      <c r="AP23" s="36" t="str">
        <f t="shared" si="15"/>
        <v>○</v>
      </c>
      <c r="AQ23" s="37"/>
      <c r="AR23" s="38" t="s">
        <v>116</v>
      </c>
      <c r="AS23" s="34"/>
      <c r="AT23" s="35" t="str">
        <f t="shared" si="16"/>
        <v>○</v>
      </c>
      <c r="AU23" s="36" t="str">
        <f t="shared" si="17"/>
        <v/>
      </c>
      <c r="AV23" s="37"/>
      <c r="AW23" s="33"/>
      <c r="AX23" s="34"/>
      <c r="AY23" s="35" t="str">
        <f t="shared" si="18"/>
        <v/>
      </c>
      <c r="AZ23" s="36" t="str">
        <f t="shared" si="19"/>
        <v/>
      </c>
      <c r="BA23" s="37"/>
      <c r="BB23" s="33"/>
      <c r="BC23" s="34"/>
      <c r="BD23" s="35" t="str">
        <f t="shared" si="20"/>
        <v/>
      </c>
      <c r="BE23" s="36" t="str">
        <f t="shared" si="21"/>
        <v/>
      </c>
      <c r="BF23" s="37"/>
      <c r="BG23" s="38" t="s">
        <v>116</v>
      </c>
      <c r="BH23" s="34"/>
      <c r="BI23" s="35" t="str">
        <f t="shared" si="22"/>
        <v>○</v>
      </c>
      <c r="BJ23" s="36" t="str">
        <f t="shared" si="23"/>
        <v/>
      </c>
      <c r="BK23" s="37"/>
      <c r="BL23" s="33"/>
      <c r="BM23" s="34"/>
      <c r="BN23" s="35" t="str">
        <f t="shared" si="24"/>
        <v/>
      </c>
      <c r="BO23" s="36" t="str">
        <f t="shared" si="25"/>
        <v/>
      </c>
      <c r="BP23" s="37"/>
      <c r="BQ23" s="33"/>
      <c r="BR23" s="34"/>
      <c r="BS23" s="35" t="str">
        <f t="shared" si="26"/>
        <v/>
      </c>
      <c r="BT23" s="36" t="str">
        <f t="shared" si="27"/>
        <v/>
      </c>
      <c r="BU23" s="37"/>
      <c r="BV23" s="33"/>
      <c r="BW23" s="34"/>
      <c r="BX23" s="35" t="str">
        <f t="shared" si="28"/>
        <v/>
      </c>
      <c r="BY23" s="36" t="str">
        <f t="shared" si="29"/>
        <v/>
      </c>
      <c r="BZ23" s="37"/>
      <c r="CA23" s="33"/>
      <c r="CB23" s="34"/>
      <c r="CC23" s="35" t="str">
        <f t="shared" si="30"/>
        <v/>
      </c>
      <c r="CD23" s="36" t="str">
        <f t="shared" si="31"/>
        <v/>
      </c>
      <c r="CE23" s="37"/>
      <c r="CF23" s="33"/>
      <c r="CG23" s="34"/>
      <c r="CH23" s="35" t="str">
        <f t="shared" si="32"/>
        <v/>
      </c>
      <c r="CI23" s="36" t="str">
        <f t="shared" si="33"/>
        <v/>
      </c>
      <c r="CJ23" s="37"/>
      <c r="CK23" s="33"/>
      <c r="CL23" s="34"/>
      <c r="CM23" s="35" t="str">
        <f t="shared" si="34"/>
        <v/>
      </c>
      <c r="CN23" s="36" t="str">
        <f t="shared" si="35"/>
        <v/>
      </c>
      <c r="CO23" s="37"/>
      <c r="CP23" s="33"/>
      <c r="CQ23" s="34"/>
      <c r="CR23" s="35" t="str">
        <f t="shared" si="36"/>
        <v/>
      </c>
      <c r="CS23" s="36" t="str">
        <f t="shared" si="37"/>
        <v/>
      </c>
      <c r="CT23" s="37"/>
      <c r="CU23" s="33"/>
      <c r="CV23" s="34"/>
      <c r="CW23" s="35" t="str">
        <f t="shared" si="38"/>
        <v/>
      </c>
      <c r="CX23" s="36" t="str">
        <f t="shared" si="39"/>
        <v/>
      </c>
      <c r="CY23" s="37"/>
      <c r="CZ23" s="33"/>
      <c r="DA23" s="34"/>
      <c r="DB23" s="35" t="str">
        <f t="shared" si="40"/>
        <v/>
      </c>
      <c r="DC23" s="36" t="str">
        <f t="shared" si="41"/>
        <v/>
      </c>
      <c r="DD23" s="37"/>
      <c r="DE23" s="33"/>
      <c r="DF23" s="34"/>
      <c r="DG23" s="35" t="str">
        <f t="shared" si="42"/>
        <v/>
      </c>
      <c r="DH23" s="36" t="str">
        <f t="shared" si="43"/>
        <v/>
      </c>
      <c r="DI23" s="37"/>
      <c r="DJ23" s="33"/>
      <c r="DK23" s="34"/>
      <c r="DL23" s="35" t="str">
        <f t="shared" si="44"/>
        <v/>
      </c>
      <c r="DM23" s="36" t="str">
        <f t="shared" si="45"/>
        <v/>
      </c>
      <c r="DN23" s="37"/>
      <c r="DO23" s="33"/>
      <c r="DP23" s="34"/>
      <c r="DQ23" s="35" t="str">
        <f t="shared" si="46"/>
        <v/>
      </c>
      <c r="DR23" s="36" t="str">
        <f t="shared" si="47"/>
        <v/>
      </c>
      <c r="DS23" s="37"/>
      <c r="DT23" s="33"/>
      <c r="DU23" s="34"/>
      <c r="DV23" s="35" t="str">
        <f t="shared" si="48"/>
        <v/>
      </c>
      <c r="DW23" s="36" t="str">
        <f t="shared" si="49"/>
        <v/>
      </c>
      <c r="DX23" s="37"/>
      <c r="DY23" s="33"/>
      <c r="DZ23" s="34"/>
      <c r="EA23" s="35" t="str">
        <f t="shared" si="50"/>
        <v/>
      </c>
      <c r="EB23" s="36" t="str">
        <f t="shared" si="51"/>
        <v/>
      </c>
      <c r="EC23" s="37"/>
      <c r="ED23" s="33"/>
      <c r="EE23" s="34"/>
      <c r="EF23" s="35" t="str">
        <f t="shared" si="52"/>
        <v/>
      </c>
      <c r="EG23" s="36" t="str">
        <f t="shared" si="53"/>
        <v/>
      </c>
      <c r="EH23" s="37"/>
      <c r="EI23" s="33"/>
      <c r="EJ23" s="34"/>
      <c r="EK23" s="35" t="str">
        <f t="shared" si="54"/>
        <v/>
      </c>
      <c r="EL23" s="36" t="str">
        <f t="shared" si="55"/>
        <v/>
      </c>
      <c r="EM23" s="37"/>
      <c r="EN23" s="33"/>
      <c r="EO23" s="34"/>
      <c r="EP23" s="35" t="str">
        <f t="shared" si="56"/>
        <v/>
      </c>
      <c r="EQ23" s="36" t="str">
        <f t="shared" si="57"/>
        <v/>
      </c>
      <c r="ER23" s="37"/>
      <c r="ES23" s="33"/>
      <c r="ET23" s="34"/>
      <c r="EU23" s="35" t="str">
        <f t="shared" si="58"/>
        <v/>
      </c>
      <c r="EV23" s="36" t="str">
        <f t="shared" si="59"/>
        <v/>
      </c>
      <c r="EW23" s="37"/>
    </row>
    <row r="24" spans="1:153" ht="19.5" customHeight="1">
      <c r="A24" s="32">
        <f>IF(DAY(DATE(対象年度,3,21))&lt;&gt;21,"",21)</f>
        <v>21</v>
      </c>
      <c r="B24" s="32" t="str">
        <f>IF(DAY(DATE(対象年度,3,21))&lt;&gt;21,"",CHOOSE(WEEKDAY(DATE(対象年度,3,21),2),"月","火","水","木","金","土","日"))</f>
        <v>土</v>
      </c>
      <c r="C24" s="32" t="str">
        <f>IF(DAY(DATE(対象年度,3,21))&lt;&gt;21,"",IF(ISNUMBER(MATCH(DATE(対象年度,3,21),祝日リスト,0)),"祝",""))</f>
        <v/>
      </c>
      <c r="D24" s="33"/>
      <c r="E24" s="34"/>
      <c r="F24" s="35" t="str">
        <f t="shared" si="0"/>
        <v/>
      </c>
      <c r="G24" s="36" t="str">
        <f t="shared" si="1"/>
        <v/>
      </c>
      <c r="H24" s="37"/>
      <c r="I24" s="33"/>
      <c r="J24" s="34"/>
      <c r="K24" s="35" t="str">
        <f t="shared" si="2"/>
        <v/>
      </c>
      <c r="L24" s="36" t="str">
        <f t="shared" si="3"/>
        <v/>
      </c>
      <c r="M24" s="37"/>
      <c r="N24" s="38" t="s">
        <v>116</v>
      </c>
      <c r="O24" s="34"/>
      <c r="P24" s="35" t="str">
        <f t="shared" si="4"/>
        <v>○</v>
      </c>
      <c r="Q24" s="36" t="str">
        <f t="shared" si="5"/>
        <v/>
      </c>
      <c r="R24" s="37"/>
      <c r="S24" s="38" t="s">
        <v>116</v>
      </c>
      <c r="T24" s="34"/>
      <c r="U24" s="35" t="str">
        <f t="shared" si="6"/>
        <v>○</v>
      </c>
      <c r="V24" s="36" t="str">
        <f t="shared" si="7"/>
        <v/>
      </c>
      <c r="W24" s="37"/>
      <c r="X24" s="38" t="s">
        <v>116</v>
      </c>
      <c r="Y24" s="34"/>
      <c r="Z24" s="35" t="str">
        <f t="shared" si="8"/>
        <v>○</v>
      </c>
      <c r="AA24" s="36" t="str">
        <f t="shared" si="9"/>
        <v/>
      </c>
      <c r="AB24" s="37"/>
      <c r="AC24" s="33"/>
      <c r="AD24" s="34"/>
      <c r="AE24" s="35" t="str">
        <f t="shared" si="10"/>
        <v/>
      </c>
      <c r="AF24" s="36" t="str">
        <f t="shared" si="11"/>
        <v/>
      </c>
      <c r="AG24" s="37"/>
      <c r="AH24" s="33"/>
      <c r="AI24" s="34"/>
      <c r="AJ24" s="35" t="str">
        <f t="shared" si="12"/>
        <v/>
      </c>
      <c r="AK24" s="36" t="str">
        <f t="shared" si="13"/>
        <v/>
      </c>
      <c r="AL24" s="37"/>
      <c r="AM24" s="33"/>
      <c r="AN24" s="34"/>
      <c r="AO24" s="35" t="str">
        <f t="shared" si="14"/>
        <v/>
      </c>
      <c r="AP24" s="36" t="str">
        <f t="shared" si="15"/>
        <v/>
      </c>
      <c r="AQ24" s="37"/>
      <c r="AR24" s="38" t="s">
        <v>116</v>
      </c>
      <c r="AS24" s="34"/>
      <c r="AT24" s="35" t="str">
        <f t="shared" si="16"/>
        <v>○</v>
      </c>
      <c r="AU24" s="36" t="str">
        <f t="shared" si="17"/>
        <v/>
      </c>
      <c r="AV24" s="37"/>
      <c r="AW24" s="33"/>
      <c r="AX24" s="34"/>
      <c r="AY24" s="35" t="str">
        <f t="shared" si="18"/>
        <v/>
      </c>
      <c r="AZ24" s="36" t="str">
        <f t="shared" si="19"/>
        <v/>
      </c>
      <c r="BA24" s="37"/>
      <c r="BB24" s="33"/>
      <c r="BC24" s="34"/>
      <c r="BD24" s="35" t="str">
        <f t="shared" si="20"/>
        <v/>
      </c>
      <c r="BE24" s="36" t="str">
        <f t="shared" si="21"/>
        <v/>
      </c>
      <c r="BF24" s="37"/>
      <c r="BG24" s="38" t="s">
        <v>116</v>
      </c>
      <c r="BH24" s="34"/>
      <c r="BI24" s="35" t="str">
        <f t="shared" si="22"/>
        <v>○</v>
      </c>
      <c r="BJ24" s="36" t="str">
        <f t="shared" si="23"/>
        <v/>
      </c>
      <c r="BK24" s="37"/>
      <c r="BL24" s="33"/>
      <c r="BM24" s="34"/>
      <c r="BN24" s="35" t="str">
        <f t="shared" si="24"/>
        <v/>
      </c>
      <c r="BO24" s="36" t="str">
        <f t="shared" si="25"/>
        <v/>
      </c>
      <c r="BP24" s="37"/>
      <c r="BQ24" s="33"/>
      <c r="BR24" s="34"/>
      <c r="BS24" s="35" t="str">
        <f t="shared" si="26"/>
        <v/>
      </c>
      <c r="BT24" s="36" t="str">
        <f t="shared" si="27"/>
        <v/>
      </c>
      <c r="BU24" s="37"/>
      <c r="BV24" s="33"/>
      <c r="BW24" s="34"/>
      <c r="BX24" s="35" t="str">
        <f t="shared" si="28"/>
        <v/>
      </c>
      <c r="BY24" s="36" t="str">
        <f t="shared" si="29"/>
        <v/>
      </c>
      <c r="BZ24" s="37"/>
      <c r="CA24" s="33"/>
      <c r="CB24" s="34"/>
      <c r="CC24" s="35" t="str">
        <f t="shared" si="30"/>
        <v/>
      </c>
      <c r="CD24" s="36" t="str">
        <f t="shared" si="31"/>
        <v/>
      </c>
      <c r="CE24" s="37"/>
      <c r="CF24" s="33"/>
      <c r="CG24" s="34"/>
      <c r="CH24" s="35" t="str">
        <f t="shared" si="32"/>
        <v/>
      </c>
      <c r="CI24" s="36" t="str">
        <f t="shared" si="33"/>
        <v/>
      </c>
      <c r="CJ24" s="37"/>
      <c r="CK24" s="33"/>
      <c r="CL24" s="34"/>
      <c r="CM24" s="35" t="str">
        <f t="shared" si="34"/>
        <v/>
      </c>
      <c r="CN24" s="36" t="str">
        <f t="shared" si="35"/>
        <v/>
      </c>
      <c r="CO24" s="37"/>
      <c r="CP24" s="33"/>
      <c r="CQ24" s="34"/>
      <c r="CR24" s="35" t="str">
        <f t="shared" si="36"/>
        <v/>
      </c>
      <c r="CS24" s="36" t="str">
        <f t="shared" si="37"/>
        <v/>
      </c>
      <c r="CT24" s="37"/>
      <c r="CU24" s="33"/>
      <c r="CV24" s="34"/>
      <c r="CW24" s="35" t="str">
        <f t="shared" si="38"/>
        <v/>
      </c>
      <c r="CX24" s="36" t="str">
        <f t="shared" si="39"/>
        <v/>
      </c>
      <c r="CY24" s="37"/>
      <c r="CZ24" s="33"/>
      <c r="DA24" s="34"/>
      <c r="DB24" s="35" t="str">
        <f t="shared" si="40"/>
        <v/>
      </c>
      <c r="DC24" s="36" t="str">
        <f t="shared" si="41"/>
        <v/>
      </c>
      <c r="DD24" s="37"/>
      <c r="DE24" s="33"/>
      <c r="DF24" s="34"/>
      <c r="DG24" s="35" t="str">
        <f t="shared" si="42"/>
        <v/>
      </c>
      <c r="DH24" s="36" t="str">
        <f t="shared" si="43"/>
        <v/>
      </c>
      <c r="DI24" s="37"/>
      <c r="DJ24" s="33"/>
      <c r="DK24" s="34"/>
      <c r="DL24" s="35" t="str">
        <f t="shared" si="44"/>
        <v/>
      </c>
      <c r="DM24" s="36" t="str">
        <f t="shared" si="45"/>
        <v/>
      </c>
      <c r="DN24" s="37"/>
      <c r="DO24" s="33"/>
      <c r="DP24" s="34"/>
      <c r="DQ24" s="35" t="str">
        <f t="shared" si="46"/>
        <v/>
      </c>
      <c r="DR24" s="36" t="str">
        <f t="shared" si="47"/>
        <v/>
      </c>
      <c r="DS24" s="37"/>
      <c r="DT24" s="33"/>
      <c r="DU24" s="34"/>
      <c r="DV24" s="35" t="str">
        <f t="shared" si="48"/>
        <v/>
      </c>
      <c r="DW24" s="36" t="str">
        <f t="shared" si="49"/>
        <v/>
      </c>
      <c r="DX24" s="37"/>
      <c r="DY24" s="33"/>
      <c r="DZ24" s="34"/>
      <c r="EA24" s="35" t="str">
        <f t="shared" si="50"/>
        <v/>
      </c>
      <c r="EB24" s="36" t="str">
        <f t="shared" si="51"/>
        <v/>
      </c>
      <c r="EC24" s="37"/>
      <c r="ED24" s="33"/>
      <c r="EE24" s="34"/>
      <c r="EF24" s="35" t="str">
        <f t="shared" si="52"/>
        <v/>
      </c>
      <c r="EG24" s="36" t="str">
        <f t="shared" si="53"/>
        <v/>
      </c>
      <c r="EH24" s="37"/>
      <c r="EI24" s="33"/>
      <c r="EJ24" s="34"/>
      <c r="EK24" s="35" t="str">
        <f t="shared" si="54"/>
        <v/>
      </c>
      <c r="EL24" s="36" t="str">
        <f t="shared" si="55"/>
        <v/>
      </c>
      <c r="EM24" s="37"/>
      <c r="EN24" s="33"/>
      <c r="EO24" s="34"/>
      <c r="EP24" s="35" t="str">
        <f t="shared" si="56"/>
        <v/>
      </c>
      <c r="EQ24" s="36" t="str">
        <f t="shared" si="57"/>
        <v/>
      </c>
      <c r="ER24" s="37"/>
      <c r="ES24" s="33"/>
      <c r="ET24" s="34"/>
      <c r="EU24" s="35" t="str">
        <f t="shared" si="58"/>
        <v/>
      </c>
      <c r="EV24" s="36" t="str">
        <f t="shared" si="59"/>
        <v/>
      </c>
      <c r="EW24" s="37"/>
    </row>
    <row r="25" spans="1:153" ht="19.5" customHeight="1">
      <c r="A25" s="32">
        <f>IF(DAY(DATE(対象年度,3,22))&lt;&gt;22,"",22)</f>
        <v>22</v>
      </c>
      <c r="B25" s="32" t="str">
        <f>IF(DAY(DATE(対象年度,3,22))&lt;&gt;22,"",CHOOSE(WEEKDAY(DATE(対象年度,3,22),2),"月","火","水","木","金","土","日"))</f>
        <v>日</v>
      </c>
      <c r="C25" s="32" t="str">
        <f>IF(DAY(DATE(対象年度,3,22))&lt;&gt;22,"",IF(ISNUMBER(MATCH(DATE(対象年度,3,22),祝日リスト,0)),"祝",""))</f>
        <v/>
      </c>
      <c r="D25" s="33"/>
      <c r="E25" s="34"/>
      <c r="F25" s="35" t="str">
        <f t="shared" si="0"/>
        <v/>
      </c>
      <c r="G25" s="36" t="str">
        <f t="shared" si="1"/>
        <v/>
      </c>
      <c r="H25" s="37"/>
      <c r="I25" s="33"/>
      <c r="J25" s="34"/>
      <c r="K25" s="35" t="str">
        <f t="shared" si="2"/>
        <v/>
      </c>
      <c r="L25" s="36" t="str">
        <f t="shared" si="3"/>
        <v/>
      </c>
      <c r="M25" s="37"/>
      <c r="N25" s="33"/>
      <c r="O25" s="34"/>
      <c r="P25" s="35" t="str">
        <f t="shared" si="4"/>
        <v/>
      </c>
      <c r="Q25" s="36" t="str">
        <f t="shared" si="5"/>
        <v/>
      </c>
      <c r="R25" s="37"/>
      <c r="S25" s="33"/>
      <c r="T25" s="34"/>
      <c r="U25" s="35" t="str">
        <f t="shared" si="6"/>
        <v/>
      </c>
      <c r="V25" s="36" t="str">
        <f t="shared" si="7"/>
        <v/>
      </c>
      <c r="W25" s="37"/>
      <c r="X25" s="33"/>
      <c r="Y25" s="34"/>
      <c r="Z25" s="35" t="str">
        <f t="shared" si="8"/>
        <v/>
      </c>
      <c r="AA25" s="36" t="str">
        <f t="shared" si="9"/>
        <v/>
      </c>
      <c r="AB25" s="37"/>
      <c r="AC25" s="33"/>
      <c r="AD25" s="34"/>
      <c r="AE25" s="35" t="str">
        <f t="shared" si="10"/>
        <v/>
      </c>
      <c r="AF25" s="36" t="str">
        <f t="shared" si="11"/>
        <v/>
      </c>
      <c r="AG25" s="37"/>
      <c r="AH25" s="33"/>
      <c r="AI25" s="34"/>
      <c r="AJ25" s="35" t="str">
        <f t="shared" si="12"/>
        <v/>
      </c>
      <c r="AK25" s="36" t="str">
        <f t="shared" si="13"/>
        <v/>
      </c>
      <c r="AL25" s="37"/>
      <c r="AM25" s="33"/>
      <c r="AN25" s="34"/>
      <c r="AO25" s="35" t="str">
        <f t="shared" si="14"/>
        <v/>
      </c>
      <c r="AP25" s="36" t="str">
        <f t="shared" si="15"/>
        <v/>
      </c>
      <c r="AQ25" s="37"/>
      <c r="AR25" s="33"/>
      <c r="AS25" s="34"/>
      <c r="AT25" s="35" t="str">
        <f t="shared" si="16"/>
        <v/>
      </c>
      <c r="AU25" s="36" t="str">
        <f t="shared" si="17"/>
        <v/>
      </c>
      <c r="AV25" s="37"/>
      <c r="AW25" s="33"/>
      <c r="AX25" s="34"/>
      <c r="AY25" s="35" t="str">
        <f t="shared" si="18"/>
        <v/>
      </c>
      <c r="AZ25" s="36" t="str">
        <f t="shared" si="19"/>
        <v/>
      </c>
      <c r="BA25" s="37"/>
      <c r="BB25" s="33"/>
      <c r="BC25" s="34"/>
      <c r="BD25" s="35" t="str">
        <f t="shared" si="20"/>
        <v/>
      </c>
      <c r="BE25" s="36" t="str">
        <f t="shared" si="21"/>
        <v/>
      </c>
      <c r="BF25" s="37"/>
      <c r="BG25" s="33"/>
      <c r="BH25" s="34"/>
      <c r="BI25" s="35" t="str">
        <f t="shared" si="22"/>
        <v/>
      </c>
      <c r="BJ25" s="36" t="str">
        <f t="shared" si="23"/>
        <v/>
      </c>
      <c r="BK25" s="37"/>
      <c r="BL25" s="33"/>
      <c r="BM25" s="34"/>
      <c r="BN25" s="35" t="str">
        <f t="shared" si="24"/>
        <v/>
      </c>
      <c r="BO25" s="36" t="str">
        <f t="shared" si="25"/>
        <v/>
      </c>
      <c r="BP25" s="37"/>
      <c r="BQ25" s="33"/>
      <c r="BR25" s="34"/>
      <c r="BS25" s="35" t="str">
        <f t="shared" si="26"/>
        <v/>
      </c>
      <c r="BT25" s="36" t="str">
        <f t="shared" si="27"/>
        <v/>
      </c>
      <c r="BU25" s="37"/>
      <c r="BV25" s="33"/>
      <c r="BW25" s="34"/>
      <c r="BX25" s="35" t="str">
        <f t="shared" si="28"/>
        <v/>
      </c>
      <c r="BY25" s="36" t="str">
        <f t="shared" si="29"/>
        <v/>
      </c>
      <c r="BZ25" s="37"/>
      <c r="CA25" s="33"/>
      <c r="CB25" s="34"/>
      <c r="CC25" s="35" t="str">
        <f t="shared" si="30"/>
        <v/>
      </c>
      <c r="CD25" s="36" t="str">
        <f t="shared" si="31"/>
        <v/>
      </c>
      <c r="CE25" s="37"/>
      <c r="CF25" s="33"/>
      <c r="CG25" s="34"/>
      <c r="CH25" s="35" t="str">
        <f t="shared" si="32"/>
        <v/>
      </c>
      <c r="CI25" s="36" t="str">
        <f t="shared" si="33"/>
        <v/>
      </c>
      <c r="CJ25" s="37"/>
      <c r="CK25" s="33"/>
      <c r="CL25" s="34"/>
      <c r="CM25" s="35" t="str">
        <f t="shared" si="34"/>
        <v/>
      </c>
      <c r="CN25" s="36" t="str">
        <f t="shared" si="35"/>
        <v/>
      </c>
      <c r="CO25" s="37"/>
      <c r="CP25" s="33"/>
      <c r="CQ25" s="34"/>
      <c r="CR25" s="35" t="str">
        <f t="shared" si="36"/>
        <v/>
      </c>
      <c r="CS25" s="36" t="str">
        <f t="shared" si="37"/>
        <v/>
      </c>
      <c r="CT25" s="37"/>
      <c r="CU25" s="33"/>
      <c r="CV25" s="34"/>
      <c r="CW25" s="35" t="str">
        <f t="shared" si="38"/>
        <v/>
      </c>
      <c r="CX25" s="36" t="str">
        <f t="shared" si="39"/>
        <v/>
      </c>
      <c r="CY25" s="37"/>
      <c r="CZ25" s="33"/>
      <c r="DA25" s="34"/>
      <c r="DB25" s="35" t="str">
        <f t="shared" si="40"/>
        <v/>
      </c>
      <c r="DC25" s="36" t="str">
        <f t="shared" si="41"/>
        <v/>
      </c>
      <c r="DD25" s="37"/>
      <c r="DE25" s="33"/>
      <c r="DF25" s="34"/>
      <c r="DG25" s="35" t="str">
        <f t="shared" si="42"/>
        <v/>
      </c>
      <c r="DH25" s="36" t="str">
        <f t="shared" si="43"/>
        <v/>
      </c>
      <c r="DI25" s="37"/>
      <c r="DJ25" s="33"/>
      <c r="DK25" s="34"/>
      <c r="DL25" s="35" t="str">
        <f t="shared" si="44"/>
        <v/>
      </c>
      <c r="DM25" s="36" t="str">
        <f t="shared" si="45"/>
        <v/>
      </c>
      <c r="DN25" s="37"/>
      <c r="DO25" s="33"/>
      <c r="DP25" s="34"/>
      <c r="DQ25" s="35" t="str">
        <f t="shared" si="46"/>
        <v/>
      </c>
      <c r="DR25" s="36" t="str">
        <f t="shared" si="47"/>
        <v/>
      </c>
      <c r="DS25" s="37"/>
      <c r="DT25" s="33"/>
      <c r="DU25" s="34"/>
      <c r="DV25" s="35" t="str">
        <f t="shared" si="48"/>
        <v/>
      </c>
      <c r="DW25" s="36" t="str">
        <f t="shared" si="49"/>
        <v/>
      </c>
      <c r="DX25" s="37"/>
      <c r="DY25" s="33"/>
      <c r="DZ25" s="34"/>
      <c r="EA25" s="35" t="str">
        <f t="shared" si="50"/>
        <v/>
      </c>
      <c r="EB25" s="36" t="str">
        <f t="shared" si="51"/>
        <v/>
      </c>
      <c r="EC25" s="37"/>
      <c r="ED25" s="33"/>
      <c r="EE25" s="34"/>
      <c r="EF25" s="35" t="str">
        <f t="shared" si="52"/>
        <v/>
      </c>
      <c r="EG25" s="36" t="str">
        <f t="shared" si="53"/>
        <v/>
      </c>
      <c r="EH25" s="37"/>
      <c r="EI25" s="33"/>
      <c r="EJ25" s="34"/>
      <c r="EK25" s="35" t="str">
        <f t="shared" si="54"/>
        <v/>
      </c>
      <c r="EL25" s="36" t="str">
        <f t="shared" si="55"/>
        <v/>
      </c>
      <c r="EM25" s="37"/>
      <c r="EN25" s="33"/>
      <c r="EO25" s="34"/>
      <c r="EP25" s="35" t="str">
        <f t="shared" si="56"/>
        <v/>
      </c>
      <c r="EQ25" s="36" t="str">
        <f t="shared" si="57"/>
        <v/>
      </c>
      <c r="ER25" s="37"/>
      <c r="ES25" s="33"/>
      <c r="ET25" s="34"/>
      <c r="EU25" s="35" t="str">
        <f t="shared" si="58"/>
        <v/>
      </c>
      <c r="EV25" s="36" t="str">
        <f t="shared" si="59"/>
        <v/>
      </c>
      <c r="EW25" s="37"/>
    </row>
    <row r="26" spans="1:153" ht="19.5" customHeight="1">
      <c r="A26" s="32">
        <f>IF(DAY(DATE(対象年度,3,23))&lt;&gt;23,"",23)</f>
        <v>23</v>
      </c>
      <c r="B26" s="32" t="str">
        <f>IF(DAY(DATE(対象年度,3,23))&lt;&gt;23,"",CHOOSE(WEEKDAY(DATE(対象年度,3,23),2),"月","火","水","木","金","土","日"))</f>
        <v>月</v>
      </c>
      <c r="C26" s="32" t="str">
        <f>IF(DAY(DATE(対象年度,3,23))&lt;&gt;23,"",IF(ISNUMBER(MATCH(DATE(対象年度,3,23),祝日リスト,0)),"祝",""))</f>
        <v/>
      </c>
      <c r="D26" s="38" t="s">
        <v>104</v>
      </c>
      <c r="E26" s="34"/>
      <c r="F26" s="35" t="str">
        <f t="shared" si="0"/>
        <v>○</v>
      </c>
      <c r="G26" s="36" t="str">
        <f t="shared" si="1"/>
        <v/>
      </c>
      <c r="H26" s="37"/>
      <c r="I26" s="33"/>
      <c r="J26" s="46" t="s">
        <v>125</v>
      </c>
      <c r="K26" s="35" t="str">
        <f t="shared" si="2"/>
        <v/>
      </c>
      <c r="L26" s="36" t="str">
        <f t="shared" si="3"/>
        <v>○</v>
      </c>
      <c r="M26" s="37"/>
      <c r="N26" s="38" t="s">
        <v>116</v>
      </c>
      <c r="O26" s="34"/>
      <c r="P26" s="35" t="str">
        <f t="shared" si="4"/>
        <v>○</v>
      </c>
      <c r="Q26" s="36" t="str">
        <f t="shared" si="5"/>
        <v/>
      </c>
      <c r="R26" s="37"/>
      <c r="S26" s="38" t="s">
        <v>116</v>
      </c>
      <c r="T26" s="34"/>
      <c r="U26" s="35" t="str">
        <f t="shared" si="6"/>
        <v>○</v>
      </c>
      <c r="V26" s="36" t="str">
        <f t="shared" si="7"/>
        <v/>
      </c>
      <c r="W26" s="37"/>
      <c r="X26" s="38" t="s">
        <v>116</v>
      </c>
      <c r="Y26" s="34"/>
      <c r="Z26" s="35" t="str">
        <f t="shared" si="8"/>
        <v>○</v>
      </c>
      <c r="AA26" s="36" t="str">
        <f t="shared" si="9"/>
        <v/>
      </c>
      <c r="AB26" s="37"/>
      <c r="AC26" s="38" t="s">
        <v>116</v>
      </c>
      <c r="AD26" s="34"/>
      <c r="AE26" s="35" t="str">
        <f t="shared" si="10"/>
        <v>○</v>
      </c>
      <c r="AF26" s="36" t="str">
        <f t="shared" si="11"/>
        <v/>
      </c>
      <c r="AG26" s="37"/>
      <c r="AH26" s="33"/>
      <c r="AI26" s="34"/>
      <c r="AJ26" s="35" t="str">
        <f t="shared" si="12"/>
        <v/>
      </c>
      <c r="AK26" s="36" t="str">
        <f t="shared" si="13"/>
        <v/>
      </c>
      <c r="AL26" s="37"/>
      <c r="AM26" s="33"/>
      <c r="AN26" s="46" t="s">
        <v>125</v>
      </c>
      <c r="AO26" s="35" t="str">
        <f t="shared" si="14"/>
        <v/>
      </c>
      <c r="AP26" s="36" t="str">
        <f t="shared" si="15"/>
        <v>○</v>
      </c>
      <c r="AQ26" s="37"/>
      <c r="AR26" s="38" t="s">
        <v>116</v>
      </c>
      <c r="AS26" s="34"/>
      <c r="AT26" s="35" t="str">
        <f t="shared" si="16"/>
        <v>○</v>
      </c>
      <c r="AU26" s="36" t="str">
        <f t="shared" si="17"/>
        <v/>
      </c>
      <c r="AV26" s="37"/>
      <c r="AW26" s="38" t="s">
        <v>124</v>
      </c>
      <c r="AX26" s="34"/>
      <c r="AY26" s="35" t="str">
        <f t="shared" si="18"/>
        <v>○</v>
      </c>
      <c r="AZ26" s="36" t="str">
        <f t="shared" si="19"/>
        <v/>
      </c>
      <c r="BA26" s="37"/>
      <c r="BB26" s="38" t="s">
        <v>104</v>
      </c>
      <c r="BC26" s="34"/>
      <c r="BD26" s="35" t="str">
        <f t="shared" si="20"/>
        <v>○</v>
      </c>
      <c r="BE26" s="36" t="str">
        <f t="shared" si="21"/>
        <v/>
      </c>
      <c r="BF26" s="37"/>
      <c r="BG26" s="38" t="s">
        <v>105</v>
      </c>
      <c r="BH26" s="34"/>
      <c r="BI26" s="35" t="str">
        <f t="shared" si="22"/>
        <v>○</v>
      </c>
      <c r="BJ26" s="36" t="str">
        <f t="shared" si="23"/>
        <v/>
      </c>
      <c r="BK26" s="37"/>
      <c r="BL26" s="33"/>
      <c r="BM26" s="34"/>
      <c r="BN26" s="35" t="str">
        <f t="shared" si="24"/>
        <v/>
      </c>
      <c r="BO26" s="36" t="str">
        <f t="shared" si="25"/>
        <v/>
      </c>
      <c r="BP26" s="37"/>
      <c r="BQ26" s="33"/>
      <c r="BR26" s="34"/>
      <c r="BS26" s="35" t="str">
        <f t="shared" si="26"/>
        <v/>
      </c>
      <c r="BT26" s="36" t="str">
        <f t="shared" si="27"/>
        <v/>
      </c>
      <c r="BU26" s="37"/>
      <c r="BV26" s="33"/>
      <c r="BW26" s="34"/>
      <c r="BX26" s="35" t="str">
        <f t="shared" si="28"/>
        <v/>
      </c>
      <c r="BY26" s="36" t="str">
        <f t="shared" si="29"/>
        <v/>
      </c>
      <c r="BZ26" s="37"/>
      <c r="CA26" s="33"/>
      <c r="CB26" s="34"/>
      <c r="CC26" s="35" t="str">
        <f t="shared" si="30"/>
        <v/>
      </c>
      <c r="CD26" s="36" t="str">
        <f t="shared" si="31"/>
        <v/>
      </c>
      <c r="CE26" s="37"/>
      <c r="CF26" s="33"/>
      <c r="CG26" s="34"/>
      <c r="CH26" s="35" t="str">
        <f t="shared" si="32"/>
        <v/>
      </c>
      <c r="CI26" s="36" t="str">
        <f t="shared" si="33"/>
        <v/>
      </c>
      <c r="CJ26" s="37"/>
      <c r="CK26" s="33"/>
      <c r="CL26" s="34"/>
      <c r="CM26" s="35" t="str">
        <f t="shared" si="34"/>
        <v/>
      </c>
      <c r="CN26" s="36" t="str">
        <f t="shared" si="35"/>
        <v/>
      </c>
      <c r="CO26" s="37"/>
      <c r="CP26" s="33"/>
      <c r="CQ26" s="34"/>
      <c r="CR26" s="35" t="str">
        <f t="shared" si="36"/>
        <v/>
      </c>
      <c r="CS26" s="36" t="str">
        <f t="shared" si="37"/>
        <v/>
      </c>
      <c r="CT26" s="37"/>
      <c r="CU26" s="33"/>
      <c r="CV26" s="34"/>
      <c r="CW26" s="35" t="str">
        <f t="shared" si="38"/>
        <v/>
      </c>
      <c r="CX26" s="36" t="str">
        <f t="shared" si="39"/>
        <v/>
      </c>
      <c r="CY26" s="37"/>
      <c r="CZ26" s="33"/>
      <c r="DA26" s="34"/>
      <c r="DB26" s="35" t="str">
        <f t="shared" si="40"/>
        <v/>
      </c>
      <c r="DC26" s="36" t="str">
        <f t="shared" si="41"/>
        <v/>
      </c>
      <c r="DD26" s="37"/>
      <c r="DE26" s="33"/>
      <c r="DF26" s="34"/>
      <c r="DG26" s="35" t="str">
        <f t="shared" si="42"/>
        <v/>
      </c>
      <c r="DH26" s="36" t="str">
        <f t="shared" si="43"/>
        <v/>
      </c>
      <c r="DI26" s="37"/>
      <c r="DJ26" s="33"/>
      <c r="DK26" s="34"/>
      <c r="DL26" s="35" t="str">
        <f t="shared" si="44"/>
        <v/>
      </c>
      <c r="DM26" s="36" t="str">
        <f t="shared" si="45"/>
        <v/>
      </c>
      <c r="DN26" s="37"/>
      <c r="DO26" s="33"/>
      <c r="DP26" s="34"/>
      <c r="DQ26" s="35" t="str">
        <f t="shared" si="46"/>
        <v/>
      </c>
      <c r="DR26" s="36" t="str">
        <f t="shared" si="47"/>
        <v/>
      </c>
      <c r="DS26" s="37"/>
      <c r="DT26" s="33"/>
      <c r="DU26" s="34"/>
      <c r="DV26" s="35" t="str">
        <f t="shared" si="48"/>
        <v/>
      </c>
      <c r="DW26" s="36" t="str">
        <f t="shared" si="49"/>
        <v/>
      </c>
      <c r="DX26" s="37"/>
      <c r="DY26" s="33"/>
      <c r="DZ26" s="34"/>
      <c r="EA26" s="35" t="str">
        <f t="shared" si="50"/>
        <v/>
      </c>
      <c r="EB26" s="36" t="str">
        <f t="shared" si="51"/>
        <v/>
      </c>
      <c r="EC26" s="37"/>
      <c r="ED26" s="33"/>
      <c r="EE26" s="34"/>
      <c r="EF26" s="35" t="str">
        <f t="shared" si="52"/>
        <v/>
      </c>
      <c r="EG26" s="36" t="str">
        <f t="shared" si="53"/>
        <v/>
      </c>
      <c r="EH26" s="37"/>
      <c r="EI26" s="33"/>
      <c r="EJ26" s="34"/>
      <c r="EK26" s="35" t="str">
        <f t="shared" si="54"/>
        <v/>
      </c>
      <c r="EL26" s="36" t="str">
        <f t="shared" si="55"/>
        <v/>
      </c>
      <c r="EM26" s="37"/>
      <c r="EN26" s="33"/>
      <c r="EO26" s="34"/>
      <c r="EP26" s="35" t="str">
        <f t="shared" si="56"/>
        <v/>
      </c>
      <c r="EQ26" s="36" t="str">
        <f t="shared" si="57"/>
        <v/>
      </c>
      <c r="ER26" s="37"/>
      <c r="ES26" s="33"/>
      <c r="ET26" s="34"/>
      <c r="EU26" s="35" t="str">
        <f t="shared" si="58"/>
        <v/>
      </c>
      <c r="EV26" s="36" t="str">
        <f t="shared" si="59"/>
        <v/>
      </c>
      <c r="EW26" s="37"/>
    </row>
    <row r="27" spans="1:153" ht="19.5" customHeight="1">
      <c r="A27" s="32">
        <f>IF(DAY(DATE(対象年度,3,24))&lt;&gt;24,"",24)</f>
        <v>24</v>
      </c>
      <c r="B27" s="32" t="str">
        <f>IF(DAY(DATE(対象年度,3,24))&lt;&gt;24,"",CHOOSE(WEEKDAY(DATE(対象年度,3,24),2),"月","火","水","木","金","土","日"))</f>
        <v>火</v>
      </c>
      <c r="C27" s="32" t="str">
        <f>IF(DAY(DATE(対象年度,3,24))&lt;&gt;24,"",IF(ISNUMBER(MATCH(DATE(対象年度,3,24),祝日リスト,0)),"祝",""))</f>
        <v/>
      </c>
      <c r="D27" s="33"/>
      <c r="E27" s="46" t="s">
        <v>126</v>
      </c>
      <c r="F27" s="35" t="str">
        <f t="shared" si="0"/>
        <v/>
      </c>
      <c r="G27" s="36" t="str">
        <f t="shared" si="1"/>
        <v>○</v>
      </c>
      <c r="H27" s="37"/>
      <c r="I27" s="33"/>
      <c r="J27" s="46" t="s">
        <v>126</v>
      </c>
      <c r="K27" s="35" t="str">
        <f t="shared" si="2"/>
        <v/>
      </c>
      <c r="L27" s="36" t="str">
        <f t="shared" si="3"/>
        <v>○</v>
      </c>
      <c r="M27" s="37"/>
      <c r="N27" s="38" t="s">
        <v>116</v>
      </c>
      <c r="O27" s="34"/>
      <c r="P27" s="35" t="str">
        <f t="shared" si="4"/>
        <v>○</v>
      </c>
      <c r="Q27" s="36" t="str">
        <f t="shared" si="5"/>
        <v/>
      </c>
      <c r="R27" s="37"/>
      <c r="S27" s="38" t="s">
        <v>116</v>
      </c>
      <c r="T27" s="34"/>
      <c r="U27" s="35" t="str">
        <f t="shared" si="6"/>
        <v>○</v>
      </c>
      <c r="V27" s="36" t="str">
        <f t="shared" si="7"/>
        <v/>
      </c>
      <c r="W27" s="37"/>
      <c r="X27" s="38" t="s">
        <v>116</v>
      </c>
      <c r="Y27" s="34"/>
      <c r="Z27" s="35" t="str">
        <f t="shared" si="8"/>
        <v>○</v>
      </c>
      <c r="AA27" s="36" t="str">
        <f t="shared" si="9"/>
        <v/>
      </c>
      <c r="AB27" s="37"/>
      <c r="AC27" s="33"/>
      <c r="AD27" s="46" t="s">
        <v>126</v>
      </c>
      <c r="AE27" s="35" t="str">
        <f t="shared" si="10"/>
        <v/>
      </c>
      <c r="AF27" s="36" t="str">
        <f t="shared" si="11"/>
        <v>○</v>
      </c>
      <c r="AG27" s="37"/>
      <c r="AH27" s="38" t="s">
        <v>117</v>
      </c>
      <c r="AI27" s="34"/>
      <c r="AJ27" s="35" t="str">
        <f t="shared" si="12"/>
        <v>○</v>
      </c>
      <c r="AK27" s="36" t="str">
        <f t="shared" si="13"/>
        <v/>
      </c>
      <c r="AL27" s="37"/>
      <c r="AM27" s="33"/>
      <c r="AN27" s="46" t="s">
        <v>126</v>
      </c>
      <c r="AO27" s="35" t="str">
        <f t="shared" si="14"/>
        <v/>
      </c>
      <c r="AP27" s="36" t="str">
        <f t="shared" si="15"/>
        <v>○</v>
      </c>
      <c r="AQ27" s="37"/>
      <c r="AR27" s="38" t="s">
        <v>116</v>
      </c>
      <c r="AS27" s="34"/>
      <c r="AT27" s="35" t="str">
        <f t="shared" si="16"/>
        <v>○</v>
      </c>
      <c r="AU27" s="36" t="str">
        <f t="shared" si="17"/>
        <v/>
      </c>
      <c r="AV27" s="37"/>
      <c r="AW27" s="38" t="s">
        <v>124</v>
      </c>
      <c r="AX27" s="34"/>
      <c r="AY27" s="35" t="str">
        <f t="shared" si="18"/>
        <v>○</v>
      </c>
      <c r="AZ27" s="36" t="str">
        <f t="shared" si="19"/>
        <v/>
      </c>
      <c r="BA27" s="37"/>
      <c r="BB27" s="38" t="s">
        <v>104</v>
      </c>
      <c r="BC27" s="34"/>
      <c r="BD27" s="35" t="str">
        <f t="shared" si="20"/>
        <v>○</v>
      </c>
      <c r="BE27" s="36" t="str">
        <f t="shared" si="21"/>
        <v/>
      </c>
      <c r="BF27" s="37"/>
      <c r="BG27" s="38" t="s">
        <v>105</v>
      </c>
      <c r="BH27" s="34"/>
      <c r="BI27" s="35" t="str">
        <f t="shared" si="22"/>
        <v>○</v>
      </c>
      <c r="BJ27" s="36" t="str">
        <f t="shared" si="23"/>
        <v/>
      </c>
      <c r="BK27" s="37"/>
      <c r="BL27" s="33"/>
      <c r="BM27" s="34"/>
      <c r="BN27" s="35" t="str">
        <f t="shared" si="24"/>
        <v/>
      </c>
      <c r="BO27" s="36" t="str">
        <f t="shared" si="25"/>
        <v/>
      </c>
      <c r="BP27" s="37"/>
      <c r="BQ27" s="33"/>
      <c r="BR27" s="34"/>
      <c r="BS27" s="35" t="str">
        <f t="shared" si="26"/>
        <v/>
      </c>
      <c r="BT27" s="36" t="str">
        <f t="shared" si="27"/>
        <v/>
      </c>
      <c r="BU27" s="37"/>
      <c r="BV27" s="33"/>
      <c r="BW27" s="34"/>
      <c r="BX27" s="35" t="str">
        <f t="shared" si="28"/>
        <v/>
      </c>
      <c r="BY27" s="36" t="str">
        <f t="shared" si="29"/>
        <v/>
      </c>
      <c r="BZ27" s="37"/>
      <c r="CA27" s="33"/>
      <c r="CB27" s="34"/>
      <c r="CC27" s="35" t="str">
        <f t="shared" si="30"/>
        <v/>
      </c>
      <c r="CD27" s="36" t="str">
        <f t="shared" si="31"/>
        <v/>
      </c>
      <c r="CE27" s="37"/>
      <c r="CF27" s="33"/>
      <c r="CG27" s="34"/>
      <c r="CH27" s="35" t="str">
        <f t="shared" si="32"/>
        <v/>
      </c>
      <c r="CI27" s="36" t="str">
        <f t="shared" si="33"/>
        <v/>
      </c>
      <c r="CJ27" s="37"/>
      <c r="CK27" s="33"/>
      <c r="CL27" s="34"/>
      <c r="CM27" s="35" t="str">
        <f t="shared" si="34"/>
        <v/>
      </c>
      <c r="CN27" s="36" t="str">
        <f t="shared" si="35"/>
        <v/>
      </c>
      <c r="CO27" s="37"/>
      <c r="CP27" s="33"/>
      <c r="CQ27" s="34"/>
      <c r="CR27" s="35" t="str">
        <f t="shared" si="36"/>
        <v/>
      </c>
      <c r="CS27" s="36" t="str">
        <f t="shared" si="37"/>
        <v/>
      </c>
      <c r="CT27" s="37"/>
      <c r="CU27" s="33"/>
      <c r="CV27" s="34"/>
      <c r="CW27" s="35" t="str">
        <f t="shared" si="38"/>
        <v/>
      </c>
      <c r="CX27" s="36" t="str">
        <f t="shared" si="39"/>
        <v/>
      </c>
      <c r="CY27" s="37"/>
      <c r="CZ27" s="33"/>
      <c r="DA27" s="34"/>
      <c r="DB27" s="35" t="str">
        <f t="shared" si="40"/>
        <v/>
      </c>
      <c r="DC27" s="36" t="str">
        <f t="shared" si="41"/>
        <v/>
      </c>
      <c r="DD27" s="37"/>
      <c r="DE27" s="33"/>
      <c r="DF27" s="34"/>
      <c r="DG27" s="35" t="str">
        <f t="shared" si="42"/>
        <v/>
      </c>
      <c r="DH27" s="36" t="str">
        <f t="shared" si="43"/>
        <v/>
      </c>
      <c r="DI27" s="37"/>
      <c r="DJ27" s="33"/>
      <c r="DK27" s="34"/>
      <c r="DL27" s="35" t="str">
        <f t="shared" si="44"/>
        <v/>
      </c>
      <c r="DM27" s="36" t="str">
        <f t="shared" si="45"/>
        <v/>
      </c>
      <c r="DN27" s="37"/>
      <c r="DO27" s="33"/>
      <c r="DP27" s="34"/>
      <c r="DQ27" s="35" t="str">
        <f t="shared" si="46"/>
        <v/>
      </c>
      <c r="DR27" s="36" t="str">
        <f t="shared" si="47"/>
        <v/>
      </c>
      <c r="DS27" s="37"/>
      <c r="DT27" s="33"/>
      <c r="DU27" s="34"/>
      <c r="DV27" s="35" t="str">
        <f t="shared" si="48"/>
        <v/>
      </c>
      <c r="DW27" s="36" t="str">
        <f t="shared" si="49"/>
        <v/>
      </c>
      <c r="DX27" s="37"/>
      <c r="DY27" s="33"/>
      <c r="DZ27" s="34"/>
      <c r="EA27" s="35" t="str">
        <f t="shared" si="50"/>
        <v/>
      </c>
      <c r="EB27" s="36" t="str">
        <f t="shared" si="51"/>
        <v/>
      </c>
      <c r="EC27" s="37"/>
      <c r="ED27" s="33"/>
      <c r="EE27" s="34"/>
      <c r="EF27" s="35" t="str">
        <f t="shared" si="52"/>
        <v/>
      </c>
      <c r="EG27" s="36" t="str">
        <f t="shared" si="53"/>
        <v/>
      </c>
      <c r="EH27" s="37"/>
      <c r="EI27" s="33"/>
      <c r="EJ27" s="34"/>
      <c r="EK27" s="35" t="str">
        <f t="shared" si="54"/>
        <v/>
      </c>
      <c r="EL27" s="36" t="str">
        <f t="shared" si="55"/>
        <v/>
      </c>
      <c r="EM27" s="37"/>
      <c r="EN27" s="33"/>
      <c r="EO27" s="34"/>
      <c r="EP27" s="35" t="str">
        <f t="shared" si="56"/>
        <v/>
      </c>
      <c r="EQ27" s="36" t="str">
        <f t="shared" si="57"/>
        <v/>
      </c>
      <c r="ER27" s="37"/>
      <c r="ES27" s="33"/>
      <c r="ET27" s="34"/>
      <c r="EU27" s="35" t="str">
        <f t="shared" si="58"/>
        <v/>
      </c>
      <c r="EV27" s="36" t="str">
        <f t="shared" si="59"/>
        <v/>
      </c>
      <c r="EW27" s="37"/>
    </row>
    <row r="28" spans="1:153" ht="19.5" customHeight="1">
      <c r="A28" s="32">
        <f>IF(DAY(DATE(対象年度,3,25))&lt;&gt;25,"",25)</f>
        <v>25</v>
      </c>
      <c r="B28" s="32" t="str">
        <f>IF(DAY(DATE(対象年度,3,25))&lt;&gt;25,"",CHOOSE(WEEKDAY(DATE(対象年度,3,25),2),"月","火","水","木","金","土","日"))</f>
        <v>水</v>
      </c>
      <c r="C28" s="32" t="str">
        <f>IF(DAY(DATE(対象年度,3,25))&lt;&gt;25,"",IF(ISNUMBER(MATCH(DATE(対象年度,3,25),祝日リスト,0)),"祝",""))</f>
        <v/>
      </c>
      <c r="D28" s="38" t="s">
        <v>104</v>
      </c>
      <c r="E28" s="34"/>
      <c r="F28" s="35" t="str">
        <f t="shared" si="0"/>
        <v>○</v>
      </c>
      <c r="G28" s="36" t="str">
        <f t="shared" si="1"/>
        <v/>
      </c>
      <c r="H28" s="37"/>
      <c r="I28" s="33"/>
      <c r="J28" s="34"/>
      <c r="K28" s="35" t="str">
        <f t="shared" si="2"/>
        <v/>
      </c>
      <c r="L28" s="36" t="str">
        <f t="shared" si="3"/>
        <v/>
      </c>
      <c r="M28" s="37"/>
      <c r="N28" s="38" t="s">
        <v>116</v>
      </c>
      <c r="O28" s="34"/>
      <c r="P28" s="35" t="str">
        <f t="shared" si="4"/>
        <v>○</v>
      </c>
      <c r="Q28" s="36" t="str">
        <f t="shared" si="5"/>
        <v/>
      </c>
      <c r="R28" s="37"/>
      <c r="S28" s="38" t="s">
        <v>116</v>
      </c>
      <c r="T28" s="34"/>
      <c r="U28" s="35" t="str">
        <f t="shared" si="6"/>
        <v>○</v>
      </c>
      <c r="V28" s="36" t="str">
        <f t="shared" si="7"/>
        <v/>
      </c>
      <c r="W28" s="37"/>
      <c r="X28" s="38" t="s">
        <v>116</v>
      </c>
      <c r="Y28" s="34"/>
      <c r="Z28" s="35" t="str">
        <f t="shared" si="8"/>
        <v>○</v>
      </c>
      <c r="AA28" s="36" t="str">
        <f t="shared" si="9"/>
        <v/>
      </c>
      <c r="AB28" s="37"/>
      <c r="AC28" s="33"/>
      <c r="AD28" s="34"/>
      <c r="AE28" s="35" t="str">
        <f t="shared" si="10"/>
        <v/>
      </c>
      <c r="AF28" s="36" t="str">
        <f t="shared" si="11"/>
        <v/>
      </c>
      <c r="AG28" s="37"/>
      <c r="AH28" s="38" t="s">
        <v>117</v>
      </c>
      <c r="AI28" s="34"/>
      <c r="AJ28" s="35" t="str">
        <f t="shared" si="12"/>
        <v>○</v>
      </c>
      <c r="AK28" s="36" t="str">
        <f t="shared" si="13"/>
        <v/>
      </c>
      <c r="AL28" s="37"/>
      <c r="AM28" s="33"/>
      <c r="AN28" s="34"/>
      <c r="AO28" s="35" t="str">
        <f t="shared" si="14"/>
        <v/>
      </c>
      <c r="AP28" s="36" t="str">
        <f t="shared" si="15"/>
        <v/>
      </c>
      <c r="AQ28" s="37"/>
      <c r="AR28" s="38" t="s">
        <v>116</v>
      </c>
      <c r="AS28" s="34"/>
      <c r="AT28" s="35" t="str">
        <f t="shared" si="16"/>
        <v>○</v>
      </c>
      <c r="AU28" s="36" t="str">
        <f t="shared" si="17"/>
        <v/>
      </c>
      <c r="AV28" s="37"/>
      <c r="AW28" s="38" t="s">
        <v>124</v>
      </c>
      <c r="AX28" s="34"/>
      <c r="AY28" s="35" t="str">
        <f t="shared" si="18"/>
        <v>○</v>
      </c>
      <c r="AZ28" s="36" t="str">
        <f t="shared" si="19"/>
        <v/>
      </c>
      <c r="BA28" s="37"/>
      <c r="BB28" s="38" t="s">
        <v>104</v>
      </c>
      <c r="BC28" s="34"/>
      <c r="BD28" s="35" t="str">
        <f t="shared" si="20"/>
        <v>○</v>
      </c>
      <c r="BE28" s="36" t="str">
        <f t="shared" si="21"/>
        <v/>
      </c>
      <c r="BF28" s="37"/>
      <c r="BG28" s="38" t="s">
        <v>105</v>
      </c>
      <c r="BH28" s="34"/>
      <c r="BI28" s="35" t="str">
        <f t="shared" si="22"/>
        <v>○</v>
      </c>
      <c r="BJ28" s="36" t="str">
        <f t="shared" si="23"/>
        <v/>
      </c>
      <c r="BK28" s="37"/>
      <c r="BL28" s="33"/>
      <c r="BM28" s="34"/>
      <c r="BN28" s="35" t="str">
        <f t="shared" si="24"/>
        <v/>
      </c>
      <c r="BO28" s="36" t="str">
        <f t="shared" si="25"/>
        <v/>
      </c>
      <c r="BP28" s="37"/>
      <c r="BQ28" s="33"/>
      <c r="BR28" s="34"/>
      <c r="BS28" s="35" t="str">
        <f t="shared" si="26"/>
        <v/>
      </c>
      <c r="BT28" s="36" t="str">
        <f t="shared" si="27"/>
        <v/>
      </c>
      <c r="BU28" s="37"/>
      <c r="BV28" s="33"/>
      <c r="BW28" s="34"/>
      <c r="BX28" s="35" t="str">
        <f t="shared" si="28"/>
        <v/>
      </c>
      <c r="BY28" s="36" t="str">
        <f t="shared" si="29"/>
        <v/>
      </c>
      <c r="BZ28" s="37"/>
      <c r="CA28" s="33"/>
      <c r="CB28" s="34"/>
      <c r="CC28" s="35" t="str">
        <f t="shared" si="30"/>
        <v/>
      </c>
      <c r="CD28" s="36" t="str">
        <f t="shared" si="31"/>
        <v/>
      </c>
      <c r="CE28" s="37"/>
      <c r="CF28" s="33"/>
      <c r="CG28" s="34"/>
      <c r="CH28" s="35" t="str">
        <f t="shared" si="32"/>
        <v/>
      </c>
      <c r="CI28" s="36" t="str">
        <f t="shared" si="33"/>
        <v/>
      </c>
      <c r="CJ28" s="37"/>
      <c r="CK28" s="33"/>
      <c r="CL28" s="34"/>
      <c r="CM28" s="35" t="str">
        <f t="shared" si="34"/>
        <v/>
      </c>
      <c r="CN28" s="36" t="str">
        <f t="shared" si="35"/>
        <v/>
      </c>
      <c r="CO28" s="37"/>
      <c r="CP28" s="33"/>
      <c r="CQ28" s="34"/>
      <c r="CR28" s="35" t="str">
        <f t="shared" si="36"/>
        <v/>
      </c>
      <c r="CS28" s="36" t="str">
        <f t="shared" si="37"/>
        <v/>
      </c>
      <c r="CT28" s="37"/>
      <c r="CU28" s="33"/>
      <c r="CV28" s="34"/>
      <c r="CW28" s="35" t="str">
        <f t="shared" si="38"/>
        <v/>
      </c>
      <c r="CX28" s="36" t="str">
        <f t="shared" si="39"/>
        <v/>
      </c>
      <c r="CY28" s="37"/>
      <c r="CZ28" s="33"/>
      <c r="DA28" s="34"/>
      <c r="DB28" s="35" t="str">
        <f t="shared" si="40"/>
        <v/>
      </c>
      <c r="DC28" s="36" t="str">
        <f t="shared" si="41"/>
        <v/>
      </c>
      <c r="DD28" s="37"/>
      <c r="DE28" s="33"/>
      <c r="DF28" s="34"/>
      <c r="DG28" s="35" t="str">
        <f t="shared" si="42"/>
        <v/>
      </c>
      <c r="DH28" s="36" t="str">
        <f t="shared" si="43"/>
        <v/>
      </c>
      <c r="DI28" s="37"/>
      <c r="DJ28" s="33"/>
      <c r="DK28" s="34"/>
      <c r="DL28" s="35" t="str">
        <f t="shared" si="44"/>
        <v/>
      </c>
      <c r="DM28" s="36" t="str">
        <f t="shared" si="45"/>
        <v/>
      </c>
      <c r="DN28" s="37"/>
      <c r="DO28" s="33"/>
      <c r="DP28" s="34"/>
      <c r="DQ28" s="35" t="str">
        <f t="shared" si="46"/>
        <v/>
      </c>
      <c r="DR28" s="36" t="str">
        <f t="shared" si="47"/>
        <v/>
      </c>
      <c r="DS28" s="37"/>
      <c r="DT28" s="33"/>
      <c r="DU28" s="34"/>
      <c r="DV28" s="35" t="str">
        <f t="shared" si="48"/>
        <v/>
      </c>
      <c r="DW28" s="36" t="str">
        <f t="shared" si="49"/>
        <v/>
      </c>
      <c r="DX28" s="37"/>
      <c r="DY28" s="33"/>
      <c r="DZ28" s="34"/>
      <c r="EA28" s="35" t="str">
        <f t="shared" si="50"/>
        <v/>
      </c>
      <c r="EB28" s="36" t="str">
        <f t="shared" si="51"/>
        <v/>
      </c>
      <c r="EC28" s="37"/>
      <c r="ED28" s="33"/>
      <c r="EE28" s="34"/>
      <c r="EF28" s="35" t="str">
        <f t="shared" si="52"/>
        <v/>
      </c>
      <c r="EG28" s="36" t="str">
        <f t="shared" si="53"/>
        <v/>
      </c>
      <c r="EH28" s="37"/>
      <c r="EI28" s="33"/>
      <c r="EJ28" s="34"/>
      <c r="EK28" s="35" t="str">
        <f t="shared" si="54"/>
        <v/>
      </c>
      <c r="EL28" s="36" t="str">
        <f t="shared" si="55"/>
        <v/>
      </c>
      <c r="EM28" s="37"/>
      <c r="EN28" s="33"/>
      <c r="EO28" s="34"/>
      <c r="EP28" s="35" t="str">
        <f t="shared" si="56"/>
        <v/>
      </c>
      <c r="EQ28" s="36" t="str">
        <f t="shared" si="57"/>
        <v/>
      </c>
      <c r="ER28" s="37"/>
      <c r="ES28" s="33"/>
      <c r="ET28" s="34"/>
      <c r="EU28" s="35" t="str">
        <f t="shared" si="58"/>
        <v/>
      </c>
      <c r="EV28" s="36" t="str">
        <f t="shared" si="59"/>
        <v/>
      </c>
      <c r="EW28" s="37"/>
    </row>
    <row r="29" spans="1:153" ht="19.5" customHeight="1">
      <c r="A29" s="32">
        <f>IF(DAY(DATE(対象年度,3,26))&lt;&gt;26,"",26)</f>
        <v>26</v>
      </c>
      <c r="B29" s="32" t="str">
        <f>IF(DAY(DATE(対象年度,3,26))&lt;&gt;26,"",CHOOSE(WEEKDAY(DATE(対象年度,3,26),2),"月","火","水","木","金","土","日"))</f>
        <v>木</v>
      </c>
      <c r="C29" s="32" t="str">
        <f>IF(DAY(DATE(対象年度,3,26))&lt;&gt;26,"",IF(ISNUMBER(MATCH(DATE(対象年度,3,26),祝日リスト,0)),"祝",""))</f>
        <v/>
      </c>
      <c r="D29" s="38" t="s">
        <v>104</v>
      </c>
      <c r="E29" s="34"/>
      <c r="F29" s="35" t="str">
        <f t="shared" si="0"/>
        <v>○</v>
      </c>
      <c r="G29" s="36" t="str">
        <f t="shared" si="1"/>
        <v/>
      </c>
      <c r="H29" s="37"/>
      <c r="I29" s="33"/>
      <c r="J29" s="46" t="s">
        <v>126</v>
      </c>
      <c r="K29" s="35" t="str">
        <f t="shared" si="2"/>
        <v/>
      </c>
      <c r="L29" s="36" t="str">
        <f t="shared" si="3"/>
        <v>○</v>
      </c>
      <c r="M29" s="37"/>
      <c r="N29" s="38" t="s">
        <v>116</v>
      </c>
      <c r="O29" s="34"/>
      <c r="P29" s="35" t="str">
        <f t="shared" si="4"/>
        <v>○</v>
      </c>
      <c r="Q29" s="36" t="str">
        <f t="shared" si="5"/>
        <v/>
      </c>
      <c r="R29" s="37"/>
      <c r="S29" s="38" t="s">
        <v>116</v>
      </c>
      <c r="T29" s="34"/>
      <c r="U29" s="35" t="str">
        <f t="shared" si="6"/>
        <v>○</v>
      </c>
      <c r="V29" s="36" t="str">
        <f t="shared" si="7"/>
        <v/>
      </c>
      <c r="W29" s="37"/>
      <c r="X29" s="38" t="s">
        <v>116</v>
      </c>
      <c r="Y29" s="34"/>
      <c r="Z29" s="35" t="str">
        <f t="shared" si="8"/>
        <v>○</v>
      </c>
      <c r="AA29" s="36" t="str">
        <f t="shared" si="9"/>
        <v/>
      </c>
      <c r="AB29" s="37"/>
      <c r="AC29" s="33"/>
      <c r="AD29" s="46" t="s">
        <v>126</v>
      </c>
      <c r="AE29" s="35" t="str">
        <f t="shared" si="10"/>
        <v/>
      </c>
      <c r="AF29" s="36" t="str">
        <f t="shared" si="11"/>
        <v>○</v>
      </c>
      <c r="AG29" s="37"/>
      <c r="AH29" s="38" t="s">
        <v>117</v>
      </c>
      <c r="AI29" s="34"/>
      <c r="AJ29" s="35" t="str">
        <f t="shared" si="12"/>
        <v>○</v>
      </c>
      <c r="AK29" s="36" t="str">
        <f t="shared" si="13"/>
        <v/>
      </c>
      <c r="AL29" s="37"/>
      <c r="AM29" s="33"/>
      <c r="AN29" s="46" t="s">
        <v>126</v>
      </c>
      <c r="AO29" s="35" t="str">
        <f t="shared" si="14"/>
        <v/>
      </c>
      <c r="AP29" s="36" t="str">
        <f t="shared" si="15"/>
        <v>○</v>
      </c>
      <c r="AQ29" s="37"/>
      <c r="AR29" s="38" t="s">
        <v>116</v>
      </c>
      <c r="AS29" s="34"/>
      <c r="AT29" s="35" t="str">
        <f t="shared" si="16"/>
        <v>○</v>
      </c>
      <c r="AU29" s="36" t="str">
        <f t="shared" si="17"/>
        <v/>
      </c>
      <c r="AV29" s="37"/>
      <c r="AW29" s="38" t="s">
        <v>124</v>
      </c>
      <c r="AX29" s="34"/>
      <c r="AY29" s="35" t="str">
        <f t="shared" si="18"/>
        <v>○</v>
      </c>
      <c r="AZ29" s="36" t="str">
        <f t="shared" si="19"/>
        <v/>
      </c>
      <c r="BA29" s="37"/>
      <c r="BB29" s="38" t="s">
        <v>104</v>
      </c>
      <c r="BC29" s="34"/>
      <c r="BD29" s="35" t="str">
        <f t="shared" si="20"/>
        <v>○</v>
      </c>
      <c r="BE29" s="36" t="str">
        <f t="shared" si="21"/>
        <v/>
      </c>
      <c r="BF29" s="37"/>
      <c r="BG29" s="38" t="s">
        <v>105</v>
      </c>
      <c r="BH29" s="34"/>
      <c r="BI29" s="35" t="str">
        <f t="shared" si="22"/>
        <v>○</v>
      </c>
      <c r="BJ29" s="36" t="str">
        <f t="shared" si="23"/>
        <v/>
      </c>
      <c r="BK29" s="37"/>
      <c r="BL29" s="33"/>
      <c r="BM29" s="34"/>
      <c r="BN29" s="35" t="str">
        <f t="shared" si="24"/>
        <v/>
      </c>
      <c r="BO29" s="36" t="str">
        <f t="shared" si="25"/>
        <v/>
      </c>
      <c r="BP29" s="37"/>
      <c r="BQ29" s="33"/>
      <c r="BR29" s="34"/>
      <c r="BS29" s="35" t="str">
        <f t="shared" si="26"/>
        <v/>
      </c>
      <c r="BT29" s="36" t="str">
        <f t="shared" si="27"/>
        <v/>
      </c>
      <c r="BU29" s="37"/>
      <c r="BV29" s="33"/>
      <c r="BW29" s="34"/>
      <c r="BX29" s="35" t="str">
        <f t="shared" si="28"/>
        <v/>
      </c>
      <c r="BY29" s="36" t="str">
        <f t="shared" si="29"/>
        <v/>
      </c>
      <c r="BZ29" s="37"/>
      <c r="CA29" s="33"/>
      <c r="CB29" s="34"/>
      <c r="CC29" s="35" t="str">
        <f t="shared" si="30"/>
        <v/>
      </c>
      <c r="CD29" s="36" t="str">
        <f t="shared" si="31"/>
        <v/>
      </c>
      <c r="CE29" s="37"/>
      <c r="CF29" s="33"/>
      <c r="CG29" s="34"/>
      <c r="CH29" s="35" t="str">
        <f t="shared" si="32"/>
        <v/>
      </c>
      <c r="CI29" s="36" t="str">
        <f t="shared" si="33"/>
        <v/>
      </c>
      <c r="CJ29" s="37"/>
      <c r="CK29" s="33"/>
      <c r="CL29" s="34"/>
      <c r="CM29" s="35" t="str">
        <f t="shared" si="34"/>
        <v/>
      </c>
      <c r="CN29" s="36" t="str">
        <f t="shared" si="35"/>
        <v/>
      </c>
      <c r="CO29" s="37"/>
      <c r="CP29" s="33"/>
      <c r="CQ29" s="34"/>
      <c r="CR29" s="35" t="str">
        <f t="shared" si="36"/>
        <v/>
      </c>
      <c r="CS29" s="36" t="str">
        <f t="shared" si="37"/>
        <v/>
      </c>
      <c r="CT29" s="37"/>
      <c r="CU29" s="33"/>
      <c r="CV29" s="34"/>
      <c r="CW29" s="35" t="str">
        <f t="shared" si="38"/>
        <v/>
      </c>
      <c r="CX29" s="36" t="str">
        <f t="shared" si="39"/>
        <v/>
      </c>
      <c r="CY29" s="37"/>
      <c r="CZ29" s="33"/>
      <c r="DA29" s="34"/>
      <c r="DB29" s="35" t="str">
        <f t="shared" si="40"/>
        <v/>
      </c>
      <c r="DC29" s="36" t="str">
        <f t="shared" si="41"/>
        <v/>
      </c>
      <c r="DD29" s="37"/>
      <c r="DE29" s="33"/>
      <c r="DF29" s="34"/>
      <c r="DG29" s="35" t="str">
        <f t="shared" si="42"/>
        <v/>
      </c>
      <c r="DH29" s="36" t="str">
        <f t="shared" si="43"/>
        <v/>
      </c>
      <c r="DI29" s="37"/>
      <c r="DJ29" s="33"/>
      <c r="DK29" s="34"/>
      <c r="DL29" s="35" t="str">
        <f t="shared" si="44"/>
        <v/>
      </c>
      <c r="DM29" s="36" t="str">
        <f t="shared" si="45"/>
        <v/>
      </c>
      <c r="DN29" s="37"/>
      <c r="DO29" s="33"/>
      <c r="DP29" s="34"/>
      <c r="DQ29" s="35" t="str">
        <f t="shared" si="46"/>
        <v/>
      </c>
      <c r="DR29" s="36" t="str">
        <f t="shared" si="47"/>
        <v/>
      </c>
      <c r="DS29" s="37"/>
      <c r="DT29" s="33"/>
      <c r="DU29" s="34"/>
      <c r="DV29" s="35" t="str">
        <f t="shared" si="48"/>
        <v/>
      </c>
      <c r="DW29" s="36" t="str">
        <f t="shared" si="49"/>
        <v/>
      </c>
      <c r="DX29" s="37"/>
      <c r="DY29" s="33"/>
      <c r="DZ29" s="34"/>
      <c r="EA29" s="35" t="str">
        <f t="shared" si="50"/>
        <v/>
      </c>
      <c r="EB29" s="36" t="str">
        <f t="shared" si="51"/>
        <v/>
      </c>
      <c r="EC29" s="37"/>
      <c r="ED29" s="33"/>
      <c r="EE29" s="34"/>
      <c r="EF29" s="35" t="str">
        <f t="shared" si="52"/>
        <v/>
      </c>
      <c r="EG29" s="36" t="str">
        <f t="shared" si="53"/>
        <v/>
      </c>
      <c r="EH29" s="37"/>
      <c r="EI29" s="33"/>
      <c r="EJ29" s="34"/>
      <c r="EK29" s="35" t="str">
        <f t="shared" si="54"/>
        <v/>
      </c>
      <c r="EL29" s="36" t="str">
        <f t="shared" si="55"/>
        <v/>
      </c>
      <c r="EM29" s="37"/>
      <c r="EN29" s="33"/>
      <c r="EO29" s="34"/>
      <c r="EP29" s="35" t="str">
        <f t="shared" si="56"/>
        <v/>
      </c>
      <c r="EQ29" s="36" t="str">
        <f t="shared" si="57"/>
        <v/>
      </c>
      <c r="ER29" s="37"/>
      <c r="ES29" s="33"/>
      <c r="ET29" s="34"/>
      <c r="EU29" s="35" t="str">
        <f t="shared" si="58"/>
        <v/>
      </c>
      <c r="EV29" s="36" t="str">
        <f t="shared" si="59"/>
        <v/>
      </c>
      <c r="EW29" s="37"/>
    </row>
    <row r="30" spans="1:153" ht="19.5" customHeight="1">
      <c r="A30" s="32">
        <f>IF(DAY(DATE(対象年度,3,27))&lt;&gt;27,"",27)</f>
        <v>27</v>
      </c>
      <c r="B30" s="32" t="str">
        <f>IF(DAY(DATE(対象年度,3,27))&lt;&gt;27,"",CHOOSE(WEEKDAY(DATE(対象年度,3,27),2),"月","火","水","木","金","土","日"))</f>
        <v>金</v>
      </c>
      <c r="C30" s="32" t="str">
        <f>IF(DAY(DATE(対象年度,3,27))&lt;&gt;27,"",IF(ISNUMBER(MATCH(DATE(対象年度,3,27),祝日リスト,0)),"祝",""))</f>
        <v/>
      </c>
      <c r="D30" s="38" t="s">
        <v>104</v>
      </c>
      <c r="E30" s="34"/>
      <c r="F30" s="35" t="str">
        <f t="shared" si="0"/>
        <v>○</v>
      </c>
      <c r="G30" s="36" t="str">
        <f t="shared" si="1"/>
        <v/>
      </c>
      <c r="H30" s="37"/>
      <c r="I30" s="33"/>
      <c r="J30" s="34"/>
      <c r="K30" s="35" t="str">
        <f t="shared" si="2"/>
        <v/>
      </c>
      <c r="L30" s="36" t="str">
        <f t="shared" si="3"/>
        <v/>
      </c>
      <c r="M30" s="37"/>
      <c r="N30" s="38" t="s">
        <v>116</v>
      </c>
      <c r="O30" s="34"/>
      <c r="P30" s="35" t="str">
        <f t="shared" si="4"/>
        <v>○</v>
      </c>
      <c r="Q30" s="36" t="str">
        <f t="shared" si="5"/>
        <v/>
      </c>
      <c r="R30" s="37"/>
      <c r="S30" s="38" t="s">
        <v>116</v>
      </c>
      <c r="T30" s="34"/>
      <c r="U30" s="35" t="str">
        <f t="shared" si="6"/>
        <v>○</v>
      </c>
      <c r="V30" s="36" t="str">
        <f t="shared" si="7"/>
        <v/>
      </c>
      <c r="W30" s="37"/>
      <c r="X30" s="38" t="s">
        <v>116</v>
      </c>
      <c r="Y30" s="34"/>
      <c r="Z30" s="35" t="str">
        <f t="shared" si="8"/>
        <v>○</v>
      </c>
      <c r="AA30" s="36" t="str">
        <f t="shared" si="9"/>
        <v/>
      </c>
      <c r="AB30" s="37"/>
      <c r="AC30" s="38" t="s">
        <v>116</v>
      </c>
      <c r="AD30" s="34"/>
      <c r="AE30" s="35" t="str">
        <f t="shared" si="10"/>
        <v>○</v>
      </c>
      <c r="AF30" s="36" t="str">
        <f t="shared" si="11"/>
        <v/>
      </c>
      <c r="AG30" s="37"/>
      <c r="AH30" s="38" t="s">
        <v>117</v>
      </c>
      <c r="AI30" s="34"/>
      <c r="AJ30" s="35" t="str">
        <f t="shared" si="12"/>
        <v>○</v>
      </c>
      <c r="AK30" s="36" t="str">
        <f t="shared" si="13"/>
        <v/>
      </c>
      <c r="AL30" s="37"/>
      <c r="AM30" s="33"/>
      <c r="AN30" s="34"/>
      <c r="AO30" s="35" t="str">
        <f t="shared" si="14"/>
        <v/>
      </c>
      <c r="AP30" s="36" t="str">
        <f t="shared" si="15"/>
        <v/>
      </c>
      <c r="AQ30" s="37"/>
      <c r="AR30" s="38" t="s">
        <v>116</v>
      </c>
      <c r="AS30" s="34"/>
      <c r="AT30" s="35" t="str">
        <f t="shared" si="16"/>
        <v>○</v>
      </c>
      <c r="AU30" s="36" t="str">
        <f t="shared" si="17"/>
        <v/>
      </c>
      <c r="AV30" s="37"/>
      <c r="AW30" s="38" t="s">
        <v>124</v>
      </c>
      <c r="AX30" s="34"/>
      <c r="AY30" s="35" t="str">
        <f t="shared" si="18"/>
        <v>○</v>
      </c>
      <c r="AZ30" s="36" t="str">
        <f t="shared" si="19"/>
        <v/>
      </c>
      <c r="BA30" s="37"/>
      <c r="BB30" s="38" t="s">
        <v>104</v>
      </c>
      <c r="BC30" s="34"/>
      <c r="BD30" s="35" t="str">
        <f t="shared" si="20"/>
        <v>○</v>
      </c>
      <c r="BE30" s="36" t="str">
        <f t="shared" si="21"/>
        <v/>
      </c>
      <c r="BF30" s="37"/>
      <c r="BG30" s="38" t="s">
        <v>105</v>
      </c>
      <c r="BH30" s="34"/>
      <c r="BI30" s="35" t="str">
        <f t="shared" si="22"/>
        <v>○</v>
      </c>
      <c r="BJ30" s="36" t="str">
        <f t="shared" si="23"/>
        <v/>
      </c>
      <c r="BK30" s="37"/>
      <c r="BL30" s="33"/>
      <c r="BM30" s="34"/>
      <c r="BN30" s="35" t="str">
        <f t="shared" si="24"/>
        <v/>
      </c>
      <c r="BO30" s="36" t="str">
        <f t="shared" si="25"/>
        <v/>
      </c>
      <c r="BP30" s="37"/>
      <c r="BQ30" s="33"/>
      <c r="BR30" s="34"/>
      <c r="BS30" s="35" t="str">
        <f t="shared" si="26"/>
        <v/>
      </c>
      <c r="BT30" s="36" t="str">
        <f t="shared" si="27"/>
        <v/>
      </c>
      <c r="BU30" s="37"/>
      <c r="BV30" s="33"/>
      <c r="BW30" s="34"/>
      <c r="BX30" s="35" t="str">
        <f t="shared" si="28"/>
        <v/>
      </c>
      <c r="BY30" s="36" t="str">
        <f t="shared" si="29"/>
        <v/>
      </c>
      <c r="BZ30" s="37"/>
      <c r="CA30" s="33"/>
      <c r="CB30" s="34"/>
      <c r="CC30" s="35" t="str">
        <f t="shared" si="30"/>
        <v/>
      </c>
      <c r="CD30" s="36" t="str">
        <f t="shared" si="31"/>
        <v/>
      </c>
      <c r="CE30" s="37"/>
      <c r="CF30" s="33"/>
      <c r="CG30" s="34"/>
      <c r="CH30" s="35" t="str">
        <f t="shared" si="32"/>
        <v/>
      </c>
      <c r="CI30" s="36" t="str">
        <f t="shared" si="33"/>
        <v/>
      </c>
      <c r="CJ30" s="37"/>
      <c r="CK30" s="33"/>
      <c r="CL30" s="34"/>
      <c r="CM30" s="35" t="str">
        <f t="shared" si="34"/>
        <v/>
      </c>
      <c r="CN30" s="36" t="str">
        <f t="shared" si="35"/>
        <v/>
      </c>
      <c r="CO30" s="37"/>
      <c r="CP30" s="33"/>
      <c r="CQ30" s="34"/>
      <c r="CR30" s="35" t="str">
        <f t="shared" si="36"/>
        <v/>
      </c>
      <c r="CS30" s="36" t="str">
        <f t="shared" si="37"/>
        <v/>
      </c>
      <c r="CT30" s="37"/>
      <c r="CU30" s="33"/>
      <c r="CV30" s="34"/>
      <c r="CW30" s="35" t="str">
        <f t="shared" si="38"/>
        <v/>
      </c>
      <c r="CX30" s="36" t="str">
        <f t="shared" si="39"/>
        <v/>
      </c>
      <c r="CY30" s="37"/>
      <c r="CZ30" s="33"/>
      <c r="DA30" s="34"/>
      <c r="DB30" s="35" t="str">
        <f t="shared" si="40"/>
        <v/>
      </c>
      <c r="DC30" s="36" t="str">
        <f t="shared" si="41"/>
        <v/>
      </c>
      <c r="DD30" s="37"/>
      <c r="DE30" s="33"/>
      <c r="DF30" s="34"/>
      <c r="DG30" s="35" t="str">
        <f t="shared" si="42"/>
        <v/>
      </c>
      <c r="DH30" s="36" t="str">
        <f t="shared" si="43"/>
        <v/>
      </c>
      <c r="DI30" s="37"/>
      <c r="DJ30" s="33"/>
      <c r="DK30" s="34"/>
      <c r="DL30" s="35" t="str">
        <f t="shared" si="44"/>
        <v/>
      </c>
      <c r="DM30" s="36" t="str">
        <f t="shared" si="45"/>
        <v/>
      </c>
      <c r="DN30" s="37"/>
      <c r="DO30" s="33"/>
      <c r="DP30" s="34"/>
      <c r="DQ30" s="35" t="str">
        <f t="shared" si="46"/>
        <v/>
      </c>
      <c r="DR30" s="36" t="str">
        <f t="shared" si="47"/>
        <v/>
      </c>
      <c r="DS30" s="37"/>
      <c r="DT30" s="33"/>
      <c r="DU30" s="34"/>
      <c r="DV30" s="35" t="str">
        <f t="shared" si="48"/>
        <v/>
      </c>
      <c r="DW30" s="36" t="str">
        <f t="shared" si="49"/>
        <v/>
      </c>
      <c r="DX30" s="37"/>
      <c r="DY30" s="33"/>
      <c r="DZ30" s="34"/>
      <c r="EA30" s="35" t="str">
        <f t="shared" si="50"/>
        <v/>
      </c>
      <c r="EB30" s="36" t="str">
        <f t="shared" si="51"/>
        <v/>
      </c>
      <c r="EC30" s="37"/>
      <c r="ED30" s="33"/>
      <c r="EE30" s="34"/>
      <c r="EF30" s="35" t="str">
        <f t="shared" si="52"/>
        <v/>
      </c>
      <c r="EG30" s="36" t="str">
        <f t="shared" si="53"/>
        <v/>
      </c>
      <c r="EH30" s="37"/>
      <c r="EI30" s="33"/>
      <c r="EJ30" s="34"/>
      <c r="EK30" s="35" t="str">
        <f t="shared" si="54"/>
        <v/>
      </c>
      <c r="EL30" s="36" t="str">
        <f t="shared" si="55"/>
        <v/>
      </c>
      <c r="EM30" s="37"/>
      <c r="EN30" s="33"/>
      <c r="EO30" s="34"/>
      <c r="EP30" s="35" t="str">
        <f t="shared" si="56"/>
        <v/>
      </c>
      <c r="EQ30" s="36" t="str">
        <f t="shared" si="57"/>
        <v/>
      </c>
      <c r="ER30" s="37"/>
      <c r="ES30" s="33"/>
      <c r="ET30" s="34"/>
      <c r="EU30" s="35" t="str">
        <f t="shared" si="58"/>
        <v/>
      </c>
      <c r="EV30" s="36" t="str">
        <f t="shared" si="59"/>
        <v/>
      </c>
      <c r="EW30" s="37"/>
    </row>
    <row r="31" spans="1:153" ht="19.5" customHeight="1">
      <c r="A31" s="32">
        <f>IF(DAY(DATE(対象年度,3,28))&lt;&gt;28,"",28)</f>
        <v>28</v>
      </c>
      <c r="B31" s="32" t="str">
        <f>IF(DAY(DATE(対象年度,3,28))&lt;&gt;28,"",CHOOSE(WEEKDAY(DATE(対象年度,3,28),2),"月","火","水","木","金","土","日"))</f>
        <v>土</v>
      </c>
      <c r="C31" s="32" t="str">
        <f>IF(DAY(DATE(対象年度,3,28))&lt;&gt;28,"",IF(ISNUMBER(MATCH(DATE(対象年度,3,28),祝日リスト,0)),"祝",""))</f>
        <v/>
      </c>
      <c r="D31" s="33"/>
      <c r="E31" s="34"/>
      <c r="F31" s="35" t="str">
        <f t="shared" si="0"/>
        <v/>
      </c>
      <c r="G31" s="36" t="str">
        <f t="shared" si="1"/>
        <v/>
      </c>
      <c r="H31" s="37"/>
      <c r="I31" s="33"/>
      <c r="J31" s="34"/>
      <c r="K31" s="35" t="str">
        <f t="shared" si="2"/>
        <v/>
      </c>
      <c r="L31" s="36" t="str">
        <f t="shared" si="3"/>
        <v/>
      </c>
      <c r="M31" s="37"/>
      <c r="N31" s="38" t="s">
        <v>116</v>
      </c>
      <c r="O31" s="34"/>
      <c r="P31" s="35" t="str">
        <f t="shared" si="4"/>
        <v>○</v>
      </c>
      <c r="Q31" s="36" t="str">
        <f t="shared" si="5"/>
        <v/>
      </c>
      <c r="R31" s="37"/>
      <c r="S31" s="38" t="s">
        <v>116</v>
      </c>
      <c r="T31" s="34"/>
      <c r="U31" s="35" t="str">
        <f t="shared" si="6"/>
        <v>○</v>
      </c>
      <c r="V31" s="36" t="str">
        <f t="shared" si="7"/>
        <v/>
      </c>
      <c r="W31" s="37"/>
      <c r="X31" s="38" t="s">
        <v>116</v>
      </c>
      <c r="Y31" s="34"/>
      <c r="Z31" s="35" t="str">
        <f t="shared" si="8"/>
        <v>○</v>
      </c>
      <c r="AA31" s="36" t="str">
        <f t="shared" si="9"/>
        <v/>
      </c>
      <c r="AB31" s="37"/>
      <c r="AC31" s="33"/>
      <c r="AD31" s="34"/>
      <c r="AE31" s="35" t="str">
        <f t="shared" si="10"/>
        <v/>
      </c>
      <c r="AF31" s="36" t="str">
        <f t="shared" si="11"/>
        <v/>
      </c>
      <c r="AG31" s="37"/>
      <c r="AH31" s="33"/>
      <c r="AI31" s="34"/>
      <c r="AJ31" s="35" t="str">
        <f t="shared" si="12"/>
        <v/>
      </c>
      <c r="AK31" s="36" t="str">
        <f t="shared" si="13"/>
        <v/>
      </c>
      <c r="AL31" s="37"/>
      <c r="AM31" s="33"/>
      <c r="AN31" s="34"/>
      <c r="AO31" s="35" t="str">
        <f t="shared" si="14"/>
        <v/>
      </c>
      <c r="AP31" s="36" t="str">
        <f t="shared" si="15"/>
        <v/>
      </c>
      <c r="AQ31" s="37"/>
      <c r="AR31" s="38" t="s">
        <v>116</v>
      </c>
      <c r="AS31" s="34"/>
      <c r="AT31" s="35" t="str">
        <f t="shared" si="16"/>
        <v>○</v>
      </c>
      <c r="AU31" s="36" t="str">
        <f t="shared" si="17"/>
        <v/>
      </c>
      <c r="AV31" s="37"/>
      <c r="AW31" s="33"/>
      <c r="AX31" s="34"/>
      <c r="AY31" s="35" t="str">
        <f t="shared" si="18"/>
        <v/>
      </c>
      <c r="AZ31" s="36" t="str">
        <f t="shared" si="19"/>
        <v/>
      </c>
      <c r="BA31" s="37"/>
      <c r="BB31" s="33"/>
      <c r="BC31" s="34"/>
      <c r="BD31" s="35" t="str">
        <f t="shared" si="20"/>
        <v/>
      </c>
      <c r="BE31" s="36" t="str">
        <f t="shared" si="21"/>
        <v/>
      </c>
      <c r="BF31" s="37"/>
      <c r="BG31" s="38" t="s">
        <v>105</v>
      </c>
      <c r="BH31" s="34"/>
      <c r="BI31" s="35" t="str">
        <f t="shared" si="22"/>
        <v>○</v>
      </c>
      <c r="BJ31" s="36" t="str">
        <f t="shared" si="23"/>
        <v/>
      </c>
      <c r="BK31" s="37"/>
      <c r="BL31" s="33"/>
      <c r="BM31" s="34"/>
      <c r="BN31" s="35" t="str">
        <f t="shared" si="24"/>
        <v/>
      </c>
      <c r="BO31" s="36" t="str">
        <f t="shared" si="25"/>
        <v/>
      </c>
      <c r="BP31" s="37"/>
      <c r="BQ31" s="33"/>
      <c r="BR31" s="34"/>
      <c r="BS31" s="35" t="str">
        <f t="shared" si="26"/>
        <v/>
      </c>
      <c r="BT31" s="36" t="str">
        <f t="shared" si="27"/>
        <v/>
      </c>
      <c r="BU31" s="37"/>
      <c r="BV31" s="33"/>
      <c r="BW31" s="34"/>
      <c r="BX31" s="35" t="str">
        <f t="shared" si="28"/>
        <v/>
      </c>
      <c r="BY31" s="36" t="str">
        <f t="shared" si="29"/>
        <v/>
      </c>
      <c r="BZ31" s="37"/>
      <c r="CA31" s="33"/>
      <c r="CB31" s="34"/>
      <c r="CC31" s="35" t="str">
        <f t="shared" si="30"/>
        <v/>
      </c>
      <c r="CD31" s="36" t="str">
        <f t="shared" si="31"/>
        <v/>
      </c>
      <c r="CE31" s="37"/>
      <c r="CF31" s="33"/>
      <c r="CG31" s="34"/>
      <c r="CH31" s="35" t="str">
        <f t="shared" si="32"/>
        <v/>
      </c>
      <c r="CI31" s="36" t="str">
        <f t="shared" si="33"/>
        <v/>
      </c>
      <c r="CJ31" s="37"/>
      <c r="CK31" s="33"/>
      <c r="CL31" s="34"/>
      <c r="CM31" s="35" t="str">
        <f t="shared" si="34"/>
        <v/>
      </c>
      <c r="CN31" s="36" t="str">
        <f t="shared" si="35"/>
        <v/>
      </c>
      <c r="CO31" s="37"/>
      <c r="CP31" s="33"/>
      <c r="CQ31" s="34"/>
      <c r="CR31" s="35" t="str">
        <f t="shared" si="36"/>
        <v/>
      </c>
      <c r="CS31" s="36" t="str">
        <f t="shared" si="37"/>
        <v/>
      </c>
      <c r="CT31" s="37"/>
      <c r="CU31" s="33"/>
      <c r="CV31" s="34"/>
      <c r="CW31" s="35" t="str">
        <f t="shared" si="38"/>
        <v/>
      </c>
      <c r="CX31" s="36" t="str">
        <f t="shared" si="39"/>
        <v/>
      </c>
      <c r="CY31" s="37"/>
      <c r="CZ31" s="33"/>
      <c r="DA31" s="34"/>
      <c r="DB31" s="35" t="str">
        <f t="shared" si="40"/>
        <v/>
      </c>
      <c r="DC31" s="36" t="str">
        <f t="shared" si="41"/>
        <v/>
      </c>
      <c r="DD31" s="37"/>
      <c r="DE31" s="33"/>
      <c r="DF31" s="34"/>
      <c r="DG31" s="35" t="str">
        <f t="shared" si="42"/>
        <v/>
      </c>
      <c r="DH31" s="36" t="str">
        <f t="shared" si="43"/>
        <v/>
      </c>
      <c r="DI31" s="37"/>
      <c r="DJ31" s="33"/>
      <c r="DK31" s="34"/>
      <c r="DL31" s="35" t="str">
        <f t="shared" si="44"/>
        <v/>
      </c>
      <c r="DM31" s="36" t="str">
        <f t="shared" si="45"/>
        <v/>
      </c>
      <c r="DN31" s="37"/>
      <c r="DO31" s="33"/>
      <c r="DP31" s="34"/>
      <c r="DQ31" s="35" t="str">
        <f t="shared" si="46"/>
        <v/>
      </c>
      <c r="DR31" s="36" t="str">
        <f t="shared" si="47"/>
        <v/>
      </c>
      <c r="DS31" s="37"/>
      <c r="DT31" s="33"/>
      <c r="DU31" s="34"/>
      <c r="DV31" s="35" t="str">
        <f t="shared" si="48"/>
        <v/>
      </c>
      <c r="DW31" s="36" t="str">
        <f t="shared" si="49"/>
        <v/>
      </c>
      <c r="DX31" s="37"/>
      <c r="DY31" s="33"/>
      <c r="DZ31" s="34"/>
      <c r="EA31" s="35" t="str">
        <f t="shared" si="50"/>
        <v/>
      </c>
      <c r="EB31" s="36" t="str">
        <f t="shared" si="51"/>
        <v/>
      </c>
      <c r="EC31" s="37"/>
      <c r="ED31" s="33"/>
      <c r="EE31" s="34"/>
      <c r="EF31" s="35" t="str">
        <f t="shared" si="52"/>
        <v/>
      </c>
      <c r="EG31" s="36" t="str">
        <f t="shared" si="53"/>
        <v/>
      </c>
      <c r="EH31" s="37"/>
      <c r="EI31" s="33"/>
      <c r="EJ31" s="34"/>
      <c r="EK31" s="35" t="str">
        <f t="shared" si="54"/>
        <v/>
      </c>
      <c r="EL31" s="36" t="str">
        <f t="shared" si="55"/>
        <v/>
      </c>
      <c r="EM31" s="37"/>
      <c r="EN31" s="33"/>
      <c r="EO31" s="34"/>
      <c r="EP31" s="35" t="str">
        <f t="shared" si="56"/>
        <v/>
      </c>
      <c r="EQ31" s="36" t="str">
        <f t="shared" si="57"/>
        <v/>
      </c>
      <c r="ER31" s="37"/>
      <c r="ES31" s="33"/>
      <c r="ET31" s="34"/>
      <c r="EU31" s="35" t="str">
        <f t="shared" si="58"/>
        <v/>
      </c>
      <c r="EV31" s="36" t="str">
        <f t="shared" si="59"/>
        <v/>
      </c>
      <c r="EW31" s="37"/>
    </row>
    <row r="32" spans="1:153" ht="19.5" customHeight="1">
      <c r="A32" s="32">
        <f>IF(DAY(DATE(対象年度,3,29))&lt;&gt;29,"",29)</f>
        <v>29</v>
      </c>
      <c r="B32" s="32" t="str">
        <f>IF(DAY(DATE(対象年度,3,29))&lt;&gt;29,"",CHOOSE(WEEKDAY(DATE(対象年度,3,29),2),"月","火","水","木","金","土","日"))</f>
        <v>日</v>
      </c>
      <c r="C32" s="32" t="str">
        <f>IF(DAY(DATE(対象年度,3,29))&lt;&gt;29,"",IF(ISNUMBER(MATCH(DATE(対象年度,3,29),祝日リスト,0)),"祝",""))</f>
        <v/>
      </c>
      <c r="D32" s="33"/>
      <c r="E32" s="34"/>
      <c r="F32" s="35" t="str">
        <f t="shared" si="0"/>
        <v/>
      </c>
      <c r="G32" s="36" t="str">
        <f t="shared" si="1"/>
        <v/>
      </c>
      <c r="H32" s="37"/>
      <c r="I32" s="33"/>
      <c r="J32" s="34"/>
      <c r="K32" s="35" t="str">
        <f t="shared" si="2"/>
        <v/>
      </c>
      <c r="L32" s="36" t="str">
        <f t="shared" si="3"/>
        <v/>
      </c>
      <c r="M32" s="37"/>
      <c r="N32" s="33"/>
      <c r="O32" s="34"/>
      <c r="P32" s="35" t="str">
        <f t="shared" si="4"/>
        <v/>
      </c>
      <c r="Q32" s="36" t="str">
        <f t="shared" si="5"/>
        <v/>
      </c>
      <c r="R32" s="37"/>
      <c r="S32" s="33"/>
      <c r="T32" s="34"/>
      <c r="U32" s="35" t="str">
        <f t="shared" si="6"/>
        <v/>
      </c>
      <c r="V32" s="36" t="str">
        <f t="shared" si="7"/>
        <v/>
      </c>
      <c r="W32" s="37"/>
      <c r="X32" s="33"/>
      <c r="Y32" s="34"/>
      <c r="Z32" s="35" t="str">
        <f t="shared" si="8"/>
        <v/>
      </c>
      <c r="AA32" s="36" t="str">
        <f t="shared" si="9"/>
        <v/>
      </c>
      <c r="AB32" s="37"/>
      <c r="AC32" s="33"/>
      <c r="AD32" s="34"/>
      <c r="AE32" s="35" t="str">
        <f t="shared" si="10"/>
        <v/>
      </c>
      <c r="AF32" s="36" t="str">
        <f t="shared" si="11"/>
        <v/>
      </c>
      <c r="AG32" s="37"/>
      <c r="AH32" s="33"/>
      <c r="AI32" s="34"/>
      <c r="AJ32" s="35" t="str">
        <f t="shared" si="12"/>
        <v/>
      </c>
      <c r="AK32" s="36" t="str">
        <f t="shared" si="13"/>
        <v/>
      </c>
      <c r="AL32" s="37"/>
      <c r="AM32" s="33"/>
      <c r="AN32" s="34"/>
      <c r="AO32" s="35" t="str">
        <f t="shared" si="14"/>
        <v/>
      </c>
      <c r="AP32" s="36" t="str">
        <f t="shared" si="15"/>
        <v/>
      </c>
      <c r="AQ32" s="37"/>
      <c r="AR32" s="33"/>
      <c r="AS32" s="34"/>
      <c r="AT32" s="35" t="str">
        <f t="shared" si="16"/>
        <v/>
      </c>
      <c r="AU32" s="36" t="str">
        <f t="shared" si="17"/>
        <v/>
      </c>
      <c r="AV32" s="37"/>
      <c r="AW32" s="33"/>
      <c r="AX32" s="34"/>
      <c r="AY32" s="35" t="str">
        <f t="shared" si="18"/>
        <v/>
      </c>
      <c r="AZ32" s="36" t="str">
        <f t="shared" si="19"/>
        <v/>
      </c>
      <c r="BA32" s="37"/>
      <c r="BB32" s="33"/>
      <c r="BC32" s="34"/>
      <c r="BD32" s="35" t="str">
        <f t="shared" si="20"/>
        <v/>
      </c>
      <c r="BE32" s="36" t="str">
        <f t="shared" si="21"/>
        <v/>
      </c>
      <c r="BF32" s="37"/>
      <c r="BG32" s="33"/>
      <c r="BH32" s="34"/>
      <c r="BI32" s="35" t="str">
        <f t="shared" si="22"/>
        <v/>
      </c>
      <c r="BJ32" s="36" t="str">
        <f t="shared" si="23"/>
        <v/>
      </c>
      <c r="BK32" s="37"/>
      <c r="BL32" s="33"/>
      <c r="BM32" s="34"/>
      <c r="BN32" s="35" t="str">
        <f t="shared" si="24"/>
        <v/>
      </c>
      <c r="BO32" s="36" t="str">
        <f t="shared" si="25"/>
        <v/>
      </c>
      <c r="BP32" s="37"/>
      <c r="BQ32" s="33"/>
      <c r="BR32" s="34"/>
      <c r="BS32" s="35" t="str">
        <f t="shared" si="26"/>
        <v/>
      </c>
      <c r="BT32" s="36" t="str">
        <f t="shared" si="27"/>
        <v/>
      </c>
      <c r="BU32" s="37"/>
      <c r="BV32" s="33"/>
      <c r="BW32" s="34"/>
      <c r="BX32" s="35" t="str">
        <f t="shared" si="28"/>
        <v/>
      </c>
      <c r="BY32" s="36" t="str">
        <f t="shared" si="29"/>
        <v/>
      </c>
      <c r="BZ32" s="37"/>
      <c r="CA32" s="33"/>
      <c r="CB32" s="34"/>
      <c r="CC32" s="35" t="str">
        <f t="shared" si="30"/>
        <v/>
      </c>
      <c r="CD32" s="36" t="str">
        <f t="shared" si="31"/>
        <v/>
      </c>
      <c r="CE32" s="37"/>
      <c r="CF32" s="33"/>
      <c r="CG32" s="34"/>
      <c r="CH32" s="35" t="str">
        <f t="shared" si="32"/>
        <v/>
      </c>
      <c r="CI32" s="36" t="str">
        <f t="shared" si="33"/>
        <v/>
      </c>
      <c r="CJ32" s="37"/>
      <c r="CK32" s="33"/>
      <c r="CL32" s="34"/>
      <c r="CM32" s="35" t="str">
        <f t="shared" si="34"/>
        <v/>
      </c>
      <c r="CN32" s="36" t="str">
        <f t="shared" si="35"/>
        <v/>
      </c>
      <c r="CO32" s="37"/>
      <c r="CP32" s="33"/>
      <c r="CQ32" s="34"/>
      <c r="CR32" s="35" t="str">
        <f t="shared" si="36"/>
        <v/>
      </c>
      <c r="CS32" s="36" t="str">
        <f t="shared" si="37"/>
        <v/>
      </c>
      <c r="CT32" s="37"/>
      <c r="CU32" s="33"/>
      <c r="CV32" s="34"/>
      <c r="CW32" s="35" t="str">
        <f t="shared" si="38"/>
        <v/>
      </c>
      <c r="CX32" s="36" t="str">
        <f t="shared" si="39"/>
        <v/>
      </c>
      <c r="CY32" s="37"/>
      <c r="CZ32" s="33"/>
      <c r="DA32" s="34"/>
      <c r="DB32" s="35" t="str">
        <f t="shared" si="40"/>
        <v/>
      </c>
      <c r="DC32" s="36" t="str">
        <f t="shared" si="41"/>
        <v/>
      </c>
      <c r="DD32" s="37"/>
      <c r="DE32" s="33"/>
      <c r="DF32" s="34"/>
      <c r="DG32" s="35" t="str">
        <f t="shared" si="42"/>
        <v/>
      </c>
      <c r="DH32" s="36" t="str">
        <f t="shared" si="43"/>
        <v/>
      </c>
      <c r="DI32" s="37"/>
      <c r="DJ32" s="33"/>
      <c r="DK32" s="34"/>
      <c r="DL32" s="35" t="str">
        <f t="shared" si="44"/>
        <v/>
      </c>
      <c r="DM32" s="36" t="str">
        <f t="shared" si="45"/>
        <v/>
      </c>
      <c r="DN32" s="37"/>
      <c r="DO32" s="33"/>
      <c r="DP32" s="34"/>
      <c r="DQ32" s="35" t="str">
        <f t="shared" si="46"/>
        <v/>
      </c>
      <c r="DR32" s="36" t="str">
        <f t="shared" si="47"/>
        <v/>
      </c>
      <c r="DS32" s="37"/>
      <c r="DT32" s="33"/>
      <c r="DU32" s="34"/>
      <c r="DV32" s="35" t="str">
        <f t="shared" si="48"/>
        <v/>
      </c>
      <c r="DW32" s="36" t="str">
        <f t="shared" si="49"/>
        <v/>
      </c>
      <c r="DX32" s="37"/>
      <c r="DY32" s="33"/>
      <c r="DZ32" s="34"/>
      <c r="EA32" s="35" t="str">
        <f t="shared" si="50"/>
        <v/>
      </c>
      <c r="EB32" s="36" t="str">
        <f t="shared" si="51"/>
        <v/>
      </c>
      <c r="EC32" s="37"/>
      <c r="ED32" s="33"/>
      <c r="EE32" s="34"/>
      <c r="EF32" s="35" t="str">
        <f t="shared" si="52"/>
        <v/>
      </c>
      <c r="EG32" s="36" t="str">
        <f t="shared" si="53"/>
        <v/>
      </c>
      <c r="EH32" s="37"/>
      <c r="EI32" s="33"/>
      <c r="EJ32" s="34"/>
      <c r="EK32" s="35" t="str">
        <f t="shared" si="54"/>
        <v/>
      </c>
      <c r="EL32" s="36" t="str">
        <f t="shared" si="55"/>
        <v/>
      </c>
      <c r="EM32" s="37"/>
      <c r="EN32" s="33"/>
      <c r="EO32" s="34"/>
      <c r="EP32" s="35" t="str">
        <f t="shared" si="56"/>
        <v/>
      </c>
      <c r="EQ32" s="36" t="str">
        <f t="shared" si="57"/>
        <v/>
      </c>
      <c r="ER32" s="37"/>
      <c r="ES32" s="33"/>
      <c r="ET32" s="34"/>
      <c r="EU32" s="35" t="str">
        <f t="shared" si="58"/>
        <v/>
      </c>
      <c r="EV32" s="36" t="str">
        <f t="shared" si="59"/>
        <v/>
      </c>
      <c r="EW32" s="37"/>
    </row>
    <row r="33" spans="1:153" ht="19.5" customHeight="1">
      <c r="A33" s="32">
        <f>IF(DAY(DATE(対象年度,3,30))&lt;&gt;30,"",30)</f>
        <v>30</v>
      </c>
      <c r="B33" s="32" t="str">
        <f>IF(DAY(DATE(対象年度,3,30))&lt;&gt;30,"",CHOOSE(WEEKDAY(DATE(対象年度,3,30),2),"月","火","水","木","金","土","日"))</f>
        <v>月</v>
      </c>
      <c r="C33" s="32" t="str">
        <f>IF(DAY(DATE(対象年度,3,30))&lt;&gt;30,"",IF(ISNUMBER(MATCH(DATE(対象年度,3,30),祝日リスト,0)),"祝",""))</f>
        <v/>
      </c>
      <c r="D33" s="38" t="s">
        <v>104</v>
      </c>
      <c r="E33" s="34"/>
      <c r="F33" s="35" t="str">
        <f t="shared" si="0"/>
        <v>○</v>
      </c>
      <c r="G33" s="36" t="str">
        <f t="shared" si="1"/>
        <v/>
      </c>
      <c r="H33" s="37"/>
      <c r="I33" s="33"/>
      <c r="J33" s="46" t="s">
        <v>126</v>
      </c>
      <c r="K33" s="35" t="str">
        <f t="shared" si="2"/>
        <v/>
      </c>
      <c r="L33" s="36" t="str">
        <f t="shared" si="3"/>
        <v>○</v>
      </c>
      <c r="M33" s="37"/>
      <c r="N33" s="38" t="s">
        <v>116</v>
      </c>
      <c r="O33" s="34"/>
      <c r="P33" s="35" t="str">
        <f t="shared" si="4"/>
        <v>○</v>
      </c>
      <c r="Q33" s="36" t="str">
        <f t="shared" si="5"/>
        <v/>
      </c>
      <c r="R33" s="37"/>
      <c r="S33" s="38" t="s">
        <v>116</v>
      </c>
      <c r="T33" s="34"/>
      <c r="U33" s="35" t="str">
        <f t="shared" si="6"/>
        <v>○</v>
      </c>
      <c r="V33" s="36" t="str">
        <f t="shared" si="7"/>
        <v/>
      </c>
      <c r="W33" s="37"/>
      <c r="X33" s="38" t="s">
        <v>116</v>
      </c>
      <c r="Y33" s="34"/>
      <c r="Z33" s="35" t="str">
        <f t="shared" si="8"/>
        <v>○</v>
      </c>
      <c r="AA33" s="36" t="str">
        <f t="shared" si="9"/>
        <v/>
      </c>
      <c r="AB33" s="37"/>
      <c r="AC33" s="38" t="s">
        <v>116</v>
      </c>
      <c r="AD33" s="34"/>
      <c r="AE33" s="35" t="str">
        <f t="shared" si="10"/>
        <v>○</v>
      </c>
      <c r="AF33" s="36" t="str">
        <f t="shared" si="11"/>
        <v/>
      </c>
      <c r="AG33" s="37"/>
      <c r="AH33" s="38" t="s">
        <v>117</v>
      </c>
      <c r="AI33" s="34"/>
      <c r="AJ33" s="35" t="str">
        <f t="shared" si="12"/>
        <v>○</v>
      </c>
      <c r="AK33" s="36" t="str">
        <f t="shared" si="13"/>
        <v/>
      </c>
      <c r="AL33" s="37"/>
      <c r="AM33" s="33"/>
      <c r="AN33" s="46" t="s">
        <v>126</v>
      </c>
      <c r="AO33" s="35" t="str">
        <f t="shared" si="14"/>
        <v/>
      </c>
      <c r="AP33" s="36" t="str">
        <f t="shared" si="15"/>
        <v>○</v>
      </c>
      <c r="AQ33" s="37"/>
      <c r="AR33" s="33"/>
      <c r="AS33" s="46" t="s">
        <v>126</v>
      </c>
      <c r="AT33" s="35" t="str">
        <f t="shared" si="16"/>
        <v/>
      </c>
      <c r="AU33" s="36" t="str">
        <f t="shared" si="17"/>
        <v>○</v>
      </c>
      <c r="AV33" s="37"/>
      <c r="AW33" s="38" t="s">
        <v>124</v>
      </c>
      <c r="AX33" s="34"/>
      <c r="AY33" s="35" t="str">
        <f t="shared" si="18"/>
        <v>○</v>
      </c>
      <c r="AZ33" s="36" t="str">
        <f t="shared" si="19"/>
        <v/>
      </c>
      <c r="BA33" s="37"/>
      <c r="BB33" s="38" t="s">
        <v>104</v>
      </c>
      <c r="BC33" s="34"/>
      <c r="BD33" s="35" t="str">
        <f t="shared" si="20"/>
        <v>○</v>
      </c>
      <c r="BE33" s="36" t="str">
        <f t="shared" si="21"/>
        <v/>
      </c>
      <c r="BF33" s="37"/>
      <c r="BG33" s="38" t="s">
        <v>105</v>
      </c>
      <c r="BH33" s="34"/>
      <c r="BI33" s="35" t="str">
        <f t="shared" si="22"/>
        <v>○</v>
      </c>
      <c r="BJ33" s="36" t="str">
        <f t="shared" si="23"/>
        <v/>
      </c>
      <c r="BK33" s="37"/>
      <c r="BL33" s="33"/>
      <c r="BM33" s="34"/>
      <c r="BN33" s="35" t="str">
        <f t="shared" si="24"/>
        <v/>
      </c>
      <c r="BO33" s="36" t="str">
        <f t="shared" si="25"/>
        <v/>
      </c>
      <c r="BP33" s="37"/>
      <c r="BQ33" s="33"/>
      <c r="BR33" s="34"/>
      <c r="BS33" s="35" t="str">
        <f t="shared" si="26"/>
        <v/>
      </c>
      <c r="BT33" s="36" t="str">
        <f t="shared" si="27"/>
        <v/>
      </c>
      <c r="BU33" s="37"/>
      <c r="BV33" s="33"/>
      <c r="BW33" s="34"/>
      <c r="BX33" s="35" t="str">
        <f t="shared" si="28"/>
        <v/>
      </c>
      <c r="BY33" s="36" t="str">
        <f t="shared" si="29"/>
        <v/>
      </c>
      <c r="BZ33" s="37"/>
      <c r="CA33" s="33"/>
      <c r="CB33" s="34"/>
      <c r="CC33" s="35" t="str">
        <f t="shared" si="30"/>
        <v/>
      </c>
      <c r="CD33" s="36" t="str">
        <f t="shared" si="31"/>
        <v/>
      </c>
      <c r="CE33" s="37"/>
      <c r="CF33" s="33"/>
      <c r="CG33" s="34"/>
      <c r="CH33" s="35" t="str">
        <f t="shared" si="32"/>
        <v/>
      </c>
      <c r="CI33" s="36" t="str">
        <f t="shared" si="33"/>
        <v/>
      </c>
      <c r="CJ33" s="37"/>
      <c r="CK33" s="33"/>
      <c r="CL33" s="34"/>
      <c r="CM33" s="35" t="str">
        <f t="shared" si="34"/>
        <v/>
      </c>
      <c r="CN33" s="36" t="str">
        <f t="shared" si="35"/>
        <v/>
      </c>
      <c r="CO33" s="37"/>
      <c r="CP33" s="33"/>
      <c r="CQ33" s="34"/>
      <c r="CR33" s="35" t="str">
        <f t="shared" si="36"/>
        <v/>
      </c>
      <c r="CS33" s="36" t="str">
        <f t="shared" si="37"/>
        <v/>
      </c>
      <c r="CT33" s="37"/>
      <c r="CU33" s="33"/>
      <c r="CV33" s="34"/>
      <c r="CW33" s="35" t="str">
        <f t="shared" si="38"/>
        <v/>
      </c>
      <c r="CX33" s="36" t="str">
        <f t="shared" si="39"/>
        <v/>
      </c>
      <c r="CY33" s="37"/>
      <c r="CZ33" s="33"/>
      <c r="DA33" s="34"/>
      <c r="DB33" s="35" t="str">
        <f t="shared" si="40"/>
        <v/>
      </c>
      <c r="DC33" s="36" t="str">
        <f t="shared" si="41"/>
        <v/>
      </c>
      <c r="DD33" s="37"/>
      <c r="DE33" s="33"/>
      <c r="DF33" s="34"/>
      <c r="DG33" s="35" t="str">
        <f t="shared" si="42"/>
        <v/>
      </c>
      <c r="DH33" s="36" t="str">
        <f t="shared" si="43"/>
        <v/>
      </c>
      <c r="DI33" s="37"/>
      <c r="DJ33" s="33"/>
      <c r="DK33" s="34"/>
      <c r="DL33" s="35" t="str">
        <f t="shared" si="44"/>
        <v/>
      </c>
      <c r="DM33" s="36" t="str">
        <f t="shared" si="45"/>
        <v/>
      </c>
      <c r="DN33" s="37"/>
      <c r="DO33" s="33"/>
      <c r="DP33" s="34"/>
      <c r="DQ33" s="35" t="str">
        <f t="shared" si="46"/>
        <v/>
      </c>
      <c r="DR33" s="36" t="str">
        <f t="shared" si="47"/>
        <v/>
      </c>
      <c r="DS33" s="37"/>
      <c r="DT33" s="33"/>
      <c r="DU33" s="34"/>
      <c r="DV33" s="35" t="str">
        <f t="shared" si="48"/>
        <v/>
      </c>
      <c r="DW33" s="36" t="str">
        <f t="shared" si="49"/>
        <v/>
      </c>
      <c r="DX33" s="37"/>
      <c r="DY33" s="33"/>
      <c r="DZ33" s="34"/>
      <c r="EA33" s="35" t="str">
        <f t="shared" si="50"/>
        <v/>
      </c>
      <c r="EB33" s="36" t="str">
        <f t="shared" si="51"/>
        <v/>
      </c>
      <c r="EC33" s="37"/>
      <c r="ED33" s="33"/>
      <c r="EE33" s="34"/>
      <c r="EF33" s="35" t="str">
        <f t="shared" si="52"/>
        <v/>
      </c>
      <c r="EG33" s="36" t="str">
        <f t="shared" si="53"/>
        <v/>
      </c>
      <c r="EH33" s="37"/>
      <c r="EI33" s="33"/>
      <c r="EJ33" s="34"/>
      <c r="EK33" s="35" t="str">
        <f t="shared" si="54"/>
        <v/>
      </c>
      <c r="EL33" s="36" t="str">
        <f t="shared" si="55"/>
        <v/>
      </c>
      <c r="EM33" s="37"/>
      <c r="EN33" s="33"/>
      <c r="EO33" s="34"/>
      <c r="EP33" s="35" t="str">
        <f t="shared" si="56"/>
        <v/>
      </c>
      <c r="EQ33" s="36" t="str">
        <f t="shared" si="57"/>
        <v/>
      </c>
      <c r="ER33" s="37"/>
      <c r="ES33" s="33"/>
      <c r="ET33" s="34"/>
      <c r="EU33" s="35" t="str">
        <f t="shared" si="58"/>
        <v/>
      </c>
      <c r="EV33" s="36" t="str">
        <f t="shared" si="59"/>
        <v/>
      </c>
      <c r="EW33" s="37"/>
    </row>
    <row r="34" spans="1:153" ht="19.5" customHeight="1">
      <c r="A34" s="39">
        <f>IF(DAY(DATE(対象年度,3,31))&lt;&gt;31,"",31)</f>
        <v>31</v>
      </c>
      <c r="B34" s="39" t="str">
        <f>IF(DAY(DATE(対象年度,3,31))&lt;&gt;31,"",CHOOSE(WEEKDAY(DATE(対象年度,3,31),2),"月","火","水","木","金","土","日"))</f>
        <v>火</v>
      </c>
      <c r="C34" s="39" t="str">
        <f>IF(DAY(DATE(対象年度,3,31))&lt;&gt;31,"",IF(ISNUMBER(MATCH(DATE(対象年度,3,31),祝日リスト,0)),"祝",""))</f>
        <v/>
      </c>
      <c r="D34" s="45" t="s">
        <v>104</v>
      </c>
      <c r="E34" s="41"/>
      <c r="F34" s="42" t="str">
        <f t="shared" si="0"/>
        <v>○</v>
      </c>
      <c r="G34" s="43" t="str">
        <f t="shared" si="1"/>
        <v/>
      </c>
      <c r="H34" s="44"/>
      <c r="I34" s="40"/>
      <c r="J34" s="47" t="s">
        <v>125</v>
      </c>
      <c r="K34" s="42" t="str">
        <f t="shared" si="2"/>
        <v/>
      </c>
      <c r="L34" s="43" t="str">
        <f t="shared" si="3"/>
        <v>○</v>
      </c>
      <c r="M34" s="44"/>
      <c r="N34" s="45" t="s">
        <v>116</v>
      </c>
      <c r="O34" s="41"/>
      <c r="P34" s="42" t="str">
        <f t="shared" si="4"/>
        <v>○</v>
      </c>
      <c r="Q34" s="43" t="str">
        <f t="shared" si="5"/>
        <v/>
      </c>
      <c r="R34" s="44"/>
      <c r="S34" s="45" t="s">
        <v>116</v>
      </c>
      <c r="T34" s="41"/>
      <c r="U34" s="42" t="str">
        <f t="shared" si="6"/>
        <v>○</v>
      </c>
      <c r="V34" s="43" t="str">
        <f t="shared" si="7"/>
        <v/>
      </c>
      <c r="W34" s="44"/>
      <c r="X34" s="45" t="s">
        <v>116</v>
      </c>
      <c r="Y34" s="41"/>
      <c r="Z34" s="42" t="str">
        <f t="shared" si="8"/>
        <v>○</v>
      </c>
      <c r="AA34" s="43" t="str">
        <f t="shared" si="9"/>
        <v/>
      </c>
      <c r="AB34" s="44"/>
      <c r="AC34" s="45" t="s">
        <v>116</v>
      </c>
      <c r="AD34" s="41"/>
      <c r="AE34" s="42" t="str">
        <f t="shared" si="10"/>
        <v>○</v>
      </c>
      <c r="AF34" s="43" t="str">
        <f t="shared" si="11"/>
        <v/>
      </c>
      <c r="AG34" s="44"/>
      <c r="AH34" s="45" t="s">
        <v>117</v>
      </c>
      <c r="AI34" s="41"/>
      <c r="AJ34" s="42" t="str">
        <f t="shared" si="12"/>
        <v>○</v>
      </c>
      <c r="AK34" s="43" t="str">
        <f t="shared" si="13"/>
        <v/>
      </c>
      <c r="AL34" s="44"/>
      <c r="AM34" s="40"/>
      <c r="AN34" s="47" t="s">
        <v>125</v>
      </c>
      <c r="AO34" s="42" t="str">
        <f t="shared" si="14"/>
        <v/>
      </c>
      <c r="AP34" s="43" t="str">
        <f t="shared" si="15"/>
        <v>○</v>
      </c>
      <c r="AQ34" s="44"/>
      <c r="AR34" s="40"/>
      <c r="AS34" s="41"/>
      <c r="AT34" s="42" t="str">
        <f t="shared" si="16"/>
        <v/>
      </c>
      <c r="AU34" s="43" t="str">
        <f t="shared" si="17"/>
        <v/>
      </c>
      <c r="AV34" s="44"/>
      <c r="AW34" s="45" t="s">
        <v>124</v>
      </c>
      <c r="AX34" s="41"/>
      <c r="AY34" s="42" t="str">
        <f t="shared" si="18"/>
        <v>○</v>
      </c>
      <c r="AZ34" s="43" t="str">
        <f t="shared" si="19"/>
        <v/>
      </c>
      <c r="BA34" s="44"/>
      <c r="BB34" s="45" t="s">
        <v>104</v>
      </c>
      <c r="BC34" s="41"/>
      <c r="BD34" s="42" t="str">
        <f t="shared" si="20"/>
        <v>○</v>
      </c>
      <c r="BE34" s="43" t="str">
        <f t="shared" si="21"/>
        <v/>
      </c>
      <c r="BF34" s="44"/>
      <c r="BG34" s="45" t="s">
        <v>105</v>
      </c>
      <c r="BH34" s="41"/>
      <c r="BI34" s="42" t="str">
        <f t="shared" si="22"/>
        <v>○</v>
      </c>
      <c r="BJ34" s="43" t="str">
        <f t="shared" si="23"/>
        <v/>
      </c>
      <c r="BK34" s="44"/>
      <c r="BL34" s="40"/>
      <c r="BM34" s="41"/>
      <c r="BN34" s="42" t="str">
        <f t="shared" si="24"/>
        <v/>
      </c>
      <c r="BO34" s="43" t="str">
        <f t="shared" si="25"/>
        <v/>
      </c>
      <c r="BP34" s="44"/>
      <c r="BQ34" s="40"/>
      <c r="BR34" s="41"/>
      <c r="BS34" s="42" t="str">
        <f t="shared" si="26"/>
        <v/>
      </c>
      <c r="BT34" s="43" t="str">
        <f t="shared" si="27"/>
        <v/>
      </c>
      <c r="BU34" s="44"/>
      <c r="BV34" s="40"/>
      <c r="BW34" s="41"/>
      <c r="BX34" s="42" t="str">
        <f t="shared" si="28"/>
        <v/>
      </c>
      <c r="BY34" s="43" t="str">
        <f t="shared" si="29"/>
        <v/>
      </c>
      <c r="BZ34" s="44"/>
      <c r="CA34" s="40"/>
      <c r="CB34" s="41"/>
      <c r="CC34" s="42" t="str">
        <f t="shared" si="30"/>
        <v/>
      </c>
      <c r="CD34" s="43" t="str">
        <f t="shared" si="31"/>
        <v/>
      </c>
      <c r="CE34" s="44"/>
      <c r="CF34" s="40"/>
      <c r="CG34" s="41"/>
      <c r="CH34" s="42" t="str">
        <f t="shared" si="32"/>
        <v/>
      </c>
      <c r="CI34" s="43" t="str">
        <f t="shared" si="33"/>
        <v/>
      </c>
      <c r="CJ34" s="44"/>
      <c r="CK34" s="40"/>
      <c r="CL34" s="41"/>
      <c r="CM34" s="42" t="str">
        <f t="shared" si="34"/>
        <v/>
      </c>
      <c r="CN34" s="43" t="str">
        <f t="shared" si="35"/>
        <v/>
      </c>
      <c r="CO34" s="44"/>
      <c r="CP34" s="40"/>
      <c r="CQ34" s="41"/>
      <c r="CR34" s="42" t="str">
        <f t="shared" si="36"/>
        <v/>
      </c>
      <c r="CS34" s="43" t="str">
        <f t="shared" si="37"/>
        <v/>
      </c>
      <c r="CT34" s="44"/>
      <c r="CU34" s="40"/>
      <c r="CV34" s="41"/>
      <c r="CW34" s="42" t="str">
        <f t="shared" si="38"/>
        <v/>
      </c>
      <c r="CX34" s="43" t="str">
        <f t="shared" si="39"/>
        <v/>
      </c>
      <c r="CY34" s="44"/>
      <c r="CZ34" s="40"/>
      <c r="DA34" s="41"/>
      <c r="DB34" s="42" t="str">
        <f t="shared" si="40"/>
        <v/>
      </c>
      <c r="DC34" s="43" t="str">
        <f t="shared" si="41"/>
        <v/>
      </c>
      <c r="DD34" s="44"/>
      <c r="DE34" s="40"/>
      <c r="DF34" s="41"/>
      <c r="DG34" s="42" t="str">
        <f t="shared" si="42"/>
        <v/>
      </c>
      <c r="DH34" s="43" t="str">
        <f t="shared" si="43"/>
        <v/>
      </c>
      <c r="DI34" s="44"/>
      <c r="DJ34" s="40"/>
      <c r="DK34" s="41"/>
      <c r="DL34" s="42" t="str">
        <f t="shared" si="44"/>
        <v/>
      </c>
      <c r="DM34" s="43" t="str">
        <f t="shared" si="45"/>
        <v/>
      </c>
      <c r="DN34" s="44"/>
      <c r="DO34" s="40"/>
      <c r="DP34" s="41"/>
      <c r="DQ34" s="42" t="str">
        <f t="shared" si="46"/>
        <v/>
      </c>
      <c r="DR34" s="43" t="str">
        <f t="shared" si="47"/>
        <v/>
      </c>
      <c r="DS34" s="44"/>
      <c r="DT34" s="40"/>
      <c r="DU34" s="41"/>
      <c r="DV34" s="42" t="str">
        <f t="shared" si="48"/>
        <v/>
      </c>
      <c r="DW34" s="43" t="str">
        <f t="shared" si="49"/>
        <v/>
      </c>
      <c r="DX34" s="44"/>
      <c r="DY34" s="40"/>
      <c r="DZ34" s="41"/>
      <c r="EA34" s="42" t="str">
        <f t="shared" si="50"/>
        <v/>
      </c>
      <c r="EB34" s="43" t="str">
        <f t="shared" si="51"/>
        <v/>
      </c>
      <c r="EC34" s="44"/>
      <c r="ED34" s="40"/>
      <c r="EE34" s="41"/>
      <c r="EF34" s="42" t="str">
        <f t="shared" si="52"/>
        <v/>
      </c>
      <c r="EG34" s="43" t="str">
        <f t="shared" si="53"/>
        <v/>
      </c>
      <c r="EH34" s="44"/>
      <c r="EI34" s="40"/>
      <c r="EJ34" s="41"/>
      <c r="EK34" s="42" t="str">
        <f t="shared" si="54"/>
        <v/>
      </c>
      <c r="EL34" s="43" t="str">
        <f t="shared" si="55"/>
        <v/>
      </c>
      <c r="EM34" s="44"/>
      <c r="EN34" s="40"/>
      <c r="EO34" s="41"/>
      <c r="EP34" s="42" t="str">
        <f t="shared" si="56"/>
        <v/>
      </c>
      <c r="EQ34" s="43" t="str">
        <f t="shared" si="57"/>
        <v/>
      </c>
      <c r="ER34" s="44"/>
      <c r="ES34" s="40"/>
      <c r="ET34" s="41"/>
      <c r="EU34" s="42" t="str">
        <f t="shared" si="58"/>
        <v/>
      </c>
      <c r="EV34" s="43" t="str">
        <f t="shared" si="59"/>
        <v/>
      </c>
      <c r="EW34" s="44"/>
    </row>
    <row r="35" spans="1:153" ht="21.75" customHeight="1">
      <c r="A35" s="98" t="s">
        <v>120</v>
      </c>
      <c r="B35" s="98"/>
      <c r="C35" s="98"/>
      <c r="D35" s="99">
        <f>COUNTIF(F4:F34,"○")</f>
        <v>20</v>
      </c>
      <c r="E35" s="99"/>
      <c r="F35" s="99"/>
      <c r="G35" s="99"/>
      <c r="H35" s="99"/>
      <c r="I35" s="99">
        <f>COUNTIF(K4:K34,"○")</f>
        <v>7</v>
      </c>
      <c r="J35" s="99"/>
      <c r="K35" s="99"/>
      <c r="L35" s="99"/>
      <c r="M35" s="99"/>
      <c r="N35" s="99">
        <f>COUNTIF(P4:P34,"○")</f>
        <v>26</v>
      </c>
      <c r="O35" s="99"/>
      <c r="P35" s="99"/>
      <c r="Q35" s="99"/>
      <c r="R35" s="99"/>
      <c r="S35" s="99">
        <f>COUNTIF(U4:U34,"○")</f>
        <v>26</v>
      </c>
      <c r="T35" s="99"/>
      <c r="U35" s="99"/>
      <c r="V35" s="99"/>
      <c r="W35" s="99"/>
      <c r="X35" s="99">
        <f>COUNTIF(Z4:Z34,"○")</f>
        <v>26</v>
      </c>
      <c r="Y35" s="99"/>
      <c r="Z35" s="99"/>
      <c r="AA35" s="99"/>
      <c r="AB35" s="99"/>
      <c r="AC35" s="99">
        <f>COUNTIF(AE4:AE34,"○")</f>
        <v>12</v>
      </c>
      <c r="AD35" s="99"/>
      <c r="AE35" s="99"/>
      <c r="AF35" s="99"/>
      <c r="AG35" s="99"/>
      <c r="AH35" s="99">
        <f>COUNTIF(AJ4:AJ34,"○")</f>
        <v>14</v>
      </c>
      <c r="AI35" s="99"/>
      <c r="AJ35" s="99"/>
      <c r="AK35" s="99"/>
      <c r="AL35" s="99"/>
      <c r="AM35" s="99">
        <f>COUNTIF(AO4:AO34,"○")</f>
        <v>6</v>
      </c>
      <c r="AN35" s="99"/>
      <c r="AO35" s="99"/>
      <c r="AP35" s="99"/>
      <c r="AQ35" s="99"/>
      <c r="AR35" s="99">
        <f>COUNTIF(AT4:AT34,"○")</f>
        <v>20</v>
      </c>
      <c r="AS35" s="99"/>
      <c r="AT35" s="99"/>
      <c r="AU35" s="99"/>
      <c r="AV35" s="99"/>
      <c r="AW35" s="99">
        <f>COUNTIF(AY4:AY34,"○")</f>
        <v>19</v>
      </c>
      <c r="AX35" s="99"/>
      <c r="AY35" s="99"/>
      <c r="AZ35" s="99"/>
      <c r="BA35" s="99"/>
      <c r="BB35" s="99">
        <f>COUNTIF(BD4:BD34,"○")</f>
        <v>21</v>
      </c>
      <c r="BC35" s="99"/>
      <c r="BD35" s="99"/>
      <c r="BE35" s="99"/>
      <c r="BF35" s="99"/>
      <c r="BG35" s="99">
        <f>COUNTIF(BI4:BI34,"○")</f>
        <v>26</v>
      </c>
      <c r="BH35" s="99"/>
      <c r="BI35" s="99"/>
      <c r="BJ35" s="99"/>
      <c r="BK35" s="99"/>
      <c r="BL35" s="99">
        <f>COUNTIF(BN4:BN34,"○")</f>
        <v>0</v>
      </c>
      <c r="BM35" s="99"/>
      <c r="BN35" s="99"/>
      <c r="BO35" s="99"/>
      <c r="BP35" s="99"/>
      <c r="BQ35" s="99">
        <f>COUNTIF(BS4:BS34,"○")</f>
        <v>0</v>
      </c>
      <c r="BR35" s="99"/>
      <c r="BS35" s="99"/>
      <c r="BT35" s="99"/>
      <c r="BU35" s="99"/>
      <c r="BV35" s="99">
        <f>COUNTIF(BX4:BX34,"○")</f>
        <v>0</v>
      </c>
      <c r="BW35" s="99"/>
      <c r="BX35" s="99"/>
      <c r="BY35" s="99"/>
      <c r="BZ35" s="99"/>
      <c r="CA35" s="99">
        <f>COUNTIF(CC4:CC34,"○")</f>
        <v>0</v>
      </c>
      <c r="CB35" s="99"/>
      <c r="CC35" s="99"/>
      <c r="CD35" s="99"/>
      <c r="CE35" s="99"/>
      <c r="CF35" s="99">
        <f>COUNTIF(CH4:CH34,"○")</f>
        <v>0</v>
      </c>
      <c r="CG35" s="99"/>
      <c r="CH35" s="99"/>
      <c r="CI35" s="99"/>
      <c r="CJ35" s="99"/>
      <c r="CK35" s="99">
        <f>COUNTIF(CM4:CM34,"○")</f>
        <v>0</v>
      </c>
      <c r="CL35" s="99"/>
      <c r="CM35" s="99"/>
      <c r="CN35" s="99"/>
      <c r="CO35" s="99"/>
      <c r="CP35" s="99">
        <f>COUNTIF(CR4:CR34,"○")</f>
        <v>0</v>
      </c>
      <c r="CQ35" s="99"/>
      <c r="CR35" s="99"/>
      <c r="CS35" s="99"/>
      <c r="CT35" s="99"/>
      <c r="CU35" s="99">
        <f>COUNTIF(CW4:CW34,"○")</f>
        <v>0</v>
      </c>
      <c r="CV35" s="99"/>
      <c r="CW35" s="99"/>
      <c r="CX35" s="99"/>
      <c r="CY35" s="99"/>
      <c r="CZ35" s="99">
        <f>COUNTIF(DB4:DB34,"○")</f>
        <v>0</v>
      </c>
      <c r="DA35" s="99"/>
      <c r="DB35" s="99"/>
      <c r="DC35" s="99"/>
      <c r="DD35" s="99"/>
      <c r="DE35" s="99">
        <f>COUNTIF(DG4:DG34,"○")</f>
        <v>0</v>
      </c>
      <c r="DF35" s="99"/>
      <c r="DG35" s="99"/>
      <c r="DH35" s="99"/>
      <c r="DI35" s="99"/>
      <c r="DJ35" s="99">
        <f>COUNTIF(DL4:DL34,"○")</f>
        <v>0</v>
      </c>
      <c r="DK35" s="99"/>
      <c r="DL35" s="99"/>
      <c r="DM35" s="99"/>
      <c r="DN35" s="99"/>
      <c r="DO35" s="99">
        <f>COUNTIF(DQ4:DQ34,"○")</f>
        <v>0</v>
      </c>
      <c r="DP35" s="99"/>
      <c r="DQ35" s="99"/>
      <c r="DR35" s="99"/>
      <c r="DS35" s="99"/>
      <c r="DT35" s="99">
        <f>COUNTIF(DV4:DV34,"○")</f>
        <v>0</v>
      </c>
      <c r="DU35" s="99"/>
      <c r="DV35" s="99"/>
      <c r="DW35" s="99"/>
      <c r="DX35" s="99"/>
      <c r="DY35" s="99">
        <f>COUNTIF(EA4:EA34,"○")</f>
        <v>0</v>
      </c>
      <c r="DZ35" s="99"/>
      <c r="EA35" s="99"/>
      <c r="EB35" s="99"/>
      <c r="EC35" s="99"/>
      <c r="ED35" s="99">
        <f>COUNTIF(EF4:EF34,"○")</f>
        <v>0</v>
      </c>
      <c r="EE35" s="99"/>
      <c r="EF35" s="99"/>
      <c r="EG35" s="99"/>
      <c r="EH35" s="99"/>
      <c r="EI35" s="99">
        <f>COUNTIF(EK4:EK34,"○")</f>
        <v>0</v>
      </c>
      <c r="EJ35" s="99"/>
      <c r="EK35" s="99"/>
      <c r="EL35" s="99"/>
      <c r="EM35" s="99"/>
      <c r="EN35" s="99">
        <f>COUNTIF(EP4:EP34,"○")</f>
        <v>0</v>
      </c>
      <c r="EO35" s="99"/>
      <c r="EP35" s="99"/>
      <c r="EQ35" s="99"/>
      <c r="ER35" s="99"/>
      <c r="ES35" s="99">
        <f>COUNTIF(EU4:EU34,"○")</f>
        <v>0</v>
      </c>
      <c r="ET35" s="99"/>
      <c r="EU35" s="99"/>
      <c r="EV35" s="99"/>
      <c r="EW35" s="99"/>
    </row>
    <row r="36" spans="1:153" ht="21.75" customHeight="1">
      <c r="A36" s="100" t="s">
        <v>121</v>
      </c>
      <c r="B36" s="100"/>
      <c r="C36" s="100"/>
      <c r="D36" s="101">
        <f>COUNTIF(G4:G34,"○")</f>
        <v>1</v>
      </c>
      <c r="E36" s="101"/>
      <c r="F36" s="101"/>
      <c r="G36" s="101"/>
      <c r="H36" s="101"/>
      <c r="I36" s="101">
        <f>COUNTIF(L4:L34,"○")</f>
        <v>13</v>
      </c>
      <c r="J36" s="101"/>
      <c r="K36" s="101"/>
      <c r="L36" s="101"/>
      <c r="M36" s="101"/>
      <c r="N36" s="101">
        <f>COUNTIF(Q4:Q34,"○")</f>
        <v>0</v>
      </c>
      <c r="O36" s="101"/>
      <c r="P36" s="101"/>
      <c r="Q36" s="101"/>
      <c r="R36" s="101"/>
      <c r="S36" s="101">
        <f>COUNTIF(V4:V34,"○")</f>
        <v>0</v>
      </c>
      <c r="T36" s="101"/>
      <c r="U36" s="101"/>
      <c r="V36" s="101"/>
      <c r="W36" s="101"/>
      <c r="X36" s="101">
        <f>COUNTIF(AA4:AA34,"○")</f>
        <v>0</v>
      </c>
      <c r="Y36" s="101"/>
      <c r="Z36" s="101"/>
      <c r="AA36" s="101"/>
      <c r="AB36" s="101"/>
      <c r="AC36" s="101">
        <f>COUNTIF(AF4:AF34,"○")</f>
        <v>9</v>
      </c>
      <c r="AD36" s="101"/>
      <c r="AE36" s="101"/>
      <c r="AF36" s="101"/>
      <c r="AG36" s="101"/>
      <c r="AH36" s="101">
        <f>COUNTIF(AK4:AK34,"○")</f>
        <v>0</v>
      </c>
      <c r="AI36" s="101"/>
      <c r="AJ36" s="101"/>
      <c r="AK36" s="101"/>
      <c r="AL36" s="101"/>
      <c r="AM36" s="101">
        <f>COUNTIF(AP4:AP34,"○")</f>
        <v>13</v>
      </c>
      <c r="AN36" s="101"/>
      <c r="AO36" s="101"/>
      <c r="AP36" s="101"/>
      <c r="AQ36" s="101"/>
      <c r="AR36" s="101">
        <f>COUNTIF(AU4:AU34,"○")</f>
        <v>3</v>
      </c>
      <c r="AS36" s="101"/>
      <c r="AT36" s="101"/>
      <c r="AU36" s="101"/>
      <c r="AV36" s="101"/>
      <c r="AW36" s="101">
        <f>COUNTIF(AZ4:AZ34,"○")</f>
        <v>3</v>
      </c>
      <c r="AX36" s="101"/>
      <c r="AY36" s="101"/>
      <c r="AZ36" s="101"/>
      <c r="BA36" s="101"/>
      <c r="BB36" s="101">
        <f>COUNTIF(BE4:BE34,"○")</f>
        <v>0</v>
      </c>
      <c r="BC36" s="101"/>
      <c r="BD36" s="101"/>
      <c r="BE36" s="101"/>
      <c r="BF36" s="101"/>
      <c r="BG36" s="101">
        <f>COUNTIF(BJ4:BJ34,"○")</f>
        <v>0</v>
      </c>
      <c r="BH36" s="101"/>
      <c r="BI36" s="101"/>
      <c r="BJ36" s="101"/>
      <c r="BK36" s="101"/>
      <c r="BL36" s="101">
        <f>COUNTIF(BO4:BO34,"○")</f>
        <v>0</v>
      </c>
      <c r="BM36" s="101"/>
      <c r="BN36" s="101"/>
      <c r="BO36" s="101"/>
      <c r="BP36" s="101"/>
      <c r="BQ36" s="101">
        <f>COUNTIF(BT4:BT34,"○")</f>
        <v>0</v>
      </c>
      <c r="BR36" s="101"/>
      <c r="BS36" s="101"/>
      <c r="BT36" s="101"/>
      <c r="BU36" s="101"/>
      <c r="BV36" s="101">
        <f>COUNTIF(BY4:BY34,"○")</f>
        <v>0</v>
      </c>
      <c r="BW36" s="101"/>
      <c r="BX36" s="101"/>
      <c r="BY36" s="101"/>
      <c r="BZ36" s="101"/>
      <c r="CA36" s="101">
        <f>COUNTIF(CD4:CD34,"○")</f>
        <v>0</v>
      </c>
      <c r="CB36" s="101"/>
      <c r="CC36" s="101"/>
      <c r="CD36" s="101"/>
      <c r="CE36" s="101"/>
      <c r="CF36" s="101">
        <f>COUNTIF(CI4:CI34,"○")</f>
        <v>0</v>
      </c>
      <c r="CG36" s="101"/>
      <c r="CH36" s="101"/>
      <c r="CI36" s="101"/>
      <c r="CJ36" s="101"/>
      <c r="CK36" s="101">
        <f>COUNTIF(CN4:CN34,"○")</f>
        <v>0</v>
      </c>
      <c r="CL36" s="101"/>
      <c r="CM36" s="101"/>
      <c r="CN36" s="101"/>
      <c r="CO36" s="101"/>
      <c r="CP36" s="101">
        <f>COUNTIF(CS4:CS34,"○")</f>
        <v>0</v>
      </c>
      <c r="CQ36" s="101"/>
      <c r="CR36" s="101"/>
      <c r="CS36" s="101"/>
      <c r="CT36" s="101"/>
      <c r="CU36" s="101">
        <f>COUNTIF(CX4:CX34,"○")</f>
        <v>0</v>
      </c>
      <c r="CV36" s="101"/>
      <c r="CW36" s="101"/>
      <c r="CX36" s="101"/>
      <c r="CY36" s="101"/>
      <c r="CZ36" s="101">
        <f>COUNTIF(DC4:DC34,"○")</f>
        <v>0</v>
      </c>
      <c r="DA36" s="101"/>
      <c r="DB36" s="101"/>
      <c r="DC36" s="101"/>
      <c r="DD36" s="101"/>
      <c r="DE36" s="101">
        <f>COUNTIF(DH4:DH34,"○")</f>
        <v>0</v>
      </c>
      <c r="DF36" s="101"/>
      <c r="DG36" s="101"/>
      <c r="DH36" s="101"/>
      <c r="DI36" s="101"/>
      <c r="DJ36" s="101">
        <f>COUNTIF(DM4:DM34,"○")</f>
        <v>0</v>
      </c>
      <c r="DK36" s="101"/>
      <c r="DL36" s="101"/>
      <c r="DM36" s="101"/>
      <c r="DN36" s="101"/>
      <c r="DO36" s="101">
        <f>COUNTIF(DR4:DR34,"○")</f>
        <v>0</v>
      </c>
      <c r="DP36" s="101"/>
      <c r="DQ36" s="101"/>
      <c r="DR36" s="101"/>
      <c r="DS36" s="101"/>
      <c r="DT36" s="101">
        <f>COUNTIF(DW4:DW34,"○")</f>
        <v>0</v>
      </c>
      <c r="DU36" s="101"/>
      <c r="DV36" s="101"/>
      <c r="DW36" s="101"/>
      <c r="DX36" s="101"/>
      <c r="DY36" s="101">
        <f>COUNTIF(EB4:EB34,"○")</f>
        <v>0</v>
      </c>
      <c r="DZ36" s="101"/>
      <c r="EA36" s="101"/>
      <c r="EB36" s="101"/>
      <c r="EC36" s="101"/>
      <c r="ED36" s="101">
        <f>COUNTIF(EG4:EG34,"○")</f>
        <v>0</v>
      </c>
      <c r="EE36" s="101"/>
      <c r="EF36" s="101"/>
      <c r="EG36" s="101"/>
      <c r="EH36" s="101"/>
      <c r="EI36" s="101">
        <f>COUNTIF(EL4:EL34,"○")</f>
        <v>0</v>
      </c>
      <c r="EJ36" s="101"/>
      <c r="EK36" s="101"/>
      <c r="EL36" s="101"/>
      <c r="EM36" s="101"/>
      <c r="EN36" s="101">
        <f>COUNTIF(EQ4:EQ34,"○")</f>
        <v>0</v>
      </c>
      <c r="EO36" s="101"/>
      <c r="EP36" s="101"/>
      <c r="EQ36" s="101"/>
      <c r="ER36" s="101"/>
      <c r="ES36" s="101">
        <f>COUNTIF(EV4:EV34,"○")</f>
        <v>0</v>
      </c>
      <c r="ET36" s="101"/>
      <c r="EU36" s="101"/>
      <c r="EV36" s="101"/>
      <c r="EW36" s="101"/>
    </row>
    <row r="37" spans="1:153" ht="21.75" customHeight="1">
      <c r="A37" s="102" t="s">
        <v>122</v>
      </c>
      <c r="B37" s="102"/>
      <c r="C37" s="102"/>
      <c r="D37" s="103">
        <f>D35+D36</f>
        <v>21</v>
      </c>
      <c r="E37" s="103"/>
      <c r="F37" s="103"/>
      <c r="G37" s="103"/>
      <c r="H37" s="103"/>
      <c r="I37" s="103">
        <f>I35+I36</f>
        <v>20</v>
      </c>
      <c r="J37" s="103"/>
      <c r="K37" s="103"/>
      <c r="L37" s="103"/>
      <c r="M37" s="103"/>
      <c r="N37" s="103">
        <f>N35+N36</f>
        <v>26</v>
      </c>
      <c r="O37" s="103"/>
      <c r="P37" s="103"/>
      <c r="Q37" s="103"/>
      <c r="R37" s="103"/>
      <c r="S37" s="103">
        <f>S35+S36</f>
        <v>26</v>
      </c>
      <c r="T37" s="103"/>
      <c r="U37" s="103"/>
      <c r="V37" s="103"/>
      <c r="W37" s="103"/>
      <c r="X37" s="103">
        <f>X35+X36</f>
        <v>26</v>
      </c>
      <c r="Y37" s="103"/>
      <c r="Z37" s="103"/>
      <c r="AA37" s="103"/>
      <c r="AB37" s="103"/>
      <c r="AC37" s="103">
        <f>AC35+AC36</f>
        <v>21</v>
      </c>
      <c r="AD37" s="103"/>
      <c r="AE37" s="103"/>
      <c r="AF37" s="103"/>
      <c r="AG37" s="103"/>
      <c r="AH37" s="103">
        <f>AH35+AH36</f>
        <v>14</v>
      </c>
      <c r="AI37" s="103"/>
      <c r="AJ37" s="103"/>
      <c r="AK37" s="103"/>
      <c r="AL37" s="103"/>
      <c r="AM37" s="103">
        <f>AM35+AM36</f>
        <v>19</v>
      </c>
      <c r="AN37" s="103"/>
      <c r="AO37" s="103"/>
      <c r="AP37" s="103"/>
      <c r="AQ37" s="103"/>
      <c r="AR37" s="103">
        <f>AR35+AR36</f>
        <v>23</v>
      </c>
      <c r="AS37" s="103"/>
      <c r="AT37" s="103"/>
      <c r="AU37" s="103"/>
      <c r="AV37" s="103"/>
      <c r="AW37" s="103">
        <f>AW35+AW36</f>
        <v>22</v>
      </c>
      <c r="AX37" s="103"/>
      <c r="AY37" s="103"/>
      <c r="AZ37" s="103"/>
      <c r="BA37" s="103"/>
      <c r="BB37" s="103">
        <f>BB35+BB36</f>
        <v>21</v>
      </c>
      <c r="BC37" s="103"/>
      <c r="BD37" s="103"/>
      <c r="BE37" s="103"/>
      <c r="BF37" s="103"/>
      <c r="BG37" s="103">
        <f>BG35+BG36</f>
        <v>26</v>
      </c>
      <c r="BH37" s="103"/>
      <c r="BI37" s="103"/>
      <c r="BJ37" s="103"/>
      <c r="BK37" s="103"/>
      <c r="BL37" s="103">
        <f>BL35+BL36</f>
        <v>0</v>
      </c>
      <c r="BM37" s="103"/>
      <c r="BN37" s="103"/>
      <c r="BO37" s="103"/>
      <c r="BP37" s="103"/>
      <c r="BQ37" s="103">
        <f>BQ35+BQ36</f>
        <v>0</v>
      </c>
      <c r="BR37" s="103"/>
      <c r="BS37" s="103"/>
      <c r="BT37" s="103"/>
      <c r="BU37" s="103"/>
      <c r="BV37" s="103">
        <f>BV35+BV36</f>
        <v>0</v>
      </c>
      <c r="BW37" s="103"/>
      <c r="BX37" s="103"/>
      <c r="BY37" s="103"/>
      <c r="BZ37" s="103"/>
      <c r="CA37" s="103">
        <f>CA35+CA36</f>
        <v>0</v>
      </c>
      <c r="CB37" s="103"/>
      <c r="CC37" s="103"/>
      <c r="CD37" s="103"/>
      <c r="CE37" s="103"/>
      <c r="CF37" s="103">
        <f>CF35+CF36</f>
        <v>0</v>
      </c>
      <c r="CG37" s="103"/>
      <c r="CH37" s="103"/>
      <c r="CI37" s="103"/>
      <c r="CJ37" s="103"/>
      <c r="CK37" s="103">
        <f>CK35+CK36</f>
        <v>0</v>
      </c>
      <c r="CL37" s="103"/>
      <c r="CM37" s="103"/>
      <c r="CN37" s="103"/>
      <c r="CO37" s="103"/>
      <c r="CP37" s="103">
        <f>CP35+CP36</f>
        <v>0</v>
      </c>
      <c r="CQ37" s="103"/>
      <c r="CR37" s="103"/>
      <c r="CS37" s="103"/>
      <c r="CT37" s="103"/>
      <c r="CU37" s="103">
        <f>CU35+CU36</f>
        <v>0</v>
      </c>
      <c r="CV37" s="103"/>
      <c r="CW37" s="103"/>
      <c r="CX37" s="103"/>
      <c r="CY37" s="103"/>
      <c r="CZ37" s="103">
        <f>CZ35+CZ36</f>
        <v>0</v>
      </c>
      <c r="DA37" s="103"/>
      <c r="DB37" s="103"/>
      <c r="DC37" s="103"/>
      <c r="DD37" s="103"/>
      <c r="DE37" s="103">
        <f>DE35+DE36</f>
        <v>0</v>
      </c>
      <c r="DF37" s="103"/>
      <c r="DG37" s="103"/>
      <c r="DH37" s="103"/>
      <c r="DI37" s="103"/>
      <c r="DJ37" s="103">
        <f>DJ35+DJ36</f>
        <v>0</v>
      </c>
      <c r="DK37" s="103"/>
      <c r="DL37" s="103"/>
      <c r="DM37" s="103"/>
      <c r="DN37" s="103"/>
      <c r="DO37" s="103">
        <f>DO35+DO36</f>
        <v>0</v>
      </c>
      <c r="DP37" s="103"/>
      <c r="DQ37" s="103"/>
      <c r="DR37" s="103"/>
      <c r="DS37" s="103"/>
      <c r="DT37" s="103">
        <f>DT35+DT36</f>
        <v>0</v>
      </c>
      <c r="DU37" s="103"/>
      <c r="DV37" s="103"/>
      <c r="DW37" s="103"/>
      <c r="DX37" s="103"/>
      <c r="DY37" s="103">
        <f>DY35+DY36</f>
        <v>0</v>
      </c>
      <c r="DZ37" s="103"/>
      <c r="EA37" s="103"/>
      <c r="EB37" s="103"/>
      <c r="EC37" s="103"/>
      <c r="ED37" s="103">
        <f>ED35+ED36</f>
        <v>0</v>
      </c>
      <c r="EE37" s="103"/>
      <c r="EF37" s="103"/>
      <c r="EG37" s="103"/>
      <c r="EH37" s="103"/>
      <c r="EI37" s="103">
        <f>EI35+EI36</f>
        <v>0</v>
      </c>
      <c r="EJ37" s="103"/>
      <c r="EK37" s="103"/>
      <c r="EL37" s="103"/>
      <c r="EM37" s="103"/>
      <c r="EN37" s="103">
        <f>EN35+EN36</f>
        <v>0</v>
      </c>
      <c r="EO37" s="103"/>
      <c r="EP37" s="103"/>
      <c r="EQ37" s="103"/>
      <c r="ER37" s="103"/>
      <c r="ES37" s="103">
        <f>ES35+ES36</f>
        <v>0</v>
      </c>
      <c r="ET37" s="103"/>
      <c r="EU37" s="103"/>
      <c r="EV37" s="103"/>
      <c r="EW37" s="103"/>
    </row>
    <row r="38" spans="1:153" ht="21.75" customHeight="1">
      <c r="A38" s="104" t="s">
        <v>123</v>
      </c>
      <c r="B38" s="104"/>
      <c r="C38" s="104"/>
      <c r="D38" s="105">
        <f>SUM(H4:H34)</f>
        <v>0</v>
      </c>
      <c r="E38" s="105"/>
      <c r="F38" s="105"/>
      <c r="G38" s="105"/>
      <c r="H38" s="105"/>
      <c r="I38" s="105">
        <f>SUM(M4:M34)</f>
        <v>0</v>
      </c>
      <c r="J38" s="105"/>
      <c r="K38" s="105"/>
      <c r="L38" s="105"/>
      <c r="M38" s="105"/>
      <c r="N38" s="105">
        <f>SUM(R4:R34)</f>
        <v>0</v>
      </c>
      <c r="O38" s="105"/>
      <c r="P38" s="105"/>
      <c r="Q38" s="105"/>
      <c r="R38" s="105"/>
      <c r="S38" s="105">
        <f>SUM(W4:W34)</f>
        <v>0</v>
      </c>
      <c r="T38" s="105"/>
      <c r="U38" s="105"/>
      <c r="V38" s="105"/>
      <c r="W38" s="105"/>
      <c r="X38" s="105">
        <f>SUM(AB4:AB34)</f>
        <v>0</v>
      </c>
      <c r="Y38" s="105"/>
      <c r="Z38" s="105"/>
      <c r="AA38" s="105"/>
      <c r="AB38" s="105"/>
      <c r="AC38" s="105">
        <f>SUM(AG4:AG34)</f>
        <v>0</v>
      </c>
      <c r="AD38" s="105"/>
      <c r="AE38" s="105"/>
      <c r="AF38" s="105"/>
      <c r="AG38" s="105"/>
      <c r="AH38" s="105">
        <f>SUM(AL4:AL34)</f>
        <v>0</v>
      </c>
      <c r="AI38" s="105"/>
      <c r="AJ38" s="105"/>
      <c r="AK38" s="105"/>
      <c r="AL38" s="105"/>
      <c r="AM38" s="105">
        <f>SUM(AQ4:AQ34)</f>
        <v>0</v>
      </c>
      <c r="AN38" s="105"/>
      <c r="AO38" s="105"/>
      <c r="AP38" s="105"/>
      <c r="AQ38" s="105"/>
      <c r="AR38" s="105">
        <f>SUM(AV4:AV34)</f>
        <v>0</v>
      </c>
      <c r="AS38" s="105"/>
      <c r="AT38" s="105"/>
      <c r="AU38" s="105"/>
      <c r="AV38" s="105"/>
      <c r="AW38" s="105">
        <f>SUM(BA4:BA34)</f>
        <v>0</v>
      </c>
      <c r="AX38" s="105"/>
      <c r="AY38" s="105"/>
      <c r="AZ38" s="105"/>
      <c r="BA38" s="105"/>
      <c r="BB38" s="105">
        <f>SUM(BF4:BF34)</f>
        <v>0</v>
      </c>
      <c r="BC38" s="105"/>
      <c r="BD38" s="105"/>
      <c r="BE38" s="105"/>
      <c r="BF38" s="105"/>
      <c r="BG38" s="105">
        <f>SUM(BK4:BK34)</f>
        <v>0</v>
      </c>
      <c r="BH38" s="105"/>
      <c r="BI38" s="105"/>
      <c r="BJ38" s="105"/>
      <c r="BK38" s="105"/>
      <c r="BL38" s="105">
        <f>SUM(BP4:BP34)</f>
        <v>0</v>
      </c>
      <c r="BM38" s="105"/>
      <c r="BN38" s="105"/>
      <c r="BO38" s="105"/>
      <c r="BP38" s="105"/>
      <c r="BQ38" s="105">
        <f>SUM(BU4:BU34)</f>
        <v>0</v>
      </c>
      <c r="BR38" s="105"/>
      <c r="BS38" s="105"/>
      <c r="BT38" s="105"/>
      <c r="BU38" s="105"/>
      <c r="BV38" s="105">
        <f>SUM(BZ4:BZ34)</f>
        <v>0</v>
      </c>
      <c r="BW38" s="105"/>
      <c r="BX38" s="105"/>
      <c r="BY38" s="105"/>
      <c r="BZ38" s="105"/>
      <c r="CA38" s="105">
        <f>SUM(CE4:CE34)</f>
        <v>0</v>
      </c>
      <c r="CB38" s="105"/>
      <c r="CC38" s="105"/>
      <c r="CD38" s="105"/>
      <c r="CE38" s="105"/>
      <c r="CF38" s="105">
        <f>SUM(CJ4:CJ34)</f>
        <v>0</v>
      </c>
      <c r="CG38" s="105"/>
      <c r="CH38" s="105"/>
      <c r="CI38" s="105"/>
      <c r="CJ38" s="105"/>
      <c r="CK38" s="105">
        <f>SUM(CO4:CO34)</f>
        <v>0</v>
      </c>
      <c r="CL38" s="105"/>
      <c r="CM38" s="105"/>
      <c r="CN38" s="105"/>
      <c r="CO38" s="105"/>
      <c r="CP38" s="105">
        <f>SUM(CT4:CT34)</f>
        <v>0</v>
      </c>
      <c r="CQ38" s="105"/>
      <c r="CR38" s="105"/>
      <c r="CS38" s="105"/>
      <c r="CT38" s="105"/>
      <c r="CU38" s="105">
        <f>SUM(CY4:CY34)</f>
        <v>0</v>
      </c>
      <c r="CV38" s="105"/>
      <c r="CW38" s="105"/>
      <c r="CX38" s="105"/>
      <c r="CY38" s="105"/>
      <c r="CZ38" s="105">
        <f>SUM(DD4:DD34)</f>
        <v>0</v>
      </c>
      <c r="DA38" s="105"/>
      <c r="DB38" s="105"/>
      <c r="DC38" s="105"/>
      <c r="DD38" s="105"/>
      <c r="DE38" s="105">
        <f>SUM(DI4:DI34)</f>
        <v>0</v>
      </c>
      <c r="DF38" s="105"/>
      <c r="DG38" s="105"/>
      <c r="DH38" s="105"/>
      <c r="DI38" s="105"/>
      <c r="DJ38" s="105">
        <f>SUM(DN4:DN34)</f>
        <v>0</v>
      </c>
      <c r="DK38" s="105"/>
      <c r="DL38" s="105"/>
      <c r="DM38" s="105"/>
      <c r="DN38" s="105"/>
      <c r="DO38" s="105">
        <f>SUM(DS4:DS34)</f>
        <v>0</v>
      </c>
      <c r="DP38" s="105"/>
      <c r="DQ38" s="105"/>
      <c r="DR38" s="105"/>
      <c r="DS38" s="105"/>
      <c r="DT38" s="105">
        <f>SUM(DX4:DX34)</f>
        <v>0</v>
      </c>
      <c r="DU38" s="105"/>
      <c r="DV38" s="105"/>
      <c r="DW38" s="105"/>
      <c r="DX38" s="105"/>
      <c r="DY38" s="105">
        <f>SUM(EC4:EC34)</f>
        <v>0</v>
      </c>
      <c r="DZ38" s="105"/>
      <c r="EA38" s="105"/>
      <c r="EB38" s="105"/>
      <c r="EC38" s="105"/>
      <c r="ED38" s="105">
        <f>SUM(EH4:EH34)</f>
        <v>0</v>
      </c>
      <c r="EE38" s="105"/>
      <c r="EF38" s="105"/>
      <c r="EG38" s="105"/>
      <c r="EH38" s="105"/>
      <c r="EI38" s="105">
        <f>SUM(EM4:EM34)</f>
        <v>0</v>
      </c>
      <c r="EJ38" s="105"/>
      <c r="EK38" s="105"/>
      <c r="EL38" s="105"/>
      <c r="EM38" s="105"/>
      <c r="EN38" s="105">
        <f>SUM(ER4:ER34)</f>
        <v>0</v>
      </c>
      <c r="EO38" s="105"/>
      <c r="EP38" s="105"/>
      <c r="EQ38" s="105"/>
      <c r="ER38" s="105"/>
      <c r="ES38" s="105">
        <f>SUM(EW4:EW34)</f>
        <v>0</v>
      </c>
      <c r="ET38" s="105"/>
      <c r="EU38" s="105"/>
      <c r="EV38" s="105"/>
      <c r="EW38" s="105"/>
    </row>
    <row r="39" spans="1:153" ht="21.75" customHeight="1">
      <c r="A39" s="106" t="s">
        <v>105</v>
      </c>
      <c r="B39" s="106"/>
      <c r="C39" s="106"/>
      <c r="D39" s="107">
        <f>COUNTIF(D4:D34,"有給")</f>
        <v>0</v>
      </c>
      <c r="E39" s="107"/>
      <c r="F39" s="107"/>
      <c r="G39" s="107"/>
      <c r="H39" s="107"/>
      <c r="I39" s="107">
        <f>COUNTIF(I4:I34,"有給")</f>
        <v>0</v>
      </c>
      <c r="J39" s="107"/>
      <c r="K39" s="107"/>
      <c r="L39" s="107"/>
      <c r="M39" s="107"/>
      <c r="N39" s="107">
        <f>COUNTIF(N4:N34,"有給")</f>
        <v>2</v>
      </c>
      <c r="O39" s="107"/>
      <c r="P39" s="107"/>
      <c r="Q39" s="107"/>
      <c r="R39" s="107"/>
      <c r="S39" s="107">
        <f>COUNTIF(S4:S34,"有給")</f>
        <v>0</v>
      </c>
      <c r="T39" s="107"/>
      <c r="U39" s="107"/>
      <c r="V39" s="107"/>
      <c r="W39" s="107"/>
      <c r="X39" s="107">
        <f>COUNTIF(X4:X34,"有給")</f>
        <v>1</v>
      </c>
      <c r="Y39" s="107"/>
      <c r="Z39" s="107"/>
      <c r="AA39" s="107"/>
      <c r="AB39" s="107"/>
      <c r="AC39" s="107">
        <f>COUNTIF(AC4:AC34,"有給")</f>
        <v>0</v>
      </c>
      <c r="AD39" s="107"/>
      <c r="AE39" s="107"/>
      <c r="AF39" s="107"/>
      <c r="AG39" s="107"/>
      <c r="AH39" s="107">
        <f>COUNTIF(AH4:AH34,"有給")</f>
        <v>0</v>
      </c>
      <c r="AI39" s="107"/>
      <c r="AJ39" s="107"/>
      <c r="AK39" s="107"/>
      <c r="AL39" s="107"/>
      <c r="AM39" s="107">
        <f>COUNTIF(AM4:AM34,"有給")</f>
        <v>0</v>
      </c>
      <c r="AN39" s="107"/>
      <c r="AO39" s="107"/>
      <c r="AP39" s="107"/>
      <c r="AQ39" s="107"/>
      <c r="AR39" s="107">
        <f>COUNTIF(AR4:AR34,"有給")</f>
        <v>0</v>
      </c>
      <c r="AS39" s="107"/>
      <c r="AT39" s="107"/>
      <c r="AU39" s="107"/>
      <c r="AV39" s="107"/>
      <c r="AW39" s="107">
        <f>COUNTIF(AW4:AW34,"有給")</f>
        <v>0</v>
      </c>
      <c r="AX39" s="107"/>
      <c r="AY39" s="107"/>
      <c r="AZ39" s="107"/>
      <c r="BA39" s="107"/>
      <c r="BB39" s="107">
        <f>COUNTIF(BB4:BB34,"有給")</f>
        <v>0</v>
      </c>
      <c r="BC39" s="107"/>
      <c r="BD39" s="107"/>
      <c r="BE39" s="107"/>
      <c r="BF39" s="107"/>
      <c r="BG39" s="107">
        <f>COUNTIF(BG4:BG34,"有給")</f>
        <v>8</v>
      </c>
      <c r="BH39" s="107"/>
      <c r="BI39" s="107"/>
      <c r="BJ39" s="107"/>
      <c r="BK39" s="107"/>
      <c r="BL39" s="107">
        <f>COUNTIF(BL4:BL34,"有給")</f>
        <v>0</v>
      </c>
      <c r="BM39" s="107"/>
      <c r="BN39" s="107"/>
      <c r="BO39" s="107"/>
      <c r="BP39" s="107"/>
      <c r="BQ39" s="107">
        <f>COUNTIF(BQ4:BQ34,"有給")</f>
        <v>0</v>
      </c>
      <c r="BR39" s="107"/>
      <c r="BS39" s="107"/>
      <c r="BT39" s="107"/>
      <c r="BU39" s="107"/>
      <c r="BV39" s="107">
        <f>COUNTIF(BV4:BV34,"有給")</f>
        <v>0</v>
      </c>
      <c r="BW39" s="107"/>
      <c r="BX39" s="107"/>
      <c r="BY39" s="107"/>
      <c r="BZ39" s="107"/>
      <c r="CA39" s="107">
        <f>COUNTIF(CA4:CA34,"有給")</f>
        <v>0</v>
      </c>
      <c r="CB39" s="107"/>
      <c r="CC39" s="107"/>
      <c r="CD39" s="107"/>
      <c r="CE39" s="107"/>
      <c r="CF39" s="107">
        <f>COUNTIF(CF4:CF34,"有給")</f>
        <v>0</v>
      </c>
      <c r="CG39" s="107"/>
      <c r="CH39" s="107"/>
      <c r="CI39" s="107"/>
      <c r="CJ39" s="107"/>
      <c r="CK39" s="107">
        <f>COUNTIF(CK4:CK34,"有給")</f>
        <v>0</v>
      </c>
      <c r="CL39" s="107"/>
      <c r="CM39" s="107"/>
      <c r="CN39" s="107"/>
      <c r="CO39" s="107"/>
      <c r="CP39" s="107">
        <f>COUNTIF(CP4:CP34,"有給")</f>
        <v>0</v>
      </c>
      <c r="CQ39" s="107"/>
      <c r="CR39" s="107"/>
      <c r="CS39" s="107"/>
      <c r="CT39" s="107"/>
      <c r="CU39" s="107">
        <f>COUNTIF(CU4:CU34,"有給")</f>
        <v>0</v>
      </c>
      <c r="CV39" s="107"/>
      <c r="CW39" s="107"/>
      <c r="CX39" s="107"/>
      <c r="CY39" s="107"/>
      <c r="CZ39" s="107">
        <f>COUNTIF(CZ4:CZ34,"有給")</f>
        <v>0</v>
      </c>
      <c r="DA39" s="107"/>
      <c r="DB39" s="107"/>
      <c r="DC39" s="107"/>
      <c r="DD39" s="107"/>
      <c r="DE39" s="107">
        <f>COUNTIF(DE4:DE34,"有給")</f>
        <v>0</v>
      </c>
      <c r="DF39" s="107"/>
      <c r="DG39" s="107"/>
      <c r="DH39" s="107"/>
      <c r="DI39" s="107"/>
      <c r="DJ39" s="107">
        <f>COUNTIF(DJ4:DJ34,"有給")</f>
        <v>0</v>
      </c>
      <c r="DK39" s="107"/>
      <c r="DL39" s="107"/>
      <c r="DM39" s="107"/>
      <c r="DN39" s="107"/>
      <c r="DO39" s="107">
        <f>COUNTIF(DO4:DO34,"有給")</f>
        <v>0</v>
      </c>
      <c r="DP39" s="107"/>
      <c r="DQ39" s="107"/>
      <c r="DR39" s="107"/>
      <c r="DS39" s="107"/>
      <c r="DT39" s="107">
        <f>COUNTIF(DT4:DT34,"有給")</f>
        <v>0</v>
      </c>
      <c r="DU39" s="107"/>
      <c r="DV39" s="107"/>
      <c r="DW39" s="107"/>
      <c r="DX39" s="107"/>
      <c r="DY39" s="107">
        <f>COUNTIF(DY4:DY34,"有給")</f>
        <v>0</v>
      </c>
      <c r="DZ39" s="107"/>
      <c r="EA39" s="107"/>
      <c r="EB39" s="107"/>
      <c r="EC39" s="107"/>
      <c r="ED39" s="107">
        <f>COUNTIF(ED4:ED34,"有給")</f>
        <v>0</v>
      </c>
      <c r="EE39" s="107"/>
      <c r="EF39" s="107"/>
      <c r="EG39" s="107"/>
      <c r="EH39" s="107"/>
      <c r="EI39" s="107">
        <f>COUNTIF(EI4:EI34,"有給")</f>
        <v>0</v>
      </c>
      <c r="EJ39" s="107"/>
      <c r="EK39" s="107"/>
      <c r="EL39" s="107"/>
      <c r="EM39" s="107"/>
      <c r="EN39" s="107">
        <f>COUNTIF(EN4:EN34,"有給")</f>
        <v>0</v>
      </c>
      <c r="EO39" s="107"/>
      <c r="EP39" s="107"/>
      <c r="EQ39" s="107"/>
      <c r="ER39" s="107"/>
      <c r="ES39" s="107">
        <f>COUNTIF(ES4:ES34,"有給")</f>
        <v>0</v>
      </c>
      <c r="ET39" s="107"/>
      <c r="EU39" s="107"/>
      <c r="EV39" s="107"/>
      <c r="EW39" s="107"/>
    </row>
    <row r="40" spans="1:153" ht="21.75" customHeight="1">
      <c r="A40" s="108" t="s">
        <v>106</v>
      </c>
      <c r="B40" s="108"/>
      <c r="C40" s="108"/>
      <c r="D40" s="109">
        <f>COUNTIF(D4:D34,"休業")</f>
        <v>0</v>
      </c>
      <c r="E40" s="109"/>
      <c r="F40" s="109"/>
      <c r="G40" s="109"/>
      <c r="H40" s="109"/>
      <c r="I40" s="109">
        <f>COUNTIF(I4:I34,"休業")</f>
        <v>0</v>
      </c>
      <c r="J40" s="109"/>
      <c r="K40" s="109"/>
      <c r="L40" s="109"/>
      <c r="M40" s="109"/>
      <c r="N40" s="109">
        <f>COUNTIF(N4:N34,"休業")</f>
        <v>0</v>
      </c>
      <c r="O40" s="109"/>
      <c r="P40" s="109"/>
      <c r="Q40" s="109"/>
      <c r="R40" s="109"/>
      <c r="S40" s="109">
        <f>COUNTIF(S4:S34,"休業")</f>
        <v>0</v>
      </c>
      <c r="T40" s="109"/>
      <c r="U40" s="109"/>
      <c r="V40" s="109"/>
      <c r="W40" s="109"/>
      <c r="X40" s="109">
        <f>COUNTIF(X4:X34,"休業")</f>
        <v>0</v>
      </c>
      <c r="Y40" s="109"/>
      <c r="Z40" s="109"/>
      <c r="AA40" s="109"/>
      <c r="AB40" s="109"/>
      <c r="AC40" s="109">
        <f>COUNTIF(AC4:AC34,"休業")</f>
        <v>0</v>
      </c>
      <c r="AD40" s="109"/>
      <c r="AE40" s="109"/>
      <c r="AF40" s="109"/>
      <c r="AG40" s="109"/>
      <c r="AH40" s="109">
        <f>COUNTIF(AH4:AH34,"休業")</f>
        <v>0</v>
      </c>
      <c r="AI40" s="109"/>
      <c r="AJ40" s="109"/>
      <c r="AK40" s="109"/>
      <c r="AL40" s="109"/>
      <c r="AM40" s="109">
        <f>COUNTIF(AM4:AM34,"休業")</f>
        <v>0</v>
      </c>
      <c r="AN40" s="109"/>
      <c r="AO40" s="109"/>
      <c r="AP40" s="109"/>
      <c r="AQ40" s="109"/>
      <c r="AR40" s="109">
        <f>COUNTIF(AR4:AR34,"休業")</f>
        <v>0</v>
      </c>
      <c r="AS40" s="109"/>
      <c r="AT40" s="109"/>
      <c r="AU40" s="109"/>
      <c r="AV40" s="109"/>
      <c r="AW40" s="109">
        <f>COUNTIF(AW4:AW34,"休業")</f>
        <v>0</v>
      </c>
      <c r="AX40" s="109"/>
      <c r="AY40" s="109"/>
      <c r="AZ40" s="109"/>
      <c r="BA40" s="109"/>
      <c r="BB40" s="109">
        <f>COUNTIF(BB4:BB34,"休業")</f>
        <v>0</v>
      </c>
      <c r="BC40" s="109"/>
      <c r="BD40" s="109"/>
      <c r="BE40" s="109"/>
      <c r="BF40" s="109"/>
      <c r="BG40" s="109">
        <f>COUNTIF(BG4:BG34,"休業")</f>
        <v>0</v>
      </c>
      <c r="BH40" s="109"/>
      <c r="BI40" s="109"/>
      <c r="BJ40" s="109"/>
      <c r="BK40" s="109"/>
      <c r="BL40" s="109">
        <f>COUNTIF(BL4:BL34,"休業")</f>
        <v>0</v>
      </c>
      <c r="BM40" s="109"/>
      <c r="BN40" s="109"/>
      <c r="BO40" s="109"/>
      <c r="BP40" s="109"/>
      <c r="BQ40" s="109">
        <f>COUNTIF(BQ4:BQ34,"休業")</f>
        <v>0</v>
      </c>
      <c r="BR40" s="109"/>
      <c r="BS40" s="109"/>
      <c r="BT40" s="109"/>
      <c r="BU40" s="109"/>
      <c r="BV40" s="109">
        <f>COUNTIF(BV4:BV34,"休業")</f>
        <v>0</v>
      </c>
      <c r="BW40" s="109"/>
      <c r="BX40" s="109"/>
      <c r="BY40" s="109"/>
      <c r="BZ40" s="109"/>
      <c r="CA40" s="109">
        <f>COUNTIF(CA4:CA34,"休業")</f>
        <v>0</v>
      </c>
      <c r="CB40" s="109"/>
      <c r="CC40" s="109"/>
      <c r="CD40" s="109"/>
      <c r="CE40" s="109"/>
      <c r="CF40" s="109">
        <f>COUNTIF(CF4:CF34,"休業")</f>
        <v>0</v>
      </c>
      <c r="CG40" s="109"/>
      <c r="CH40" s="109"/>
      <c r="CI40" s="109"/>
      <c r="CJ40" s="109"/>
      <c r="CK40" s="109">
        <f>COUNTIF(CK4:CK34,"休業")</f>
        <v>0</v>
      </c>
      <c r="CL40" s="109"/>
      <c r="CM40" s="109"/>
      <c r="CN40" s="109"/>
      <c r="CO40" s="109"/>
      <c r="CP40" s="109">
        <f>COUNTIF(CP4:CP34,"休業")</f>
        <v>0</v>
      </c>
      <c r="CQ40" s="109"/>
      <c r="CR40" s="109"/>
      <c r="CS40" s="109"/>
      <c r="CT40" s="109"/>
      <c r="CU40" s="109">
        <f>COUNTIF(CU4:CU34,"休業")</f>
        <v>0</v>
      </c>
      <c r="CV40" s="109"/>
      <c r="CW40" s="109"/>
      <c r="CX40" s="109"/>
      <c r="CY40" s="109"/>
      <c r="CZ40" s="109">
        <f>COUNTIF(CZ4:CZ34,"休業")</f>
        <v>0</v>
      </c>
      <c r="DA40" s="109"/>
      <c r="DB40" s="109"/>
      <c r="DC40" s="109"/>
      <c r="DD40" s="109"/>
      <c r="DE40" s="109">
        <f>COUNTIF(DE4:DE34,"休業")</f>
        <v>0</v>
      </c>
      <c r="DF40" s="109"/>
      <c r="DG40" s="109"/>
      <c r="DH40" s="109"/>
      <c r="DI40" s="109"/>
      <c r="DJ40" s="109">
        <f>COUNTIF(DJ4:DJ34,"休業")</f>
        <v>0</v>
      </c>
      <c r="DK40" s="109"/>
      <c r="DL40" s="109"/>
      <c r="DM40" s="109"/>
      <c r="DN40" s="109"/>
      <c r="DO40" s="109">
        <f>COUNTIF(DO4:DO34,"休業")</f>
        <v>0</v>
      </c>
      <c r="DP40" s="109"/>
      <c r="DQ40" s="109"/>
      <c r="DR40" s="109"/>
      <c r="DS40" s="109"/>
      <c r="DT40" s="109">
        <f>COUNTIF(DT4:DT34,"休業")</f>
        <v>0</v>
      </c>
      <c r="DU40" s="109"/>
      <c r="DV40" s="109"/>
      <c r="DW40" s="109"/>
      <c r="DX40" s="109"/>
      <c r="DY40" s="109">
        <f>COUNTIF(DY4:DY34,"休業")</f>
        <v>0</v>
      </c>
      <c r="DZ40" s="109"/>
      <c r="EA40" s="109"/>
      <c r="EB40" s="109"/>
      <c r="EC40" s="109"/>
      <c r="ED40" s="109">
        <f>COUNTIF(ED4:ED34,"休業")</f>
        <v>0</v>
      </c>
      <c r="EE40" s="109"/>
      <c r="EF40" s="109"/>
      <c r="EG40" s="109"/>
      <c r="EH40" s="109"/>
      <c r="EI40" s="109">
        <f>COUNTIF(EI4:EI34,"休業")</f>
        <v>0</v>
      </c>
      <c r="EJ40" s="109"/>
      <c r="EK40" s="109"/>
      <c r="EL40" s="109"/>
      <c r="EM40" s="109"/>
      <c r="EN40" s="109">
        <f>COUNTIF(EN4:EN34,"休業")</f>
        <v>0</v>
      </c>
      <c r="EO40" s="109"/>
      <c r="EP40" s="109"/>
      <c r="EQ40" s="109"/>
      <c r="ER40" s="109"/>
      <c r="ES40" s="109">
        <f>COUNTIF(ES4:ES34,"休業")</f>
        <v>0</v>
      </c>
      <c r="ET40" s="109"/>
      <c r="EU40" s="109"/>
      <c r="EV40" s="109"/>
      <c r="EW40" s="109"/>
    </row>
  </sheetData>
  <mergeCells count="217">
    <mergeCell ref="ED40:EH40"/>
    <mergeCell ref="EI40:EM40"/>
    <mergeCell ref="EN40:ER40"/>
    <mergeCell ref="ES40:EW40"/>
    <mergeCell ref="CK40:CO40"/>
    <mergeCell ref="CP40:CT40"/>
    <mergeCell ref="CU40:CY40"/>
    <mergeCell ref="CZ40:DD40"/>
    <mergeCell ref="DE40:DI40"/>
    <mergeCell ref="DJ40:DN40"/>
    <mergeCell ref="DO40:DS40"/>
    <mergeCell ref="DT40:DX40"/>
    <mergeCell ref="DY40:EC40"/>
    <mergeCell ref="DT39:DX39"/>
    <mergeCell ref="DY39:EC39"/>
    <mergeCell ref="ED39:EH39"/>
    <mergeCell ref="EI39:EM39"/>
    <mergeCell ref="EN39:ER39"/>
    <mergeCell ref="ES39:EW39"/>
    <mergeCell ref="A40:C40"/>
    <mergeCell ref="D40:H40"/>
    <mergeCell ref="I40:M40"/>
    <mergeCell ref="N40:R40"/>
    <mergeCell ref="S40:W40"/>
    <mergeCell ref="X40:AB40"/>
    <mergeCell ref="AC40:AG40"/>
    <mergeCell ref="AH40:AL40"/>
    <mergeCell ref="AM40:AQ40"/>
    <mergeCell ref="AR40:AV40"/>
    <mergeCell ref="AW40:BA40"/>
    <mergeCell ref="BB40:BF40"/>
    <mergeCell ref="BG40:BK40"/>
    <mergeCell ref="BL40:BP40"/>
    <mergeCell ref="BQ40:BU40"/>
    <mergeCell ref="BV40:BZ40"/>
    <mergeCell ref="CA40:CE40"/>
    <mergeCell ref="CF40:CJ40"/>
    <mergeCell ref="CA39:CE39"/>
    <mergeCell ref="CF39:CJ39"/>
    <mergeCell ref="CK39:CO39"/>
    <mergeCell ref="CP39:CT39"/>
    <mergeCell ref="CU39:CY39"/>
    <mergeCell ref="CZ39:DD39"/>
    <mergeCell ref="DE39:DI39"/>
    <mergeCell ref="DJ39:DN39"/>
    <mergeCell ref="DO39:DS39"/>
    <mergeCell ref="DJ38:DN38"/>
    <mergeCell ref="DO38:DS38"/>
    <mergeCell ref="DT38:DX38"/>
    <mergeCell ref="DY38:EC38"/>
    <mergeCell ref="ED38:EH38"/>
    <mergeCell ref="EI38:EM38"/>
    <mergeCell ref="EN38:ER38"/>
    <mergeCell ref="ES38:EW38"/>
    <mergeCell ref="A39:C39"/>
    <mergeCell ref="D39:H39"/>
    <mergeCell ref="I39:M39"/>
    <mergeCell ref="N39:R39"/>
    <mergeCell ref="S39:W39"/>
    <mergeCell ref="X39:AB39"/>
    <mergeCell ref="AC39:AG39"/>
    <mergeCell ref="AH39:AL39"/>
    <mergeCell ref="AM39:AQ39"/>
    <mergeCell ref="AR39:AV39"/>
    <mergeCell ref="AW39:BA39"/>
    <mergeCell ref="BB39:BF39"/>
    <mergeCell ref="BG39:BK39"/>
    <mergeCell ref="BL39:BP39"/>
    <mergeCell ref="BQ39:BU39"/>
    <mergeCell ref="BV39:BZ39"/>
    <mergeCell ref="ES37:EW37"/>
    <mergeCell ref="A38:C38"/>
    <mergeCell ref="D38:H38"/>
    <mergeCell ref="I38:M38"/>
    <mergeCell ref="N38:R38"/>
    <mergeCell ref="S38:W38"/>
    <mergeCell ref="X38:AB38"/>
    <mergeCell ref="AC38:AG38"/>
    <mergeCell ref="AH38:AL38"/>
    <mergeCell ref="AM38:AQ38"/>
    <mergeCell ref="AR38:AV38"/>
    <mergeCell ref="AW38:BA38"/>
    <mergeCell ref="BB38:BF38"/>
    <mergeCell ref="BG38:BK38"/>
    <mergeCell ref="BL38:BP38"/>
    <mergeCell ref="BQ38:BU38"/>
    <mergeCell ref="BV38:BZ38"/>
    <mergeCell ref="CA38:CE38"/>
    <mergeCell ref="CF38:CJ38"/>
    <mergeCell ref="CK38:CO38"/>
    <mergeCell ref="CP38:CT38"/>
    <mergeCell ref="CU38:CY38"/>
    <mergeCell ref="CZ38:DD38"/>
    <mergeCell ref="DE38:DI38"/>
    <mergeCell ref="CZ37:DD37"/>
    <mergeCell ref="DE37:DI37"/>
    <mergeCell ref="DJ37:DN37"/>
    <mergeCell ref="DO37:DS37"/>
    <mergeCell ref="DT37:DX37"/>
    <mergeCell ref="DY37:EC37"/>
    <mergeCell ref="ED37:EH37"/>
    <mergeCell ref="EI37:EM37"/>
    <mergeCell ref="EN37:ER37"/>
    <mergeCell ref="EI36:EM36"/>
    <mergeCell ref="EN36:ER36"/>
    <mergeCell ref="ES36:EW36"/>
    <mergeCell ref="A37:C37"/>
    <mergeCell ref="D37:H37"/>
    <mergeCell ref="I37:M37"/>
    <mergeCell ref="N37:R37"/>
    <mergeCell ref="S37:W37"/>
    <mergeCell ref="X37:AB37"/>
    <mergeCell ref="AC37:AG37"/>
    <mergeCell ref="AH37:AL37"/>
    <mergeCell ref="AM37:AQ37"/>
    <mergeCell ref="AR37:AV37"/>
    <mergeCell ref="AW37:BA37"/>
    <mergeCell ref="BB37:BF37"/>
    <mergeCell ref="BG37:BK37"/>
    <mergeCell ref="BL37:BP37"/>
    <mergeCell ref="BQ37:BU37"/>
    <mergeCell ref="BV37:BZ37"/>
    <mergeCell ref="CA37:CE37"/>
    <mergeCell ref="CF37:CJ37"/>
    <mergeCell ref="CK37:CO37"/>
    <mergeCell ref="CP37:CT37"/>
    <mergeCell ref="CU37:CY37"/>
    <mergeCell ref="CP36:CT36"/>
    <mergeCell ref="CU36:CY36"/>
    <mergeCell ref="CZ36:DD36"/>
    <mergeCell ref="DE36:DI36"/>
    <mergeCell ref="DJ36:DN36"/>
    <mergeCell ref="DO36:DS36"/>
    <mergeCell ref="DT36:DX36"/>
    <mergeCell ref="DY36:EC36"/>
    <mergeCell ref="ED36:EH36"/>
    <mergeCell ref="DY35:EC35"/>
    <mergeCell ref="ED35:EH35"/>
    <mergeCell ref="EI35:EM35"/>
    <mergeCell ref="EN35:ER35"/>
    <mergeCell ref="ES35:EW35"/>
    <mergeCell ref="A36:C36"/>
    <mergeCell ref="D36:H36"/>
    <mergeCell ref="I36:M36"/>
    <mergeCell ref="N36:R36"/>
    <mergeCell ref="S36:W36"/>
    <mergeCell ref="X36:AB36"/>
    <mergeCell ref="AC36:AG36"/>
    <mergeCell ref="AH36:AL36"/>
    <mergeCell ref="AM36:AQ36"/>
    <mergeCell ref="AR36:AV36"/>
    <mergeCell ref="AW36:BA36"/>
    <mergeCell ref="BB36:BF36"/>
    <mergeCell ref="BG36:BK36"/>
    <mergeCell ref="BL36:BP36"/>
    <mergeCell ref="BQ36:BU36"/>
    <mergeCell ref="BV36:BZ36"/>
    <mergeCell ref="CA36:CE36"/>
    <mergeCell ref="CF36:CJ36"/>
    <mergeCell ref="CK36:CO36"/>
    <mergeCell ref="CF35:CJ35"/>
    <mergeCell ref="CK35:CO35"/>
    <mergeCell ref="CP35:CT35"/>
    <mergeCell ref="CU35:CY35"/>
    <mergeCell ref="CZ35:DD35"/>
    <mergeCell ref="DE35:DI35"/>
    <mergeCell ref="DJ35:DN35"/>
    <mergeCell ref="DO35:DS35"/>
    <mergeCell ref="DT35:DX35"/>
    <mergeCell ref="DO2:DS2"/>
    <mergeCell ref="DT2:DX2"/>
    <mergeCell ref="DY2:EC2"/>
    <mergeCell ref="ED2:EH2"/>
    <mergeCell ref="EI2:EM2"/>
    <mergeCell ref="EN2:ER2"/>
    <mergeCell ref="ES2:EW2"/>
    <mergeCell ref="A35:C35"/>
    <mergeCell ref="D35:H35"/>
    <mergeCell ref="I35:M35"/>
    <mergeCell ref="N35:R35"/>
    <mergeCell ref="S35:W35"/>
    <mergeCell ref="X35:AB35"/>
    <mergeCell ref="AC35:AG35"/>
    <mergeCell ref="AH35:AL35"/>
    <mergeCell ref="AM35:AQ35"/>
    <mergeCell ref="AR35:AV35"/>
    <mergeCell ref="AW35:BA35"/>
    <mergeCell ref="BB35:BF35"/>
    <mergeCell ref="BG35:BK35"/>
    <mergeCell ref="BL35:BP35"/>
    <mergeCell ref="BQ35:BU35"/>
    <mergeCell ref="BV35:BZ35"/>
    <mergeCell ref="CA35:CE35"/>
    <mergeCell ref="A1:EW1"/>
    <mergeCell ref="D2:H2"/>
    <mergeCell ref="I2:M2"/>
    <mergeCell ref="N2:R2"/>
    <mergeCell ref="S2:W2"/>
    <mergeCell ref="X2:AB2"/>
    <mergeCell ref="AC2:AG2"/>
    <mergeCell ref="AH2:AL2"/>
    <mergeCell ref="AM2:AQ2"/>
    <mergeCell ref="AR2:AV2"/>
    <mergeCell ref="AW2:BA2"/>
    <mergeCell ref="BB2:BF2"/>
    <mergeCell ref="BG2:BK2"/>
    <mergeCell ref="BL2:BP2"/>
    <mergeCell ref="BQ2:BU2"/>
    <mergeCell ref="BV2:BZ2"/>
    <mergeCell ref="CA2:CE2"/>
    <mergeCell ref="CF2:CJ2"/>
    <mergeCell ref="CK2:CO2"/>
    <mergeCell ref="CP2:CT2"/>
    <mergeCell ref="CU2:CY2"/>
    <mergeCell ref="CZ2:DD2"/>
    <mergeCell ref="DE2:DI2"/>
    <mergeCell ref="DJ2:DN2"/>
  </mergeCells>
  <phoneticPr fontId="51"/>
  <conditionalFormatting sqref="A4:EW34">
    <cfRule type="expression" dxfId="694" priority="63">
      <formula>$B4="日"</formula>
    </cfRule>
    <cfRule type="expression" dxfId="693" priority="64">
      <formula>$B4="土"</formula>
    </cfRule>
    <cfRule type="expression" dxfId="692" priority="62">
      <formula>AND($A4&lt;&gt;"",ISNUMBER(MATCH(DATE(対象年度,3,$A4),祝日リスト,0)))</formula>
    </cfRule>
  </conditionalFormatting>
  <conditionalFormatting sqref="D4:D34">
    <cfRule type="expression" dxfId="691" priority="3">
      <formula>$D4="休業"</formula>
    </cfRule>
    <cfRule type="expression" dxfId="690" priority="2">
      <formula>$D4="有給"</formula>
    </cfRule>
  </conditionalFormatting>
  <conditionalFormatting sqref="I4:I34">
    <cfRule type="expression" dxfId="689" priority="4">
      <formula>$I4="有給"</formula>
    </cfRule>
    <cfRule type="expression" dxfId="688" priority="5">
      <formula>$I4="休業"</formula>
    </cfRule>
  </conditionalFormatting>
  <conditionalFormatting sqref="N4:N34">
    <cfRule type="expression" dxfId="687" priority="6">
      <formula>$N4="有給"</formula>
    </cfRule>
    <cfRule type="expression" dxfId="686" priority="7">
      <formula>$N4="休業"</formula>
    </cfRule>
  </conditionalFormatting>
  <conditionalFormatting sqref="S4:S34">
    <cfRule type="expression" dxfId="685" priority="8">
      <formula>$S4="有給"</formula>
    </cfRule>
    <cfRule type="expression" dxfId="684" priority="9">
      <formula>$S4="休業"</formula>
    </cfRule>
  </conditionalFormatting>
  <conditionalFormatting sqref="X4:X34">
    <cfRule type="expression" dxfId="683" priority="10">
      <formula>$X4="有給"</formula>
    </cfRule>
    <cfRule type="expression" dxfId="682" priority="11">
      <formula>$X4="休業"</formula>
    </cfRule>
  </conditionalFormatting>
  <conditionalFormatting sqref="AC4:AC34">
    <cfRule type="expression" dxfId="681" priority="12">
      <formula>$AC4="有給"</formula>
    </cfRule>
    <cfRule type="expression" dxfId="680" priority="13">
      <formula>$AC4="休業"</formula>
    </cfRule>
  </conditionalFormatting>
  <conditionalFormatting sqref="AH4:AH34">
    <cfRule type="expression" dxfId="679" priority="14">
      <formula>$AH4="有給"</formula>
    </cfRule>
    <cfRule type="expression" dxfId="678" priority="15">
      <formula>$AH4="休業"</formula>
    </cfRule>
  </conditionalFormatting>
  <conditionalFormatting sqref="AM4:AM34">
    <cfRule type="expression" dxfId="677" priority="17">
      <formula>$AM4="休業"</formula>
    </cfRule>
    <cfRule type="expression" dxfId="676" priority="16">
      <formula>$AM4="有給"</formula>
    </cfRule>
  </conditionalFormatting>
  <conditionalFormatting sqref="AR4:AR34">
    <cfRule type="expression" dxfId="675" priority="19">
      <formula>$AR4="休業"</formula>
    </cfRule>
    <cfRule type="expression" dxfId="674" priority="18">
      <formula>$AR4="有給"</formula>
    </cfRule>
  </conditionalFormatting>
  <conditionalFormatting sqref="AW4:AW34">
    <cfRule type="expression" dxfId="673" priority="20">
      <formula>$AW4="有給"</formula>
    </cfRule>
    <cfRule type="expression" dxfId="672" priority="21">
      <formula>$AW4="休業"</formula>
    </cfRule>
  </conditionalFormatting>
  <conditionalFormatting sqref="BB4:BB34">
    <cfRule type="expression" dxfId="671" priority="22">
      <formula>$BB4="有給"</formula>
    </cfRule>
    <cfRule type="expression" dxfId="670" priority="23">
      <formula>$BB4="休業"</formula>
    </cfRule>
  </conditionalFormatting>
  <conditionalFormatting sqref="BG4:BG34">
    <cfRule type="expression" dxfId="669" priority="24">
      <formula>$BG4="有給"</formula>
    </cfRule>
    <cfRule type="expression" dxfId="668" priority="25">
      <formula>$BG4="休業"</formula>
    </cfRule>
  </conditionalFormatting>
  <conditionalFormatting sqref="BL4:BL34">
    <cfRule type="expression" dxfId="667" priority="26">
      <formula>$BL4="有給"</formula>
    </cfRule>
    <cfRule type="expression" dxfId="666" priority="27">
      <formula>$BL4="休業"</formula>
    </cfRule>
  </conditionalFormatting>
  <conditionalFormatting sqref="BQ4:BQ34">
    <cfRule type="expression" dxfId="665" priority="28">
      <formula>$BQ4="有給"</formula>
    </cfRule>
    <cfRule type="expression" dxfId="664" priority="29">
      <formula>$BQ4="休業"</formula>
    </cfRule>
  </conditionalFormatting>
  <conditionalFormatting sqref="BV4:BV34">
    <cfRule type="expression" dxfId="663" priority="30">
      <formula>$BV4="有給"</formula>
    </cfRule>
    <cfRule type="expression" dxfId="662" priority="31">
      <formula>$BV4="休業"</formula>
    </cfRule>
  </conditionalFormatting>
  <conditionalFormatting sqref="CA4:CA34">
    <cfRule type="expression" dxfId="661" priority="33">
      <formula>$CA4="休業"</formula>
    </cfRule>
    <cfRule type="expression" dxfId="660" priority="32">
      <formula>$CA4="有給"</formula>
    </cfRule>
  </conditionalFormatting>
  <conditionalFormatting sqref="CF4:CF34">
    <cfRule type="expression" dxfId="659" priority="34">
      <formula>$CF4="有給"</formula>
    </cfRule>
    <cfRule type="expression" dxfId="658" priority="35">
      <formula>$CF4="休業"</formula>
    </cfRule>
  </conditionalFormatting>
  <conditionalFormatting sqref="CK4:CK34">
    <cfRule type="expression" dxfId="657" priority="37">
      <formula>$CK4="休業"</formula>
    </cfRule>
    <cfRule type="expression" dxfId="656" priority="36">
      <formula>$CK4="有給"</formula>
    </cfRule>
  </conditionalFormatting>
  <conditionalFormatting sqref="CP4:CP34">
    <cfRule type="expression" dxfId="655" priority="38">
      <formula>$CP4="有給"</formula>
    </cfRule>
    <cfRule type="expression" dxfId="654" priority="39">
      <formula>$CP4="休業"</formula>
    </cfRule>
  </conditionalFormatting>
  <conditionalFormatting sqref="CU4:CU34">
    <cfRule type="expression" dxfId="653" priority="40">
      <formula>$CU4="有給"</formula>
    </cfRule>
    <cfRule type="expression" dxfId="652" priority="41">
      <formula>$CU4="休業"</formula>
    </cfRule>
  </conditionalFormatting>
  <conditionalFormatting sqref="CZ4:CZ34">
    <cfRule type="expression" dxfId="651" priority="42">
      <formula>$CZ4="有給"</formula>
    </cfRule>
    <cfRule type="expression" dxfId="650" priority="43">
      <formula>$CZ4="休業"</formula>
    </cfRule>
  </conditionalFormatting>
  <conditionalFormatting sqref="DE4:DE34">
    <cfRule type="expression" dxfId="649" priority="44">
      <formula>$DE4="有給"</formula>
    </cfRule>
    <cfRule type="expression" dxfId="648" priority="45">
      <formula>$DE4="休業"</formula>
    </cfRule>
  </conditionalFormatting>
  <conditionalFormatting sqref="DJ4:DJ34">
    <cfRule type="expression" dxfId="647" priority="46">
      <formula>$DJ4="有給"</formula>
    </cfRule>
    <cfRule type="expression" dxfId="646" priority="47">
      <formula>$DJ4="休業"</formula>
    </cfRule>
  </conditionalFormatting>
  <conditionalFormatting sqref="DO4:DO34">
    <cfRule type="expression" dxfId="645" priority="48">
      <formula>$DO4="有給"</formula>
    </cfRule>
    <cfRule type="expression" dxfId="644" priority="49">
      <formula>$DO4="休業"</formula>
    </cfRule>
  </conditionalFormatting>
  <conditionalFormatting sqref="DT4:DT34">
    <cfRule type="expression" dxfId="643" priority="51">
      <formula>$DT4="休業"</formula>
    </cfRule>
    <cfRule type="expression" dxfId="642" priority="50">
      <formula>$DT4="有給"</formula>
    </cfRule>
  </conditionalFormatting>
  <conditionalFormatting sqref="DY4:DY34">
    <cfRule type="expression" dxfId="641" priority="52">
      <formula>$DY4="有給"</formula>
    </cfRule>
    <cfRule type="expression" dxfId="640" priority="53">
      <formula>$DY4="休業"</formula>
    </cfRule>
  </conditionalFormatting>
  <conditionalFormatting sqref="ED4:ED34">
    <cfRule type="expression" dxfId="639" priority="54">
      <formula>$ED4="有給"</formula>
    </cfRule>
    <cfRule type="expression" dxfId="638" priority="55">
      <formula>$ED4="休業"</formula>
    </cfRule>
  </conditionalFormatting>
  <conditionalFormatting sqref="EI4:EI34">
    <cfRule type="expression" dxfId="637" priority="56">
      <formula>$EI4="有給"</formula>
    </cfRule>
    <cfRule type="expression" dxfId="636" priority="57">
      <formula>$EI4="休業"</formula>
    </cfRule>
  </conditionalFormatting>
  <conditionalFormatting sqref="EN4:EN34">
    <cfRule type="expression" dxfId="635" priority="58">
      <formula>$EN4="有給"</formula>
    </cfRule>
    <cfRule type="expression" dxfId="634" priority="59">
      <formula>$EN4="休業"</formula>
    </cfRule>
  </conditionalFormatting>
  <conditionalFormatting sqref="ES4:ES34">
    <cfRule type="expression" dxfId="633" priority="60">
      <formula>$ES4="有給"</formula>
    </cfRule>
    <cfRule type="expression" dxfId="632" priority="61">
      <formula>$ES4="休業"</formula>
    </cfRule>
  </conditionalFormatting>
  <pageMargins left="0.31496062992125984" right="0.31496062992125984" top="0.98425196850393704" bottom="0.98425196850393704" header="0.51181102362204722" footer="0.51181102362204722"/>
  <pageSetup paperSize="8" scale="14" orientation="landscape" horizontalDpi="300" verticalDpi="300" r:id="rId1"/>
  <headerFooter>
    <oddFooter>&amp;C&amp;"ＭＳ Ｐゴシック,標準"制作：有限会社水越設備&amp;Rsp-mizukoshi.jp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00000000-0002-0000-0600-000000000000}">
          <x14:formula1>
            <xm:f>現場マスタ!$C$4:$C$43</xm:f>
          </x14:formula1>
          <x14:formula2>
            <xm:f>0</xm:f>
          </x14:formula2>
          <xm:sqref>D4:E34 I4:J34 N4:O34 S4:T34 X4:Y34 AC4:AD34 AH4:AI34 AM4:AN34 AR4:AS34 AW4:AX34 BB4:BC34 BG4:BH34 BL4:BM34 BQ4:BR34 BV4:BW34 CA4:CB34 CF4:CG34 CK4:CL34 CP4:CQ34 CU4:CV34 CZ4:DA34 DE4:DF34 DJ4:DK34 DO4:DP34 DT4:DU34 DY4:DZ34 ED4:EE34 EI4:EJ34 EN4:EO34 ES4:ET34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W40"/>
  <sheetViews>
    <sheetView zoomScaleNormal="100" workbookViewId="0">
      <pane xSplit="3" ySplit="3" topLeftCell="D4" activePane="bottomRight" state="frozen"/>
      <selection sqref="A1:EW1"/>
      <selection pane="topRight" sqref="A1:EW1"/>
      <selection pane="bottomLeft" sqref="A1:EW1"/>
      <selection pane="bottomRight" sqref="A1:EW1"/>
    </sheetView>
  </sheetViews>
  <sheetFormatPr defaultColWidth="8.7109375" defaultRowHeight="15"/>
  <cols>
    <col min="1" max="1" width="5" customWidth="1"/>
    <col min="2" max="3" width="4" customWidth="1"/>
    <col min="4" max="5" width="13" customWidth="1"/>
    <col min="6" max="7" width="6" customWidth="1"/>
    <col min="8" max="8" width="7" customWidth="1"/>
    <col min="9" max="10" width="13" customWidth="1"/>
    <col min="11" max="12" width="6" customWidth="1"/>
    <col min="13" max="13" width="7" customWidth="1"/>
    <col min="14" max="15" width="13" customWidth="1"/>
    <col min="16" max="17" width="6" customWidth="1"/>
    <col min="18" max="18" width="7" customWidth="1"/>
    <col min="19" max="20" width="13" customWidth="1"/>
    <col min="21" max="22" width="6" customWidth="1"/>
    <col min="23" max="23" width="7" customWidth="1"/>
    <col min="24" max="25" width="13" customWidth="1"/>
    <col min="26" max="27" width="6" customWidth="1"/>
    <col min="28" max="28" width="7" customWidth="1"/>
    <col min="29" max="30" width="13" customWidth="1"/>
    <col min="31" max="32" width="6" customWidth="1"/>
    <col min="33" max="33" width="7" customWidth="1"/>
    <col min="34" max="35" width="13" customWidth="1"/>
    <col min="36" max="37" width="6" customWidth="1"/>
    <col min="38" max="38" width="7" customWidth="1"/>
    <col min="39" max="40" width="13" customWidth="1"/>
    <col min="41" max="42" width="6" customWidth="1"/>
    <col min="43" max="43" width="7" customWidth="1"/>
    <col min="44" max="45" width="13" customWidth="1"/>
    <col min="46" max="47" width="6" customWidth="1"/>
    <col min="48" max="48" width="7" customWidth="1"/>
    <col min="49" max="50" width="13" customWidth="1"/>
    <col min="51" max="52" width="6" customWidth="1"/>
    <col min="53" max="53" width="7" customWidth="1"/>
    <col min="54" max="55" width="13" customWidth="1"/>
    <col min="56" max="57" width="6" customWidth="1"/>
    <col min="58" max="58" width="7" customWidth="1"/>
    <col min="59" max="60" width="13" customWidth="1"/>
    <col min="61" max="62" width="6" customWidth="1"/>
    <col min="63" max="63" width="7" customWidth="1"/>
    <col min="64" max="65" width="13" customWidth="1"/>
    <col min="66" max="67" width="6" customWidth="1"/>
    <col min="68" max="68" width="7" customWidth="1"/>
    <col min="69" max="70" width="13" customWidth="1"/>
    <col min="71" max="72" width="6" customWidth="1"/>
    <col min="73" max="73" width="7" customWidth="1"/>
    <col min="74" max="75" width="13" customWidth="1"/>
    <col min="76" max="77" width="6" customWidth="1"/>
    <col min="78" max="78" width="7" customWidth="1"/>
    <col min="79" max="80" width="13" customWidth="1"/>
    <col min="81" max="82" width="6" customWidth="1"/>
    <col min="83" max="83" width="7" customWidth="1"/>
    <col min="84" max="85" width="13" customWidth="1"/>
    <col min="86" max="87" width="6" customWidth="1"/>
    <col min="88" max="88" width="7" customWidth="1"/>
    <col min="89" max="90" width="13" customWidth="1"/>
    <col min="91" max="92" width="6" customWidth="1"/>
    <col min="93" max="93" width="7" customWidth="1"/>
    <col min="94" max="95" width="13" customWidth="1"/>
    <col min="96" max="97" width="6" customWidth="1"/>
    <col min="98" max="98" width="7" customWidth="1"/>
    <col min="99" max="100" width="13" customWidth="1"/>
    <col min="101" max="102" width="6" customWidth="1"/>
    <col min="103" max="103" width="7" customWidth="1"/>
    <col min="104" max="105" width="13" customWidth="1"/>
    <col min="106" max="107" width="6" customWidth="1"/>
    <col min="108" max="108" width="7" customWidth="1"/>
    <col min="109" max="110" width="13" customWidth="1"/>
    <col min="111" max="112" width="6" customWidth="1"/>
    <col min="113" max="113" width="7" customWidth="1"/>
    <col min="114" max="115" width="13" customWidth="1"/>
    <col min="116" max="117" width="6" customWidth="1"/>
    <col min="118" max="118" width="7" customWidth="1"/>
    <col min="119" max="120" width="13" customWidth="1"/>
    <col min="121" max="122" width="6" customWidth="1"/>
    <col min="123" max="123" width="7" customWidth="1"/>
    <col min="124" max="125" width="13" customWidth="1"/>
    <col min="126" max="127" width="6" customWidth="1"/>
    <col min="128" max="128" width="7" customWidth="1"/>
    <col min="129" max="130" width="13" customWidth="1"/>
    <col min="131" max="132" width="6" customWidth="1"/>
    <col min="133" max="133" width="7" customWidth="1"/>
    <col min="134" max="135" width="13" customWidth="1"/>
    <col min="136" max="137" width="6" customWidth="1"/>
    <col min="138" max="138" width="7" customWidth="1"/>
    <col min="139" max="140" width="13" customWidth="1"/>
    <col min="141" max="142" width="6" customWidth="1"/>
    <col min="143" max="143" width="7" customWidth="1"/>
    <col min="144" max="145" width="13" customWidth="1"/>
    <col min="146" max="147" width="6" customWidth="1"/>
    <col min="148" max="148" width="7" customWidth="1"/>
    <col min="149" max="150" width="13" customWidth="1"/>
    <col min="151" max="152" width="6" customWidth="1"/>
    <col min="153" max="153" width="7" customWidth="1"/>
  </cols>
  <sheetData>
    <row r="1" spans="1:153" ht="36" customHeight="1">
      <c r="A1" s="96" t="str">
        <f>" "&amp;対象年度&amp;"年 4月分　出面表　"</f>
        <v xml:space="preserve"> 2026年 4月分　出面表　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Y1" s="96"/>
      <c r="BZ1" s="96"/>
      <c r="CA1" s="96"/>
      <c r="CB1" s="96"/>
      <c r="CC1" s="96"/>
      <c r="CD1" s="96"/>
      <c r="CE1" s="96"/>
      <c r="CF1" s="96"/>
      <c r="CG1" s="96"/>
      <c r="CH1" s="96"/>
      <c r="CI1" s="96"/>
      <c r="CJ1" s="96"/>
      <c r="CK1" s="96"/>
      <c r="CL1" s="96"/>
      <c r="CM1" s="96"/>
      <c r="CN1" s="96"/>
      <c r="CO1" s="96"/>
      <c r="CP1" s="96"/>
      <c r="CQ1" s="96"/>
      <c r="CR1" s="96"/>
      <c r="CS1" s="96"/>
      <c r="CT1" s="96"/>
      <c r="CU1" s="96"/>
      <c r="CV1" s="96"/>
      <c r="CW1" s="96"/>
      <c r="CX1" s="96"/>
      <c r="CY1" s="96"/>
      <c r="CZ1" s="96"/>
      <c r="DA1" s="96"/>
      <c r="DB1" s="96"/>
      <c r="DC1" s="96"/>
      <c r="DD1" s="96"/>
      <c r="DE1" s="96"/>
      <c r="DF1" s="96"/>
      <c r="DG1" s="96"/>
      <c r="DH1" s="96"/>
      <c r="DI1" s="96"/>
      <c r="DJ1" s="96"/>
      <c r="DK1" s="96"/>
      <c r="DL1" s="96"/>
      <c r="DM1" s="96"/>
      <c r="DN1" s="96"/>
      <c r="DO1" s="96"/>
      <c r="DP1" s="96"/>
      <c r="DQ1" s="96"/>
      <c r="DR1" s="96"/>
      <c r="DS1" s="96"/>
      <c r="DT1" s="96"/>
      <c r="DU1" s="96"/>
      <c r="DV1" s="96"/>
      <c r="DW1" s="96"/>
      <c r="DX1" s="96"/>
      <c r="DY1" s="96"/>
      <c r="DZ1" s="96"/>
      <c r="EA1" s="96"/>
      <c r="EB1" s="96"/>
      <c r="EC1" s="96"/>
      <c r="ED1" s="96"/>
      <c r="EE1" s="96"/>
      <c r="EF1" s="96"/>
      <c r="EG1" s="96"/>
      <c r="EH1" s="96"/>
      <c r="EI1" s="96"/>
      <c r="EJ1" s="96"/>
      <c r="EK1" s="96"/>
      <c r="EL1" s="96"/>
      <c r="EM1" s="96"/>
      <c r="EN1" s="96"/>
      <c r="EO1" s="96"/>
      <c r="EP1" s="96"/>
      <c r="EQ1" s="96"/>
      <c r="ER1" s="96"/>
      <c r="ES1" s="96"/>
      <c r="ET1" s="96"/>
      <c r="EU1" s="96"/>
      <c r="EV1" s="96"/>
      <c r="EW1" s="96"/>
    </row>
    <row r="2" spans="1:153" ht="25.5" customHeight="1">
      <c r="A2" s="21"/>
      <c r="B2" s="21"/>
      <c r="C2" s="21"/>
      <c r="D2" s="97" t="str">
        <f>IFERROR(IF(従業員マスタ!$C$4="","",対象年度&amp;"年4月　"&amp;従業員マスタ!$C$4),"")</f>
        <v>2026年4月　代表 太郎</v>
      </c>
      <c r="E2" s="97"/>
      <c r="F2" s="97"/>
      <c r="G2" s="97"/>
      <c r="H2" s="97"/>
      <c r="I2" s="97" t="str">
        <f>IFERROR(IF(従業員マスタ!$C$5="","",対象年度&amp;"年4月　"&amp;従業員マスタ!$C$5),"")</f>
        <v>2026年4月　専務 次郎</v>
      </c>
      <c r="J2" s="97"/>
      <c r="K2" s="97"/>
      <c r="L2" s="97"/>
      <c r="M2" s="97"/>
      <c r="N2" s="97" t="str">
        <f>IFERROR(IF(従業員マスタ!$C$6="","",対象年度&amp;"年4月　"&amp;従業員マスタ!$C$6),"")</f>
        <v>2026年4月　山田 一郎</v>
      </c>
      <c r="O2" s="97"/>
      <c r="P2" s="97"/>
      <c r="Q2" s="97"/>
      <c r="R2" s="97"/>
      <c r="S2" s="97" t="str">
        <f>IFERROR(IF(従業員マスタ!$C$7="","",対象年度&amp;"年4月　"&amp;従業員マスタ!$C$7),"")</f>
        <v>2026年4月　鈴木 二郎</v>
      </c>
      <c r="T2" s="97"/>
      <c r="U2" s="97"/>
      <c r="V2" s="97"/>
      <c r="W2" s="97"/>
      <c r="X2" s="97" t="str">
        <f>IFERROR(IF(従業員マスタ!$C$8="","",対象年度&amp;"年4月　"&amp;従業員マスタ!$C$8),"")</f>
        <v>2026年4月　佐藤 三郎</v>
      </c>
      <c r="Y2" s="97"/>
      <c r="Z2" s="97"/>
      <c r="AA2" s="97"/>
      <c r="AB2" s="97"/>
      <c r="AC2" s="97" t="str">
        <f>IFERROR(IF(従業員マスタ!$C$9="","",対象年度&amp;"年4月　"&amp;従業員マスタ!$C$9),"")</f>
        <v>2026年4月　高橋 四郎</v>
      </c>
      <c r="AD2" s="97"/>
      <c r="AE2" s="97"/>
      <c r="AF2" s="97"/>
      <c r="AG2" s="97"/>
      <c r="AH2" s="97" t="str">
        <f>IFERROR(IF(従業員マスタ!$C$10="","",対象年度&amp;"年4月　"&amp;従業員マスタ!$C$10),"")</f>
        <v>2026年4月　田中 五郎</v>
      </c>
      <c r="AI2" s="97"/>
      <c r="AJ2" s="97"/>
      <c r="AK2" s="97"/>
      <c r="AL2" s="97"/>
      <c r="AM2" s="97" t="str">
        <f>IFERROR(IF(従業員マスタ!$C$11="","",対象年度&amp;"年4月　"&amp;従業員マスタ!$C$11),"")</f>
        <v>2026年4月　伊藤 六郎</v>
      </c>
      <c r="AN2" s="97"/>
      <c r="AO2" s="97"/>
      <c r="AP2" s="97"/>
      <c r="AQ2" s="97"/>
      <c r="AR2" s="97" t="str">
        <f>IFERROR(IF(従業員マスタ!$C$12="","",対象年度&amp;"年4月　"&amp;従業員マスタ!$C$12),"")</f>
        <v>2026年4月　渡辺 七郎</v>
      </c>
      <c r="AS2" s="97"/>
      <c r="AT2" s="97"/>
      <c r="AU2" s="97"/>
      <c r="AV2" s="97"/>
      <c r="AW2" s="97" t="str">
        <f>IFERROR(IF(従業員マスタ!$C$13="","",対象年度&amp;"年4月　"&amp;従業員マスタ!$C$13),"")</f>
        <v>2026年4月　中村 八郎</v>
      </c>
      <c r="AX2" s="97"/>
      <c r="AY2" s="97"/>
      <c r="AZ2" s="97"/>
      <c r="BA2" s="97"/>
      <c r="BB2" s="97" t="str">
        <f>IFERROR(IF(従業員マスタ!$C$14="","",対象年度&amp;"年4月　"&amp;従業員マスタ!$C$14),"")</f>
        <v>2026年4月　小林 九郎</v>
      </c>
      <c r="BC2" s="97"/>
      <c r="BD2" s="97"/>
      <c r="BE2" s="97"/>
      <c r="BF2" s="97"/>
      <c r="BG2" s="97" t="str">
        <f>IFERROR(IF(従業員マスタ!$C$15="","",対象年度&amp;"年4月　"&amp;従業員マスタ!$C$15),"")</f>
        <v>2026年4月　加藤 十郎</v>
      </c>
      <c r="BH2" s="97"/>
      <c r="BI2" s="97"/>
      <c r="BJ2" s="97"/>
      <c r="BK2" s="97"/>
      <c r="BL2" s="97" t="str">
        <f>IFERROR(IF(従業員マスタ!$C$16="","",対象年度&amp;"年4月　"&amp;従業員マスタ!$C$16),"")</f>
        <v/>
      </c>
      <c r="BM2" s="97"/>
      <c r="BN2" s="97"/>
      <c r="BO2" s="97"/>
      <c r="BP2" s="97"/>
      <c r="BQ2" s="97" t="str">
        <f>IFERROR(IF(従業員マスタ!$C$17="","",対象年度&amp;"年4月　"&amp;従業員マスタ!$C$17),"")</f>
        <v/>
      </c>
      <c r="BR2" s="97"/>
      <c r="BS2" s="97"/>
      <c r="BT2" s="97"/>
      <c r="BU2" s="97"/>
      <c r="BV2" s="97" t="str">
        <f>IFERROR(IF(従業員マスタ!$C$18="","",対象年度&amp;"年4月　"&amp;従業員マスタ!$C$18),"")</f>
        <v/>
      </c>
      <c r="BW2" s="97"/>
      <c r="BX2" s="97"/>
      <c r="BY2" s="97"/>
      <c r="BZ2" s="97"/>
      <c r="CA2" s="97" t="str">
        <f>IFERROR(IF(従業員マスタ!$C$19="","",対象年度&amp;"年4月　"&amp;従業員マスタ!$C$19),"")</f>
        <v/>
      </c>
      <c r="CB2" s="97"/>
      <c r="CC2" s="97"/>
      <c r="CD2" s="97"/>
      <c r="CE2" s="97"/>
      <c r="CF2" s="97" t="str">
        <f>IFERROR(IF(従業員マスタ!$C$20="","",対象年度&amp;"年4月　"&amp;従業員マスタ!$C$20),"")</f>
        <v/>
      </c>
      <c r="CG2" s="97"/>
      <c r="CH2" s="97"/>
      <c r="CI2" s="97"/>
      <c r="CJ2" s="97"/>
      <c r="CK2" s="97" t="str">
        <f>IFERROR(IF(従業員マスタ!$C$21="","",対象年度&amp;"年4月　"&amp;従業員マスタ!$C$21),"")</f>
        <v/>
      </c>
      <c r="CL2" s="97"/>
      <c r="CM2" s="97"/>
      <c r="CN2" s="97"/>
      <c r="CO2" s="97"/>
      <c r="CP2" s="97" t="str">
        <f>IFERROR(IF(従業員マスタ!$C$22="","",対象年度&amp;"年4月　"&amp;従業員マスタ!$C$22),"")</f>
        <v/>
      </c>
      <c r="CQ2" s="97"/>
      <c r="CR2" s="97"/>
      <c r="CS2" s="97"/>
      <c r="CT2" s="97"/>
      <c r="CU2" s="97" t="str">
        <f>IFERROR(IF(従業員マスタ!$C$23="","",対象年度&amp;"年4月　"&amp;従業員マスタ!$C$23),"")</f>
        <v/>
      </c>
      <c r="CV2" s="97"/>
      <c r="CW2" s="97"/>
      <c r="CX2" s="97"/>
      <c r="CY2" s="97"/>
      <c r="CZ2" s="97" t="str">
        <f>IFERROR(IF(従業員マスタ!$C$24="","",対象年度&amp;"年4月　"&amp;従業員マスタ!$C$24),"")</f>
        <v/>
      </c>
      <c r="DA2" s="97"/>
      <c r="DB2" s="97"/>
      <c r="DC2" s="97"/>
      <c r="DD2" s="97"/>
      <c r="DE2" s="97" t="str">
        <f>IFERROR(IF(従業員マスタ!$C$25="","",対象年度&amp;"年4月　"&amp;従業員マスタ!$C$25),"")</f>
        <v/>
      </c>
      <c r="DF2" s="97"/>
      <c r="DG2" s="97"/>
      <c r="DH2" s="97"/>
      <c r="DI2" s="97"/>
      <c r="DJ2" s="97" t="str">
        <f>IFERROR(IF(従業員マスタ!$C$26="","",対象年度&amp;"年4月　"&amp;従業員マスタ!$C$26),"")</f>
        <v/>
      </c>
      <c r="DK2" s="97"/>
      <c r="DL2" s="97"/>
      <c r="DM2" s="97"/>
      <c r="DN2" s="97"/>
      <c r="DO2" s="97" t="str">
        <f>IFERROR(IF(従業員マスタ!$C$27="","",対象年度&amp;"年4月　"&amp;従業員マスタ!$C$27),"")</f>
        <v/>
      </c>
      <c r="DP2" s="97"/>
      <c r="DQ2" s="97"/>
      <c r="DR2" s="97"/>
      <c r="DS2" s="97"/>
      <c r="DT2" s="97" t="str">
        <f>IFERROR(IF(従業員マスタ!$C$28="","",対象年度&amp;"年4月　"&amp;従業員マスタ!$C$28),"")</f>
        <v/>
      </c>
      <c r="DU2" s="97"/>
      <c r="DV2" s="97"/>
      <c r="DW2" s="97"/>
      <c r="DX2" s="97"/>
      <c r="DY2" s="97" t="str">
        <f>IFERROR(IF(従業員マスタ!$C$29="","",対象年度&amp;"年4月　"&amp;従業員マスタ!$C$29),"")</f>
        <v/>
      </c>
      <c r="DZ2" s="97"/>
      <c r="EA2" s="97"/>
      <c r="EB2" s="97"/>
      <c r="EC2" s="97"/>
      <c r="ED2" s="97" t="str">
        <f>IFERROR(IF(従業員マスタ!$C$30="","",対象年度&amp;"年4月　"&amp;従業員マスタ!$C$30),"")</f>
        <v/>
      </c>
      <c r="EE2" s="97"/>
      <c r="EF2" s="97"/>
      <c r="EG2" s="97"/>
      <c r="EH2" s="97"/>
      <c r="EI2" s="97" t="str">
        <f>IFERROR(IF(従業員マスタ!$C$31="","",対象年度&amp;"年4月　"&amp;従業員マスタ!$C$31),"")</f>
        <v/>
      </c>
      <c r="EJ2" s="97"/>
      <c r="EK2" s="97"/>
      <c r="EL2" s="97"/>
      <c r="EM2" s="97"/>
      <c r="EN2" s="97" t="str">
        <f>IFERROR(IF(従業員マスタ!$C$32="","",対象年度&amp;"年4月　"&amp;従業員マスタ!$C$32),"")</f>
        <v/>
      </c>
      <c r="EO2" s="97"/>
      <c r="EP2" s="97"/>
      <c r="EQ2" s="97"/>
      <c r="ER2" s="97"/>
      <c r="ES2" s="97" t="str">
        <f>IFERROR(IF(従業員マスタ!$C$33="","",対象年度&amp;"年4月　"&amp;従業員マスタ!$C$33),"")</f>
        <v/>
      </c>
      <c r="ET2" s="97"/>
      <c r="EU2" s="97"/>
      <c r="EV2" s="97"/>
      <c r="EW2" s="97"/>
    </row>
    <row r="3" spans="1:153" ht="24" customHeight="1">
      <c r="A3" s="22" t="s">
        <v>108</v>
      </c>
      <c r="B3" s="22" t="s">
        <v>109</v>
      </c>
      <c r="C3" s="22" t="s">
        <v>110</v>
      </c>
      <c r="D3" s="23" t="s">
        <v>111</v>
      </c>
      <c r="E3" s="24" t="s">
        <v>112</v>
      </c>
      <c r="F3" s="22" t="s">
        <v>113</v>
      </c>
      <c r="G3" s="22" t="s">
        <v>114</v>
      </c>
      <c r="H3" s="25" t="s">
        <v>115</v>
      </c>
      <c r="I3" s="23" t="s">
        <v>111</v>
      </c>
      <c r="J3" s="24" t="s">
        <v>112</v>
      </c>
      <c r="K3" s="22" t="s">
        <v>113</v>
      </c>
      <c r="L3" s="22" t="s">
        <v>114</v>
      </c>
      <c r="M3" s="25" t="s">
        <v>115</v>
      </c>
      <c r="N3" s="23" t="s">
        <v>111</v>
      </c>
      <c r="O3" s="24" t="s">
        <v>112</v>
      </c>
      <c r="P3" s="22" t="s">
        <v>113</v>
      </c>
      <c r="Q3" s="22" t="s">
        <v>114</v>
      </c>
      <c r="R3" s="25" t="s">
        <v>115</v>
      </c>
      <c r="S3" s="23" t="s">
        <v>111</v>
      </c>
      <c r="T3" s="24" t="s">
        <v>112</v>
      </c>
      <c r="U3" s="22" t="s">
        <v>113</v>
      </c>
      <c r="V3" s="22" t="s">
        <v>114</v>
      </c>
      <c r="W3" s="25" t="s">
        <v>115</v>
      </c>
      <c r="X3" s="23" t="s">
        <v>111</v>
      </c>
      <c r="Y3" s="24" t="s">
        <v>112</v>
      </c>
      <c r="Z3" s="22" t="s">
        <v>113</v>
      </c>
      <c r="AA3" s="22" t="s">
        <v>114</v>
      </c>
      <c r="AB3" s="25" t="s">
        <v>115</v>
      </c>
      <c r="AC3" s="23" t="s">
        <v>111</v>
      </c>
      <c r="AD3" s="24" t="s">
        <v>112</v>
      </c>
      <c r="AE3" s="22" t="s">
        <v>113</v>
      </c>
      <c r="AF3" s="22" t="s">
        <v>114</v>
      </c>
      <c r="AG3" s="25" t="s">
        <v>115</v>
      </c>
      <c r="AH3" s="23" t="s">
        <v>111</v>
      </c>
      <c r="AI3" s="24" t="s">
        <v>112</v>
      </c>
      <c r="AJ3" s="22" t="s">
        <v>113</v>
      </c>
      <c r="AK3" s="22" t="s">
        <v>114</v>
      </c>
      <c r="AL3" s="25" t="s">
        <v>115</v>
      </c>
      <c r="AM3" s="23" t="s">
        <v>111</v>
      </c>
      <c r="AN3" s="24" t="s">
        <v>112</v>
      </c>
      <c r="AO3" s="22" t="s">
        <v>113</v>
      </c>
      <c r="AP3" s="22" t="s">
        <v>114</v>
      </c>
      <c r="AQ3" s="25" t="s">
        <v>115</v>
      </c>
      <c r="AR3" s="23" t="s">
        <v>111</v>
      </c>
      <c r="AS3" s="24" t="s">
        <v>112</v>
      </c>
      <c r="AT3" s="22" t="s">
        <v>113</v>
      </c>
      <c r="AU3" s="22" t="s">
        <v>114</v>
      </c>
      <c r="AV3" s="25" t="s">
        <v>115</v>
      </c>
      <c r="AW3" s="23" t="s">
        <v>111</v>
      </c>
      <c r="AX3" s="24" t="s">
        <v>112</v>
      </c>
      <c r="AY3" s="22" t="s">
        <v>113</v>
      </c>
      <c r="AZ3" s="22" t="s">
        <v>114</v>
      </c>
      <c r="BA3" s="25" t="s">
        <v>115</v>
      </c>
      <c r="BB3" s="23" t="s">
        <v>111</v>
      </c>
      <c r="BC3" s="24" t="s">
        <v>112</v>
      </c>
      <c r="BD3" s="22" t="s">
        <v>113</v>
      </c>
      <c r="BE3" s="22" t="s">
        <v>114</v>
      </c>
      <c r="BF3" s="25" t="s">
        <v>115</v>
      </c>
      <c r="BG3" s="23" t="s">
        <v>111</v>
      </c>
      <c r="BH3" s="24" t="s">
        <v>112</v>
      </c>
      <c r="BI3" s="22" t="s">
        <v>113</v>
      </c>
      <c r="BJ3" s="22" t="s">
        <v>114</v>
      </c>
      <c r="BK3" s="25" t="s">
        <v>115</v>
      </c>
      <c r="BL3" s="23" t="s">
        <v>111</v>
      </c>
      <c r="BM3" s="24" t="s">
        <v>112</v>
      </c>
      <c r="BN3" s="22" t="s">
        <v>113</v>
      </c>
      <c r="BO3" s="22" t="s">
        <v>114</v>
      </c>
      <c r="BP3" s="25" t="s">
        <v>115</v>
      </c>
      <c r="BQ3" s="23" t="s">
        <v>111</v>
      </c>
      <c r="BR3" s="24" t="s">
        <v>112</v>
      </c>
      <c r="BS3" s="22" t="s">
        <v>113</v>
      </c>
      <c r="BT3" s="22" t="s">
        <v>114</v>
      </c>
      <c r="BU3" s="25" t="s">
        <v>115</v>
      </c>
      <c r="BV3" s="23" t="s">
        <v>111</v>
      </c>
      <c r="BW3" s="24" t="s">
        <v>112</v>
      </c>
      <c r="BX3" s="22" t="s">
        <v>113</v>
      </c>
      <c r="BY3" s="22" t="s">
        <v>114</v>
      </c>
      <c r="BZ3" s="25" t="s">
        <v>115</v>
      </c>
      <c r="CA3" s="23" t="s">
        <v>111</v>
      </c>
      <c r="CB3" s="24" t="s">
        <v>112</v>
      </c>
      <c r="CC3" s="22" t="s">
        <v>113</v>
      </c>
      <c r="CD3" s="22" t="s">
        <v>114</v>
      </c>
      <c r="CE3" s="25" t="s">
        <v>115</v>
      </c>
      <c r="CF3" s="23" t="s">
        <v>111</v>
      </c>
      <c r="CG3" s="24" t="s">
        <v>112</v>
      </c>
      <c r="CH3" s="22" t="s">
        <v>113</v>
      </c>
      <c r="CI3" s="22" t="s">
        <v>114</v>
      </c>
      <c r="CJ3" s="25" t="s">
        <v>115</v>
      </c>
      <c r="CK3" s="23" t="s">
        <v>111</v>
      </c>
      <c r="CL3" s="24" t="s">
        <v>112</v>
      </c>
      <c r="CM3" s="22" t="s">
        <v>113</v>
      </c>
      <c r="CN3" s="22" t="s">
        <v>114</v>
      </c>
      <c r="CO3" s="25" t="s">
        <v>115</v>
      </c>
      <c r="CP3" s="23" t="s">
        <v>111</v>
      </c>
      <c r="CQ3" s="24" t="s">
        <v>112</v>
      </c>
      <c r="CR3" s="22" t="s">
        <v>113</v>
      </c>
      <c r="CS3" s="22" t="s">
        <v>114</v>
      </c>
      <c r="CT3" s="25" t="s">
        <v>115</v>
      </c>
      <c r="CU3" s="23" t="s">
        <v>111</v>
      </c>
      <c r="CV3" s="24" t="s">
        <v>112</v>
      </c>
      <c r="CW3" s="22" t="s">
        <v>113</v>
      </c>
      <c r="CX3" s="22" t="s">
        <v>114</v>
      </c>
      <c r="CY3" s="25" t="s">
        <v>115</v>
      </c>
      <c r="CZ3" s="23" t="s">
        <v>111</v>
      </c>
      <c r="DA3" s="24" t="s">
        <v>112</v>
      </c>
      <c r="DB3" s="22" t="s">
        <v>113</v>
      </c>
      <c r="DC3" s="22" t="s">
        <v>114</v>
      </c>
      <c r="DD3" s="25" t="s">
        <v>115</v>
      </c>
      <c r="DE3" s="23" t="s">
        <v>111</v>
      </c>
      <c r="DF3" s="24" t="s">
        <v>112</v>
      </c>
      <c r="DG3" s="22" t="s">
        <v>113</v>
      </c>
      <c r="DH3" s="22" t="s">
        <v>114</v>
      </c>
      <c r="DI3" s="25" t="s">
        <v>115</v>
      </c>
      <c r="DJ3" s="23" t="s">
        <v>111</v>
      </c>
      <c r="DK3" s="24" t="s">
        <v>112</v>
      </c>
      <c r="DL3" s="22" t="s">
        <v>113</v>
      </c>
      <c r="DM3" s="22" t="s">
        <v>114</v>
      </c>
      <c r="DN3" s="25" t="s">
        <v>115</v>
      </c>
      <c r="DO3" s="23" t="s">
        <v>111</v>
      </c>
      <c r="DP3" s="24" t="s">
        <v>112</v>
      </c>
      <c r="DQ3" s="22" t="s">
        <v>113</v>
      </c>
      <c r="DR3" s="22" t="s">
        <v>114</v>
      </c>
      <c r="DS3" s="25" t="s">
        <v>115</v>
      </c>
      <c r="DT3" s="23" t="s">
        <v>111</v>
      </c>
      <c r="DU3" s="24" t="s">
        <v>112</v>
      </c>
      <c r="DV3" s="22" t="s">
        <v>113</v>
      </c>
      <c r="DW3" s="22" t="s">
        <v>114</v>
      </c>
      <c r="DX3" s="25" t="s">
        <v>115</v>
      </c>
      <c r="DY3" s="23" t="s">
        <v>111</v>
      </c>
      <c r="DZ3" s="24" t="s">
        <v>112</v>
      </c>
      <c r="EA3" s="22" t="s">
        <v>113</v>
      </c>
      <c r="EB3" s="22" t="s">
        <v>114</v>
      </c>
      <c r="EC3" s="25" t="s">
        <v>115</v>
      </c>
      <c r="ED3" s="23" t="s">
        <v>111</v>
      </c>
      <c r="EE3" s="24" t="s">
        <v>112</v>
      </c>
      <c r="EF3" s="22" t="s">
        <v>113</v>
      </c>
      <c r="EG3" s="22" t="s">
        <v>114</v>
      </c>
      <c r="EH3" s="25" t="s">
        <v>115</v>
      </c>
      <c r="EI3" s="23" t="s">
        <v>111</v>
      </c>
      <c r="EJ3" s="24" t="s">
        <v>112</v>
      </c>
      <c r="EK3" s="22" t="s">
        <v>113</v>
      </c>
      <c r="EL3" s="22" t="s">
        <v>114</v>
      </c>
      <c r="EM3" s="25" t="s">
        <v>115</v>
      </c>
      <c r="EN3" s="23" t="s">
        <v>111</v>
      </c>
      <c r="EO3" s="24" t="s">
        <v>112</v>
      </c>
      <c r="EP3" s="22" t="s">
        <v>113</v>
      </c>
      <c r="EQ3" s="22" t="s">
        <v>114</v>
      </c>
      <c r="ER3" s="25" t="s">
        <v>115</v>
      </c>
      <c r="ES3" s="23" t="s">
        <v>111</v>
      </c>
      <c r="ET3" s="24" t="s">
        <v>112</v>
      </c>
      <c r="EU3" s="22" t="s">
        <v>113</v>
      </c>
      <c r="EV3" s="22" t="s">
        <v>114</v>
      </c>
      <c r="EW3" s="25" t="s">
        <v>115</v>
      </c>
    </row>
    <row r="4" spans="1:153" ht="19.5" customHeight="1">
      <c r="A4" s="26">
        <f>IF(DAY(DATE(対象年度,4,1))&lt;&gt;1,"",1)</f>
        <v>1</v>
      </c>
      <c r="B4" s="26" t="str">
        <f>IF(DAY(DATE(対象年度,4,1))&lt;&gt;1,"",CHOOSE(WEEKDAY(DATE(対象年度,4,1),2),"月","火","水","木","金","土","日"))</f>
        <v>水</v>
      </c>
      <c r="C4" s="26" t="str">
        <f>IF(DAY(DATE(対象年度,4,1))&lt;&gt;1,"",IF(ISNUMBER(MATCH(DATE(対象年度,4,1),祝日リスト,0)),"祝",""))</f>
        <v/>
      </c>
      <c r="D4" s="48" t="s">
        <v>104</v>
      </c>
      <c r="E4" s="28"/>
      <c r="F4" s="29" t="str">
        <f t="shared" ref="F4:F34" si="0">IF(D4="","",IF(ISNUMBER(SEARCH("夜勤",D4)),"",IF(A4="","","○")))</f>
        <v>○</v>
      </c>
      <c r="G4" s="30" t="str">
        <f t="shared" ref="G4:G34" si="1">IF(A4="","",IF(OR(AND(E4&lt;&gt;"",NOT(OR(E4="有給",E4="休業"))),ISNUMBER(SEARCH("夜勤",D4))),"○",""))</f>
        <v/>
      </c>
      <c r="H4" s="31"/>
      <c r="I4" s="48" t="s">
        <v>130</v>
      </c>
      <c r="J4" s="28"/>
      <c r="K4" s="29" t="str">
        <f t="shared" ref="K4:K34" si="2">IF(I4="","",IF(ISNUMBER(SEARCH("夜勤",I4)),"",IF(A4="","","○")))</f>
        <v>○</v>
      </c>
      <c r="L4" s="30" t="str">
        <f t="shared" ref="L4:L34" si="3">IF(A4="","",IF(OR(AND(J4&lt;&gt;"",NOT(OR(J4="有給",J4="休業"))),ISNUMBER(SEARCH("夜勤",I4))),"○",""))</f>
        <v/>
      </c>
      <c r="M4" s="31"/>
      <c r="N4" s="48" t="s">
        <v>116</v>
      </c>
      <c r="O4" s="28"/>
      <c r="P4" s="29" t="str">
        <f t="shared" ref="P4:P34" si="4">IF(N4="","",IF(ISNUMBER(SEARCH("夜勤",N4)),"",IF(A4="","","○")))</f>
        <v>○</v>
      </c>
      <c r="Q4" s="30" t="str">
        <f t="shared" ref="Q4:Q34" si="5">IF(A4="","",IF(OR(AND(O4&lt;&gt;"",NOT(OR(O4="有給",O4="休業"))),ISNUMBER(SEARCH("夜勤",N4))),"○",""))</f>
        <v/>
      </c>
      <c r="R4" s="31"/>
      <c r="S4" s="48" t="s">
        <v>116</v>
      </c>
      <c r="T4" s="28"/>
      <c r="U4" s="29" t="str">
        <f t="shared" ref="U4:U34" si="6">IF(S4="","",IF(ISNUMBER(SEARCH("夜勤",S4)),"",IF(A4="","","○")))</f>
        <v>○</v>
      </c>
      <c r="V4" s="30" t="str">
        <f t="shared" ref="V4:V34" si="7">IF(A4="","",IF(OR(AND(T4&lt;&gt;"",NOT(OR(T4="有給",T4="休業"))),ISNUMBER(SEARCH("夜勤",S4))),"○",""))</f>
        <v/>
      </c>
      <c r="W4" s="31"/>
      <c r="X4" s="48" t="s">
        <v>116</v>
      </c>
      <c r="Y4" s="28"/>
      <c r="Z4" s="29" t="str">
        <f t="shared" ref="Z4:Z34" si="8">IF(X4="","",IF(ISNUMBER(SEARCH("夜勤",X4)),"",IF(A4="","","○")))</f>
        <v>○</v>
      </c>
      <c r="AA4" s="30" t="str">
        <f t="shared" ref="AA4:AA34" si="9">IF(A4="","",IF(OR(AND(Y4&lt;&gt;"",NOT(OR(Y4="有給",Y4="休業"))),ISNUMBER(SEARCH("夜勤",X4))),"○",""))</f>
        <v/>
      </c>
      <c r="AB4" s="31"/>
      <c r="AC4" s="48" t="s">
        <v>116</v>
      </c>
      <c r="AD4" s="28"/>
      <c r="AE4" s="29" t="str">
        <f t="shared" ref="AE4:AE34" si="10">IF(AC4="","",IF(ISNUMBER(SEARCH("夜勤",AC4)),"",IF(A4="","","○")))</f>
        <v>○</v>
      </c>
      <c r="AF4" s="30" t="str">
        <f t="shared" ref="AF4:AF34" si="11">IF(A4="","",IF(OR(AND(AD4&lt;&gt;"",NOT(OR(AD4="有給",AD4="休業"))),ISNUMBER(SEARCH("夜勤",AC4))),"○",""))</f>
        <v/>
      </c>
      <c r="AG4" s="31"/>
      <c r="AH4" s="48" t="s">
        <v>117</v>
      </c>
      <c r="AI4" s="28"/>
      <c r="AJ4" s="29" t="str">
        <f t="shared" ref="AJ4:AJ34" si="12">IF(AH4="","",IF(ISNUMBER(SEARCH("夜勤",AH4)),"",IF(A4="","","○")))</f>
        <v>○</v>
      </c>
      <c r="AK4" s="30" t="str">
        <f t="shared" ref="AK4:AK34" si="13">IF(A4="","",IF(OR(AND(AI4&lt;&gt;"",NOT(OR(AI4="有給",AI4="休業"))),ISNUMBER(SEARCH("夜勤",AH4))),"○",""))</f>
        <v/>
      </c>
      <c r="AL4" s="31"/>
      <c r="AM4" s="48" t="s">
        <v>116</v>
      </c>
      <c r="AN4" s="28"/>
      <c r="AO4" s="29" t="str">
        <f t="shared" ref="AO4:AO34" si="14">IF(AM4="","",IF(ISNUMBER(SEARCH("夜勤",AM4)),"",IF(A4="","","○")))</f>
        <v>○</v>
      </c>
      <c r="AP4" s="30" t="str">
        <f t="shared" ref="AP4:AP34" si="15">IF(A4="","",IF(OR(AND(AN4&lt;&gt;"",NOT(OR(AN4="有給",AN4="休業"))),ISNUMBER(SEARCH("夜勤",AM4))),"○",""))</f>
        <v/>
      </c>
      <c r="AQ4" s="31"/>
      <c r="AR4" s="48" t="s">
        <v>116</v>
      </c>
      <c r="AS4" s="28"/>
      <c r="AT4" s="29" t="str">
        <f t="shared" ref="AT4:AT34" si="16">IF(AR4="","",IF(ISNUMBER(SEARCH("夜勤",AR4)),"",IF(A4="","","○")))</f>
        <v>○</v>
      </c>
      <c r="AU4" s="30" t="str">
        <f t="shared" ref="AU4:AU34" si="17">IF(A4="","",IF(OR(AND(AS4&lt;&gt;"",NOT(OR(AS4="有給",AS4="休業"))),ISNUMBER(SEARCH("夜勤",AR4))),"○",""))</f>
        <v/>
      </c>
      <c r="AV4" s="31"/>
      <c r="AW4" s="48" t="s">
        <v>124</v>
      </c>
      <c r="AX4" s="28"/>
      <c r="AY4" s="29" t="str">
        <f t="shared" ref="AY4:AY34" si="18">IF(AW4="","",IF(ISNUMBER(SEARCH("夜勤",AW4)),"",IF(A4="","","○")))</f>
        <v>○</v>
      </c>
      <c r="AZ4" s="30" t="str">
        <f t="shared" ref="AZ4:AZ34" si="19">IF(A4="","",IF(OR(AND(AX4&lt;&gt;"",NOT(OR(AX4="有給",AX4="休業"))),ISNUMBER(SEARCH("夜勤",AW4))),"○",""))</f>
        <v/>
      </c>
      <c r="BA4" s="31"/>
      <c r="BB4" s="48" t="s">
        <v>104</v>
      </c>
      <c r="BC4" s="28"/>
      <c r="BD4" s="29" t="str">
        <f t="shared" ref="BD4:BD34" si="20">IF(BB4="","",IF(ISNUMBER(SEARCH("夜勤",BB4)),"",IF(A4="","","○")))</f>
        <v>○</v>
      </c>
      <c r="BE4" s="30" t="str">
        <f t="shared" ref="BE4:BE34" si="21">IF(A4="","",IF(OR(AND(BC4&lt;&gt;"",NOT(OR(BC4="有給",BC4="休業"))),ISNUMBER(SEARCH("夜勤",BB4))),"○",""))</f>
        <v/>
      </c>
      <c r="BF4" s="31"/>
      <c r="BG4" s="27"/>
      <c r="BH4" s="28"/>
      <c r="BI4" s="29" t="str">
        <f t="shared" ref="BI4:BI34" si="22">IF(BG4="","",IF(ISNUMBER(SEARCH("夜勤",BG4)),"",IF(A4="","","○")))</f>
        <v/>
      </c>
      <c r="BJ4" s="30" t="str">
        <f t="shared" ref="BJ4:BJ34" si="23">IF(A4="","",IF(OR(AND(BH4&lt;&gt;"",NOT(OR(BH4="有給",BH4="休業"))),ISNUMBER(SEARCH("夜勤",BG4))),"○",""))</f>
        <v/>
      </c>
      <c r="BK4" s="31"/>
      <c r="BL4" s="27"/>
      <c r="BM4" s="28"/>
      <c r="BN4" s="29" t="str">
        <f t="shared" ref="BN4:BN34" si="24">IF(BL4="","",IF(ISNUMBER(SEARCH("夜勤",BL4)),"",IF(A4="","","○")))</f>
        <v/>
      </c>
      <c r="BO4" s="30" t="str">
        <f t="shared" ref="BO4:BO34" si="25">IF(A4="","",IF(OR(AND(BM4&lt;&gt;"",NOT(OR(BM4="有給",BM4="休業"))),ISNUMBER(SEARCH("夜勤",BL4))),"○",""))</f>
        <v/>
      </c>
      <c r="BP4" s="31"/>
      <c r="BQ4" s="27"/>
      <c r="BR4" s="28"/>
      <c r="BS4" s="29" t="str">
        <f t="shared" ref="BS4:BS34" si="26">IF(BQ4="","",IF(ISNUMBER(SEARCH("夜勤",BQ4)),"",IF(A4="","","○")))</f>
        <v/>
      </c>
      <c r="BT4" s="30" t="str">
        <f t="shared" ref="BT4:BT34" si="27">IF(A4="","",IF(OR(AND(BR4&lt;&gt;"",NOT(OR(BR4="有給",BR4="休業"))),ISNUMBER(SEARCH("夜勤",BQ4))),"○",""))</f>
        <v/>
      </c>
      <c r="BU4" s="31"/>
      <c r="BV4" s="27"/>
      <c r="BW4" s="28"/>
      <c r="BX4" s="29" t="str">
        <f t="shared" ref="BX4:BX34" si="28">IF(BV4="","",IF(ISNUMBER(SEARCH("夜勤",BV4)),"",IF(A4="","","○")))</f>
        <v/>
      </c>
      <c r="BY4" s="30" t="str">
        <f t="shared" ref="BY4:BY34" si="29">IF(A4="","",IF(OR(AND(BW4&lt;&gt;"",NOT(OR(BW4="有給",BW4="休業"))),ISNUMBER(SEARCH("夜勤",BV4))),"○",""))</f>
        <v/>
      </c>
      <c r="BZ4" s="31"/>
      <c r="CA4" s="27"/>
      <c r="CB4" s="28"/>
      <c r="CC4" s="29" t="str">
        <f t="shared" ref="CC4:CC34" si="30">IF(CA4="","",IF(ISNUMBER(SEARCH("夜勤",CA4)),"",IF(A4="","","○")))</f>
        <v/>
      </c>
      <c r="CD4" s="30" t="str">
        <f t="shared" ref="CD4:CD34" si="31">IF(A4="","",IF(OR(AND(CB4&lt;&gt;"",NOT(OR(CB4="有給",CB4="休業"))),ISNUMBER(SEARCH("夜勤",CA4))),"○",""))</f>
        <v/>
      </c>
      <c r="CE4" s="31"/>
      <c r="CF4" s="27"/>
      <c r="CG4" s="28"/>
      <c r="CH4" s="29" t="str">
        <f t="shared" ref="CH4:CH34" si="32">IF(CF4="","",IF(ISNUMBER(SEARCH("夜勤",CF4)),"",IF(A4="","","○")))</f>
        <v/>
      </c>
      <c r="CI4" s="30" t="str">
        <f t="shared" ref="CI4:CI34" si="33">IF(A4="","",IF(OR(AND(CG4&lt;&gt;"",NOT(OR(CG4="有給",CG4="休業"))),ISNUMBER(SEARCH("夜勤",CF4))),"○",""))</f>
        <v/>
      </c>
      <c r="CJ4" s="31"/>
      <c r="CK4" s="27"/>
      <c r="CL4" s="28"/>
      <c r="CM4" s="29" t="str">
        <f t="shared" ref="CM4:CM34" si="34">IF(CK4="","",IF(ISNUMBER(SEARCH("夜勤",CK4)),"",IF(A4="","","○")))</f>
        <v/>
      </c>
      <c r="CN4" s="30" t="str">
        <f t="shared" ref="CN4:CN34" si="35">IF(A4="","",IF(OR(AND(CL4&lt;&gt;"",NOT(OR(CL4="有給",CL4="休業"))),ISNUMBER(SEARCH("夜勤",CK4))),"○",""))</f>
        <v/>
      </c>
      <c r="CO4" s="31"/>
      <c r="CP4" s="27"/>
      <c r="CQ4" s="28"/>
      <c r="CR4" s="29" t="str">
        <f t="shared" ref="CR4:CR34" si="36">IF(CP4="","",IF(ISNUMBER(SEARCH("夜勤",CP4)),"",IF(A4="","","○")))</f>
        <v/>
      </c>
      <c r="CS4" s="30" t="str">
        <f t="shared" ref="CS4:CS34" si="37">IF(A4="","",IF(OR(AND(CQ4&lt;&gt;"",NOT(OR(CQ4="有給",CQ4="休業"))),ISNUMBER(SEARCH("夜勤",CP4))),"○",""))</f>
        <v/>
      </c>
      <c r="CT4" s="31"/>
      <c r="CU4" s="27"/>
      <c r="CV4" s="28"/>
      <c r="CW4" s="29" t="str">
        <f t="shared" ref="CW4:CW34" si="38">IF(CU4="","",IF(ISNUMBER(SEARCH("夜勤",CU4)),"",IF(A4="","","○")))</f>
        <v/>
      </c>
      <c r="CX4" s="30" t="str">
        <f t="shared" ref="CX4:CX34" si="39">IF(A4="","",IF(OR(AND(CV4&lt;&gt;"",NOT(OR(CV4="有給",CV4="休業"))),ISNUMBER(SEARCH("夜勤",CU4))),"○",""))</f>
        <v/>
      </c>
      <c r="CY4" s="31"/>
      <c r="CZ4" s="27"/>
      <c r="DA4" s="28"/>
      <c r="DB4" s="29" t="str">
        <f t="shared" ref="DB4:DB34" si="40">IF(CZ4="","",IF(ISNUMBER(SEARCH("夜勤",CZ4)),"",IF(A4="","","○")))</f>
        <v/>
      </c>
      <c r="DC4" s="30" t="str">
        <f t="shared" ref="DC4:DC34" si="41">IF(A4="","",IF(OR(AND(DA4&lt;&gt;"",NOT(OR(DA4="有給",DA4="休業"))),ISNUMBER(SEARCH("夜勤",CZ4))),"○",""))</f>
        <v/>
      </c>
      <c r="DD4" s="31"/>
      <c r="DE4" s="27"/>
      <c r="DF4" s="28"/>
      <c r="DG4" s="29" t="str">
        <f t="shared" ref="DG4:DG34" si="42">IF(DE4="","",IF(ISNUMBER(SEARCH("夜勤",DE4)),"",IF(A4="","","○")))</f>
        <v/>
      </c>
      <c r="DH4" s="30" t="str">
        <f t="shared" ref="DH4:DH34" si="43">IF(A4="","",IF(OR(AND(DF4&lt;&gt;"",NOT(OR(DF4="有給",DF4="休業"))),ISNUMBER(SEARCH("夜勤",DE4))),"○",""))</f>
        <v/>
      </c>
      <c r="DI4" s="31"/>
      <c r="DJ4" s="27"/>
      <c r="DK4" s="28"/>
      <c r="DL4" s="29" t="str">
        <f t="shared" ref="DL4:DL34" si="44">IF(DJ4="","",IF(ISNUMBER(SEARCH("夜勤",DJ4)),"",IF(A4="","","○")))</f>
        <v/>
      </c>
      <c r="DM4" s="30" t="str">
        <f t="shared" ref="DM4:DM34" si="45">IF(A4="","",IF(OR(AND(DK4&lt;&gt;"",NOT(OR(DK4="有給",DK4="休業"))),ISNUMBER(SEARCH("夜勤",DJ4))),"○",""))</f>
        <v/>
      </c>
      <c r="DN4" s="31"/>
      <c r="DO4" s="27"/>
      <c r="DP4" s="28"/>
      <c r="DQ4" s="29" t="str">
        <f t="shared" ref="DQ4:DQ34" si="46">IF(DO4="","",IF(ISNUMBER(SEARCH("夜勤",DO4)),"",IF(A4="","","○")))</f>
        <v/>
      </c>
      <c r="DR4" s="30" t="str">
        <f t="shared" ref="DR4:DR34" si="47">IF(A4="","",IF(OR(AND(DP4&lt;&gt;"",NOT(OR(DP4="有給",DP4="休業"))),ISNUMBER(SEARCH("夜勤",DO4))),"○",""))</f>
        <v/>
      </c>
      <c r="DS4" s="31"/>
      <c r="DT4" s="27"/>
      <c r="DU4" s="28"/>
      <c r="DV4" s="29" t="str">
        <f t="shared" ref="DV4:DV34" si="48">IF(DT4="","",IF(ISNUMBER(SEARCH("夜勤",DT4)),"",IF(A4="","","○")))</f>
        <v/>
      </c>
      <c r="DW4" s="30" t="str">
        <f t="shared" ref="DW4:DW34" si="49">IF(A4="","",IF(OR(AND(DU4&lt;&gt;"",NOT(OR(DU4="有給",DU4="休業"))),ISNUMBER(SEARCH("夜勤",DT4))),"○",""))</f>
        <v/>
      </c>
      <c r="DX4" s="31"/>
      <c r="DY4" s="27"/>
      <c r="DZ4" s="28"/>
      <c r="EA4" s="29" t="str">
        <f t="shared" ref="EA4:EA34" si="50">IF(DY4="","",IF(ISNUMBER(SEARCH("夜勤",DY4)),"",IF(A4="","","○")))</f>
        <v/>
      </c>
      <c r="EB4" s="30" t="str">
        <f t="shared" ref="EB4:EB34" si="51">IF(A4="","",IF(OR(AND(DZ4&lt;&gt;"",NOT(OR(DZ4="有給",DZ4="休業"))),ISNUMBER(SEARCH("夜勤",DY4))),"○",""))</f>
        <v/>
      </c>
      <c r="EC4" s="31"/>
      <c r="ED4" s="27"/>
      <c r="EE4" s="28"/>
      <c r="EF4" s="29" t="str">
        <f t="shared" ref="EF4:EF34" si="52">IF(ED4="","",IF(ISNUMBER(SEARCH("夜勤",ED4)),"",IF(A4="","","○")))</f>
        <v/>
      </c>
      <c r="EG4" s="30" t="str">
        <f t="shared" ref="EG4:EG34" si="53">IF(A4="","",IF(OR(AND(EE4&lt;&gt;"",NOT(OR(EE4="有給",EE4="休業"))),ISNUMBER(SEARCH("夜勤",ED4))),"○",""))</f>
        <v/>
      </c>
      <c r="EH4" s="31"/>
      <c r="EI4" s="27"/>
      <c r="EJ4" s="28"/>
      <c r="EK4" s="29" t="str">
        <f t="shared" ref="EK4:EK34" si="54">IF(EI4="","",IF(ISNUMBER(SEARCH("夜勤",EI4)),"",IF(A4="","","○")))</f>
        <v/>
      </c>
      <c r="EL4" s="30" t="str">
        <f t="shared" ref="EL4:EL34" si="55">IF(A4="","",IF(OR(AND(EJ4&lt;&gt;"",NOT(OR(EJ4="有給",EJ4="休業"))),ISNUMBER(SEARCH("夜勤",EI4))),"○",""))</f>
        <v/>
      </c>
      <c r="EM4" s="31"/>
      <c r="EN4" s="27"/>
      <c r="EO4" s="28"/>
      <c r="EP4" s="29" t="str">
        <f t="shared" ref="EP4:EP34" si="56">IF(EN4="","",IF(ISNUMBER(SEARCH("夜勤",EN4)),"",IF(A4="","","○")))</f>
        <v/>
      </c>
      <c r="EQ4" s="30" t="str">
        <f t="shared" ref="EQ4:EQ34" si="57">IF(A4="","",IF(OR(AND(EO4&lt;&gt;"",NOT(OR(EO4="有給",EO4="休業"))),ISNUMBER(SEARCH("夜勤",EN4))),"○",""))</f>
        <v/>
      </c>
      <c r="ER4" s="31"/>
      <c r="ES4" s="27"/>
      <c r="ET4" s="28"/>
      <c r="EU4" s="29" t="str">
        <f t="shared" ref="EU4:EU34" si="58">IF(ES4="","",IF(ISNUMBER(SEARCH("夜勤",ES4)),"",IF(A4="","","○")))</f>
        <v/>
      </c>
      <c r="EV4" s="30" t="str">
        <f t="shared" ref="EV4:EV34" si="59">IF(A4="","",IF(OR(AND(ET4&lt;&gt;"",NOT(OR(ET4="有給",ET4="休業"))),ISNUMBER(SEARCH("夜勤",ES4))),"○",""))</f>
        <v/>
      </c>
      <c r="EW4" s="31"/>
    </row>
    <row r="5" spans="1:153" ht="19.5" customHeight="1">
      <c r="A5" s="32">
        <f>IF(DAY(DATE(対象年度,4,2))&lt;&gt;2,"",2)</f>
        <v>2</v>
      </c>
      <c r="B5" s="32" t="str">
        <f>IF(DAY(DATE(対象年度,4,2))&lt;&gt;2,"",CHOOSE(WEEKDAY(DATE(対象年度,4,2),2),"月","火","水","木","金","土","日"))</f>
        <v>木</v>
      </c>
      <c r="C5" s="32" t="str">
        <f>IF(DAY(DATE(対象年度,4,2))&lt;&gt;2,"",IF(ISNUMBER(MATCH(DATE(対象年度,4,2),祝日リスト,0)),"祝",""))</f>
        <v/>
      </c>
      <c r="D5" s="38" t="s">
        <v>104</v>
      </c>
      <c r="E5" s="34"/>
      <c r="F5" s="35" t="str">
        <f t="shared" si="0"/>
        <v>○</v>
      </c>
      <c r="G5" s="36" t="str">
        <f t="shared" si="1"/>
        <v/>
      </c>
      <c r="H5" s="37"/>
      <c r="I5" s="38" t="s">
        <v>116</v>
      </c>
      <c r="J5" s="34"/>
      <c r="K5" s="35" t="str">
        <f t="shared" si="2"/>
        <v>○</v>
      </c>
      <c r="L5" s="36" t="str">
        <f t="shared" si="3"/>
        <v/>
      </c>
      <c r="M5" s="37"/>
      <c r="N5" s="38" t="s">
        <v>116</v>
      </c>
      <c r="O5" s="34"/>
      <c r="P5" s="35" t="str">
        <f t="shared" si="4"/>
        <v>○</v>
      </c>
      <c r="Q5" s="36" t="str">
        <f t="shared" si="5"/>
        <v/>
      </c>
      <c r="R5" s="37"/>
      <c r="S5" s="38" t="s">
        <v>116</v>
      </c>
      <c r="T5" s="34"/>
      <c r="U5" s="35" t="str">
        <f t="shared" si="6"/>
        <v>○</v>
      </c>
      <c r="V5" s="36" t="str">
        <f t="shared" si="7"/>
        <v/>
      </c>
      <c r="W5" s="37"/>
      <c r="X5" s="38" t="s">
        <v>116</v>
      </c>
      <c r="Y5" s="34"/>
      <c r="Z5" s="35" t="str">
        <f t="shared" si="8"/>
        <v>○</v>
      </c>
      <c r="AA5" s="36" t="str">
        <f t="shared" si="9"/>
        <v/>
      </c>
      <c r="AB5" s="37"/>
      <c r="AC5" s="38" t="s">
        <v>116</v>
      </c>
      <c r="AD5" s="34"/>
      <c r="AE5" s="35" t="str">
        <f t="shared" si="10"/>
        <v>○</v>
      </c>
      <c r="AF5" s="36" t="str">
        <f t="shared" si="11"/>
        <v/>
      </c>
      <c r="AG5" s="37"/>
      <c r="AH5" s="38" t="s">
        <v>117</v>
      </c>
      <c r="AI5" s="34"/>
      <c r="AJ5" s="35" t="str">
        <f t="shared" si="12"/>
        <v>○</v>
      </c>
      <c r="AK5" s="36" t="str">
        <f t="shared" si="13"/>
        <v/>
      </c>
      <c r="AL5" s="37"/>
      <c r="AM5" s="38" t="s">
        <v>116</v>
      </c>
      <c r="AN5" s="34"/>
      <c r="AO5" s="35" t="str">
        <f t="shared" si="14"/>
        <v>○</v>
      </c>
      <c r="AP5" s="36" t="str">
        <f t="shared" si="15"/>
        <v/>
      </c>
      <c r="AQ5" s="37"/>
      <c r="AR5" s="38" t="s">
        <v>116</v>
      </c>
      <c r="AS5" s="34"/>
      <c r="AT5" s="35" t="str">
        <f t="shared" si="16"/>
        <v>○</v>
      </c>
      <c r="AU5" s="36" t="str">
        <f t="shared" si="17"/>
        <v/>
      </c>
      <c r="AV5" s="37"/>
      <c r="AW5" s="38" t="s">
        <v>124</v>
      </c>
      <c r="AX5" s="34"/>
      <c r="AY5" s="35" t="str">
        <f t="shared" si="18"/>
        <v>○</v>
      </c>
      <c r="AZ5" s="36" t="str">
        <f t="shared" si="19"/>
        <v/>
      </c>
      <c r="BA5" s="37"/>
      <c r="BB5" s="38" t="s">
        <v>104</v>
      </c>
      <c r="BC5" s="34"/>
      <c r="BD5" s="35" t="str">
        <f t="shared" si="20"/>
        <v>○</v>
      </c>
      <c r="BE5" s="36" t="str">
        <f t="shared" si="21"/>
        <v/>
      </c>
      <c r="BF5" s="37"/>
      <c r="BG5" s="33"/>
      <c r="BH5" s="34"/>
      <c r="BI5" s="35" t="str">
        <f t="shared" si="22"/>
        <v/>
      </c>
      <c r="BJ5" s="36" t="str">
        <f t="shared" si="23"/>
        <v/>
      </c>
      <c r="BK5" s="37"/>
      <c r="BL5" s="33"/>
      <c r="BM5" s="34"/>
      <c r="BN5" s="35" t="str">
        <f t="shared" si="24"/>
        <v/>
      </c>
      <c r="BO5" s="36" t="str">
        <f t="shared" si="25"/>
        <v/>
      </c>
      <c r="BP5" s="37"/>
      <c r="BQ5" s="33"/>
      <c r="BR5" s="34"/>
      <c r="BS5" s="35" t="str">
        <f t="shared" si="26"/>
        <v/>
      </c>
      <c r="BT5" s="36" t="str">
        <f t="shared" si="27"/>
        <v/>
      </c>
      <c r="BU5" s="37"/>
      <c r="BV5" s="33"/>
      <c r="BW5" s="34"/>
      <c r="BX5" s="35" t="str">
        <f t="shared" si="28"/>
        <v/>
      </c>
      <c r="BY5" s="36" t="str">
        <f t="shared" si="29"/>
        <v/>
      </c>
      <c r="BZ5" s="37"/>
      <c r="CA5" s="33"/>
      <c r="CB5" s="34"/>
      <c r="CC5" s="35" t="str">
        <f t="shared" si="30"/>
        <v/>
      </c>
      <c r="CD5" s="36" t="str">
        <f t="shared" si="31"/>
        <v/>
      </c>
      <c r="CE5" s="37"/>
      <c r="CF5" s="33"/>
      <c r="CG5" s="34"/>
      <c r="CH5" s="35" t="str">
        <f t="shared" si="32"/>
        <v/>
      </c>
      <c r="CI5" s="36" t="str">
        <f t="shared" si="33"/>
        <v/>
      </c>
      <c r="CJ5" s="37"/>
      <c r="CK5" s="33"/>
      <c r="CL5" s="34"/>
      <c r="CM5" s="35" t="str">
        <f t="shared" si="34"/>
        <v/>
      </c>
      <c r="CN5" s="36" t="str">
        <f t="shared" si="35"/>
        <v/>
      </c>
      <c r="CO5" s="37"/>
      <c r="CP5" s="33"/>
      <c r="CQ5" s="34"/>
      <c r="CR5" s="35" t="str">
        <f t="shared" si="36"/>
        <v/>
      </c>
      <c r="CS5" s="36" t="str">
        <f t="shared" si="37"/>
        <v/>
      </c>
      <c r="CT5" s="37"/>
      <c r="CU5" s="33"/>
      <c r="CV5" s="34"/>
      <c r="CW5" s="35" t="str">
        <f t="shared" si="38"/>
        <v/>
      </c>
      <c r="CX5" s="36" t="str">
        <f t="shared" si="39"/>
        <v/>
      </c>
      <c r="CY5" s="37"/>
      <c r="CZ5" s="33"/>
      <c r="DA5" s="34"/>
      <c r="DB5" s="35" t="str">
        <f t="shared" si="40"/>
        <v/>
      </c>
      <c r="DC5" s="36" t="str">
        <f t="shared" si="41"/>
        <v/>
      </c>
      <c r="DD5" s="37"/>
      <c r="DE5" s="33"/>
      <c r="DF5" s="34"/>
      <c r="DG5" s="35" t="str">
        <f t="shared" si="42"/>
        <v/>
      </c>
      <c r="DH5" s="36" t="str">
        <f t="shared" si="43"/>
        <v/>
      </c>
      <c r="DI5" s="37"/>
      <c r="DJ5" s="33"/>
      <c r="DK5" s="34"/>
      <c r="DL5" s="35" t="str">
        <f t="shared" si="44"/>
        <v/>
      </c>
      <c r="DM5" s="36" t="str">
        <f t="shared" si="45"/>
        <v/>
      </c>
      <c r="DN5" s="37"/>
      <c r="DO5" s="33"/>
      <c r="DP5" s="34"/>
      <c r="DQ5" s="35" t="str">
        <f t="shared" si="46"/>
        <v/>
      </c>
      <c r="DR5" s="36" t="str">
        <f t="shared" si="47"/>
        <v/>
      </c>
      <c r="DS5" s="37"/>
      <c r="DT5" s="33"/>
      <c r="DU5" s="34"/>
      <c r="DV5" s="35" t="str">
        <f t="shared" si="48"/>
        <v/>
      </c>
      <c r="DW5" s="36" t="str">
        <f t="shared" si="49"/>
        <v/>
      </c>
      <c r="DX5" s="37"/>
      <c r="DY5" s="33"/>
      <c r="DZ5" s="34"/>
      <c r="EA5" s="35" t="str">
        <f t="shared" si="50"/>
        <v/>
      </c>
      <c r="EB5" s="36" t="str">
        <f t="shared" si="51"/>
        <v/>
      </c>
      <c r="EC5" s="37"/>
      <c r="ED5" s="33"/>
      <c r="EE5" s="34"/>
      <c r="EF5" s="35" t="str">
        <f t="shared" si="52"/>
        <v/>
      </c>
      <c r="EG5" s="36" t="str">
        <f t="shared" si="53"/>
        <v/>
      </c>
      <c r="EH5" s="37"/>
      <c r="EI5" s="33"/>
      <c r="EJ5" s="34"/>
      <c r="EK5" s="35" t="str">
        <f t="shared" si="54"/>
        <v/>
      </c>
      <c r="EL5" s="36" t="str">
        <f t="shared" si="55"/>
        <v/>
      </c>
      <c r="EM5" s="37"/>
      <c r="EN5" s="33"/>
      <c r="EO5" s="34"/>
      <c r="EP5" s="35" t="str">
        <f t="shared" si="56"/>
        <v/>
      </c>
      <c r="EQ5" s="36" t="str">
        <f t="shared" si="57"/>
        <v/>
      </c>
      <c r="ER5" s="37"/>
      <c r="ES5" s="33"/>
      <c r="ET5" s="34"/>
      <c r="EU5" s="35" t="str">
        <f t="shared" si="58"/>
        <v/>
      </c>
      <c r="EV5" s="36" t="str">
        <f t="shared" si="59"/>
        <v/>
      </c>
      <c r="EW5" s="37"/>
    </row>
    <row r="6" spans="1:153" ht="19.5" customHeight="1">
      <c r="A6" s="32">
        <f>IF(DAY(DATE(対象年度,4,3))&lt;&gt;3,"",3)</f>
        <v>3</v>
      </c>
      <c r="B6" s="32" t="str">
        <f>IF(DAY(DATE(対象年度,4,3))&lt;&gt;3,"",CHOOSE(WEEKDAY(DATE(対象年度,4,3),2),"月","火","水","木","金","土","日"))</f>
        <v>金</v>
      </c>
      <c r="C6" s="32" t="str">
        <f>IF(DAY(DATE(対象年度,4,3))&lt;&gt;3,"",IF(ISNUMBER(MATCH(DATE(対象年度,4,3),祝日リスト,0)),"祝",""))</f>
        <v/>
      </c>
      <c r="D6" s="38" t="s">
        <v>104</v>
      </c>
      <c r="E6" s="34"/>
      <c r="F6" s="35" t="str">
        <f t="shared" si="0"/>
        <v>○</v>
      </c>
      <c r="G6" s="36" t="str">
        <f t="shared" si="1"/>
        <v/>
      </c>
      <c r="H6" s="37"/>
      <c r="I6" s="38" t="s">
        <v>116</v>
      </c>
      <c r="J6" s="34"/>
      <c r="K6" s="35" t="str">
        <f t="shared" si="2"/>
        <v>○</v>
      </c>
      <c r="L6" s="36" t="str">
        <f t="shared" si="3"/>
        <v/>
      </c>
      <c r="M6" s="37"/>
      <c r="N6" s="38" t="s">
        <v>116</v>
      </c>
      <c r="O6" s="34"/>
      <c r="P6" s="35" t="str">
        <f t="shared" si="4"/>
        <v>○</v>
      </c>
      <c r="Q6" s="36" t="str">
        <f t="shared" si="5"/>
        <v/>
      </c>
      <c r="R6" s="37"/>
      <c r="S6" s="38" t="s">
        <v>116</v>
      </c>
      <c r="T6" s="34"/>
      <c r="U6" s="35" t="str">
        <f t="shared" si="6"/>
        <v>○</v>
      </c>
      <c r="V6" s="36" t="str">
        <f t="shared" si="7"/>
        <v/>
      </c>
      <c r="W6" s="37"/>
      <c r="X6" s="38" t="s">
        <v>116</v>
      </c>
      <c r="Y6" s="34"/>
      <c r="Z6" s="35" t="str">
        <f t="shared" si="8"/>
        <v>○</v>
      </c>
      <c r="AA6" s="36" t="str">
        <f t="shared" si="9"/>
        <v/>
      </c>
      <c r="AB6" s="37"/>
      <c r="AC6" s="38" t="s">
        <v>116</v>
      </c>
      <c r="AD6" s="34"/>
      <c r="AE6" s="35" t="str">
        <f t="shared" si="10"/>
        <v>○</v>
      </c>
      <c r="AF6" s="36" t="str">
        <f t="shared" si="11"/>
        <v/>
      </c>
      <c r="AG6" s="37"/>
      <c r="AH6" s="38" t="s">
        <v>117</v>
      </c>
      <c r="AI6" s="34"/>
      <c r="AJ6" s="35" t="str">
        <f t="shared" si="12"/>
        <v>○</v>
      </c>
      <c r="AK6" s="36" t="str">
        <f t="shared" si="13"/>
        <v/>
      </c>
      <c r="AL6" s="37"/>
      <c r="AM6" s="38" t="s">
        <v>116</v>
      </c>
      <c r="AN6" s="34"/>
      <c r="AO6" s="35" t="str">
        <f t="shared" si="14"/>
        <v>○</v>
      </c>
      <c r="AP6" s="36" t="str">
        <f t="shared" si="15"/>
        <v/>
      </c>
      <c r="AQ6" s="37"/>
      <c r="AR6" s="33"/>
      <c r="AS6" s="34"/>
      <c r="AT6" s="35" t="str">
        <f t="shared" si="16"/>
        <v/>
      </c>
      <c r="AU6" s="36" t="str">
        <f t="shared" si="17"/>
        <v/>
      </c>
      <c r="AV6" s="37"/>
      <c r="AW6" s="38" t="s">
        <v>124</v>
      </c>
      <c r="AX6" s="34"/>
      <c r="AY6" s="35" t="str">
        <f t="shared" si="18"/>
        <v>○</v>
      </c>
      <c r="AZ6" s="36" t="str">
        <f t="shared" si="19"/>
        <v/>
      </c>
      <c r="BA6" s="37"/>
      <c r="BB6" s="38" t="s">
        <v>104</v>
      </c>
      <c r="BC6" s="34"/>
      <c r="BD6" s="35" t="str">
        <f t="shared" si="20"/>
        <v>○</v>
      </c>
      <c r="BE6" s="36" t="str">
        <f t="shared" si="21"/>
        <v/>
      </c>
      <c r="BF6" s="37"/>
      <c r="BG6" s="33"/>
      <c r="BH6" s="34"/>
      <c r="BI6" s="35" t="str">
        <f t="shared" si="22"/>
        <v/>
      </c>
      <c r="BJ6" s="36" t="str">
        <f t="shared" si="23"/>
        <v/>
      </c>
      <c r="BK6" s="37"/>
      <c r="BL6" s="33"/>
      <c r="BM6" s="34"/>
      <c r="BN6" s="35" t="str">
        <f t="shared" si="24"/>
        <v/>
      </c>
      <c r="BO6" s="36" t="str">
        <f t="shared" si="25"/>
        <v/>
      </c>
      <c r="BP6" s="37"/>
      <c r="BQ6" s="33"/>
      <c r="BR6" s="34"/>
      <c r="BS6" s="35" t="str">
        <f t="shared" si="26"/>
        <v/>
      </c>
      <c r="BT6" s="36" t="str">
        <f t="shared" si="27"/>
        <v/>
      </c>
      <c r="BU6" s="37"/>
      <c r="BV6" s="33"/>
      <c r="BW6" s="34"/>
      <c r="BX6" s="35" t="str">
        <f t="shared" si="28"/>
        <v/>
      </c>
      <c r="BY6" s="36" t="str">
        <f t="shared" si="29"/>
        <v/>
      </c>
      <c r="BZ6" s="37"/>
      <c r="CA6" s="33"/>
      <c r="CB6" s="34"/>
      <c r="CC6" s="35" t="str">
        <f t="shared" si="30"/>
        <v/>
      </c>
      <c r="CD6" s="36" t="str">
        <f t="shared" si="31"/>
        <v/>
      </c>
      <c r="CE6" s="37"/>
      <c r="CF6" s="33"/>
      <c r="CG6" s="34"/>
      <c r="CH6" s="35" t="str">
        <f t="shared" si="32"/>
        <v/>
      </c>
      <c r="CI6" s="36" t="str">
        <f t="shared" si="33"/>
        <v/>
      </c>
      <c r="CJ6" s="37"/>
      <c r="CK6" s="33"/>
      <c r="CL6" s="34"/>
      <c r="CM6" s="35" t="str">
        <f t="shared" si="34"/>
        <v/>
      </c>
      <c r="CN6" s="36" t="str">
        <f t="shared" si="35"/>
        <v/>
      </c>
      <c r="CO6" s="37"/>
      <c r="CP6" s="33"/>
      <c r="CQ6" s="34"/>
      <c r="CR6" s="35" t="str">
        <f t="shared" si="36"/>
        <v/>
      </c>
      <c r="CS6" s="36" t="str">
        <f t="shared" si="37"/>
        <v/>
      </c>
      <c r="CT6" s="37"/>
      <c r="CU6" s="33"/>
      <c r="CV6" s="34"/>
      <c r="CW6" s="35" t="str">
        <f t="shared" si="38"/>
        <v/>
      </c>
      <c r="CX6" s="36" t="str">
        <f t="shared" si="39"/>
        <v/>
      </c>
      <c r="CY6" s="37"/>
      <c r="CZ6" s="33"/>
      <c r="DA6" s="34"/>
      <c r="DB6" s="35" t="str">
        <f t="shared" si="40"/>
        <v/>
      </c>
      <c r="DC6" s="36" t="str">
        <f t="shared" si="41"/>
        <v/>
      </c>
      <c r="DD6" s="37"/>
      <c r="DE6" s="33"/>
      <c r="DF6" s="34"/>
      <c r="DG6" s="35" t="str">
        <f t="shared" si="42"/>
        <v/>
      </c>
      <c r="DH6" s="36" t="str">
        <f t="shared" si="43"/>
        <v/>
      </c>
      <c r="DI6" s="37"/>
      <c r="DJ6" s="33"/>
      <c r="DK6" s="34"/>
      <c r="DL6" s="35" t="str">
        <f t="shared" si="44"/>
        <v/>
      </c>
      <c r="DM6" s="36" t="str">
        <f t="shared" si="45"/>
        <v/>
      </c>
      <c r="DN6" s="37"/>
      <c r="DO6" s="33"/>
      <c r="DP6" s="34"/>
      <c r="DQ6" s="35" t="str">
        <f t="shared" si="46"/>
        <v/>
      </c>
      <c r="DR6" s="36" t="str">
        <f t="shared" si="47"/>
        <v/>
      </c>
      <c r="DS6" s="37"/>
      <c r="DT6" s="33"/>
      <c r="DU6" s="34"/>
      <c r="DV6" s="35" t="str">
        <f t="shared" si="48"/>
        <v/>
      </c>
      <c r="DW6" s="36" t="str">
        <f t="shared" si="49"/>
        <v/>
      </c>
      <c r="DX6" s="37"/>
      <c r="DY6" s="33"/>
      <c r="DZ6" s="34"/>
      <c r="EA6" s="35" t="str">
        <f t="shared" si="50"/>
        <v/>
      </c>
      <c r="EB6" s="36" t="str">
        <f t="shared" si="51"/>
        <v/>
      </c>
      <c r="EC6" s="37"/>
      <c r="ED6" s="33"/>
      <c r="EE6" s="34"/>
      <c r="EF6" s="35" t="str">
        <f t="shared" si="52"/>
        <v/>
      </c>
      <c r="EG6" s="36" t="str">
        <f t="shared" si="53"/>
        <v/>
      </c>
      <c r="EH6" s="37"/>
      <c r="EI6" s="33"/>
      <c r="EJ6" s="34"/>
      <c r="EK6" s="35" t="str">
        <f t="shared" si="54"/>
        <v/>
      </c>
      <c r="EL6" s="36" t="str">
        <f t="shared" si="55"/>
        <v/>
      </c>
      <c r="EM6" s="37"/>
      <c r="EN6" s="33"/>
      <c r="EO6" s="34"/>
      <c r="EP6" s="35" t="str">
        <f t="shared" si="56"/>
        <v/>
      </c>
      <c r="EQ6" s="36" t="str">
        <f t="shared" si="57"/>
        <v/>
      </c>
      <c r="ER6" s="37"/>
      <c r="ES6" s="33"/>
      <c r="ET6" s="34"/>
      <c r="EU6" s="35" t="str">
        <f t="shared" si="58"/>
        <v/>
      </c>
      <c r="EV6" s="36" t="str">
        <f t="shared" si="59"/>
        <v/>
      </c>
      <c r="EW6" s="37"/>
    </row>
    <row r="7" spans="1:153" ht="19.5" customHeight="1">
      <c r="A7" s="32">
        <f>IF(DAY(DATE(対象年度,4,4))&lt;&gt;4,"",4)</f>
        <v>4</v>
      </c>
      <c r="B7" s="32" t="str">
        <f>IF(DAY(DATE(対象年度,4,4))&lt;&gt;4,"",CHOOSE(WEEKDAY(DATE(対象年度,4,4),2),"月","火","水","木","金","土","日"))</f>
        <v>土</v>
      </c>
      <c r="C7" s="32" t="str">
        <f>IF(DAY(DATE(対象年度,4,4))&lt;&gt;4,"",IF(ISNUMBER(MATCH(DATE(対象年度,4,4),祝日リスト,0)),"祝",""))</f>
        <v/>
      </c>
      <c r="D7" s="33"/>
      <c r="E7" s="34"/>
      <c r="F7" s="35" t="str">
        <f t="shared" si="0"/>
        <v/>
      </c>
      <c r="G7" s="36" t="str">
        <f t="shared" si="1"/>
        <v/>
      </c>
      <c r="H7" s="37"/>
      <c r="I7" s="33"/>
      <c r="J7" s="34"/>
      <c r="K7" s="35" t="str">
        <f t="shared" si="2"/>
        <v/>
      </c>
      <c r="L7" s="36" t="str">
        <f t="shared" si="3"/>
        <v/>
      </c>
      <c r="M7" s="37"/>
      <c r="N7" s="38" t="s">
        <v>116</v>
      </c>
      <c r="O7" s="34"/>
      <c r="P7" s="35" t="str">
        <f t="shared" si="4"/>
        <v>○</v>
      </c>
      <c r="Q7" s="36" t="str">
        <f t="shared" si="5"/>
        <v/>
      </c>
      <c r="R7" s="37"/>
      <c r="S7" s="38" t="s">
        <v>116</v>
      </c>
      <c r="T7" s="34"/>
      <c r="U7" s="35" t="str">
        <f t="shared" si="6"/>
        <v>○</v>
      </c>
      <c r="V7" s="36" t="str">
        <f t="shared" si="7"/>
        <v/>
      </c>
      <c r="W7" s="37"/>
      <c r="X7" s="38" t="s">
        <v>116</v>
      </c>
      <c r="Y7" s="34"/>
      <c r="Z7" s="35" t="str">
        <f t="shared" si="8"/>
        <v>○</v>
      </c>
      <c r="AA7" s="36" t="str">
        <f t="shared" si="9"/>
        <v/>
      </c>
      <c r="AB7" s="37"/>
      <c r="AC7" s="38" t="s">
        <v>116</v>
      </c>
      <c r="AD7" s="34"/>
      <c r="AE7" s="35" t="str">
        <f t="shared" si="10"/>
        <v>○</v>
      </c>
      <c r="AF7" s="36" t="str">
        <f t="shared" si="11"/>
        <v/>
      </c>
      <c r="AG7" s="37"/>
      <c r="AH7" s="33"/>
      <c r="AI7" s="34"/>
      <c r="AJ7" s="35" t="str">
        <f t="shared" si="12"/>
        <v/>
      </c>
      <c r="AK7" s="36" t="str">
        <f t="shared" si="13"/>
        <v/>
      </c>
      <c r="AL7" s="37"/>
      <c r="AM7" s="33"/>
      <c r="AN7" s="34"/>
      <c r="AO7" s="35" t="str">
        <f t="shared" si="14"/>
        <v/>
      </c>
      <c r="AP7" s="36" t="str">
        <f t="shared" si="15"/>
        <v/>
      </c>
      <c r="AQ7" s="37"/>
      <c r="AR7" s="38" t="s">
        <v>116</v>
      </c>
      <c r="AS7" s="34"/>
      <c r="AT7" s="35" t="str">
        <f t="shared" si="16"/>
        <v>○</v>
      </c>
      <c r="AU7" s="36" t="str">
        <f t="shared" si="17"/>
        <v/>
      </c>
      <c r="AV7" s="37"/>
      <c r="AW7" s="33"/>
      <c r="AX7" s="34"/>
      <c r="AY7" s="35" t="str">
        <f t="shared" si="18"/>
        <v/>
      </c>
      <c r="AZ7" s="36" t="str">
        <f t="shared" si="19"/>
        <v/>
      </c>
      <c r="BA7" s="37"/>
      <c r="BB7" s="33"/>
      <c r="BC7" s="34"/>
      <c r="BD7" s="35" t="str">
        <f t="shared" si="20"/>
        <v/>
      </c>
      <c r="BE7" s="36" t="str">
        <f t="shared" si="21"/>
        <v/>
      </c>
      <c r="BF7" s="37"/>
      <c r="BG7" s="33"/>
      <c r="BH7" s="34"/>
      <c r="BI7" s="35" t="str">
        <f t="shared" si="22"/>
        <v/>
      </c>
      <c r="BJ7" s="36" t="str">
        <f t="shared" si="23"/>
        <v/>
      </c>
      <c r="BK7" s="37"/>
      <c r="BL7" s="33"/>
      <c r="BM7" s="34"/>
      <c r="BN7" s="35" t="str">
        <f t="shared" si="24"/>
        <v/>
      </c>
      <c r="BO7" s="36" t="str">
        <f t="shared" si="25"/>
        <v/>
      </c>
      <c r="BP7" s="37"/>
      <c r="BQ7" s="33"/>
      <c r="BR7" s="34"/>
      <c r="BS7" s="35" t="str">
        <f t="shared" si="26"/>
        <v/>
      </c>
      <c r="BT7" s="36" t="str">
        <f t="shared" si="27"/>
        <v/>
      </c>
      <c r="BU7" s="37"/>
      <c r="BV7" s="33"/>
      <c r="BW7" s="34"/>
      <c r="BX7" s="35" t="str">
        <f t="shared" si="28"/>
        <v/>
      </c>
      <c r="BY7" s="36" t="str">
        <f t="shared" si="29"/>
        <v/>
      </c>
      <c r="BZ7" s="37"/>
      <c r="CA7" s="33"/>
      <c r="CB7" s="34"/>
      <c r="CC7" s="35" t="str">
        <f t="shared" si="30"/>
        <v/>
      </c>
      <c r="CD7" s="36" t="str">
        <f t="shared" si="31"/>
        <v/>
      </c>
      <c r="CE7" s="37"/>
      <c r="CF7" s="33"/>
      <c r="CG7" s="34"/>
      <c r="CH7" s="35" t="str">
        <f t="shared" si="32"/>
        <v/>
      </c>
      <c r="CI7" s="36" t="str">
        <f t="shared" si="33"/>
        <v/>
      </c>
      <c r="CJ7" s="37"/>
      <c r="CK7" s="33"/>
      <c r="CL7" s="34"/>
      <c r="CM7" s="35" t="str">
        <f t="shared" si="34"/>
        <v/>
      </c>
      <c r="CN7" s="36" t="str">
        <f t="shared" si="35"/>
        <v/>
      </c>
      <c r="CO7" s="37"/>
      <c r="CP7" s="33"/>
      <c r="CQ7" s="34"/>
      <c r="CR7" s="35" t="str">
        <f t="shared" si="36"/>
        <v/>
      </c>
      <c r="CS7" s="36" t="str">
        <f t="shared" si="37"/>
        <v/>
      </c>
      <c r="CT7" s="37"/>
      <c r="CU7" s="33"/>
      <c r="CV7" s="34"/>
      <c r="CW7" s="35" t="str">
        <f t="shared" si="38"/>
        <v/>
      </c>
      <c r="CX7" s="36" t="str">
        <f t="shared" si="39"/>
        <v/>
      </c>
      <c r="CY7" s="37"/>
      <c r="CZ7" s="33"/>
      <c r="DA7" s="34"/>
      <c r="DB7" s="35" t="str">
        <f t="shared" si="40"/>
        <v/>
      </c>
      <c r="DC7" s="36" t="str">
        <f t="shared" si="41"/>
        <v/>
      </c>
      <c r="DD7" s="37"/>
      <c r="DE7" s="33"/>
      <c r="DF7" s="34"/>
      <c r="DG7" s="35" t="str">
        <f t="shared" si="42"/>
        <v/>
      </c>
      <c r="DH7" s="36" t="str">
        <f t="shared" si="43"/>
        <v/>
      </c>
      <c r="DI7" s="37"/>
      <c r="DJ7" s="33"/>
      <c r="DK7" s="34"/>
      <c r="DL7" s="35" t="str">
        <f t="shared" si="44"/>
        <v/>
      </c>
      <c r="DM7" s="36" t="str">
        <f t="shared" si="45"/>
        <v/>
      </c>
      <c r="DN7" s="37"/>
      <c r="DO7" s="33"/>
      <c r="DP7" s="34"/>
      <c r="DQ7" s="35" t="str">
        <f t="shared" si="46"/>
        <v/>
      </c>
      <c r="DR7" s="36" t="str">
        <f t="shared" si="47"/>
        <v/>
      </c>
      <c r="DS7" s="37"/>
      <c r="DT7" s="33"/>
      <c r="DU7" s="34"/>
      <c r="DV7" s="35" t="str">
        <f t="shared" si="48"/>
        <v/>
      </c>
      <c r="DW7" s="36" t="str">
        <f t="shared" si="49"/>
        <v/>
      </c>
      <c r="DX7" s="37"/>
      <c r="DY7" s="33"/>
      <c r="DZ7" s="34"/>
      <c r="EA7" s="35" t="str">
        <f t="shared" si="50"/>
        <v/>
      </c>
      <c r="EB7" s="36" t="str">
        <f t="shared" si="51"/>
        <v/>
      </c>
      <c r="EC7" s="37"/>
      <c r="ED7" s="33"/>
      <c r="EE7" s="34"/>
      <c r="EF7" s="35" t="str">
        <f t="shared" si="52"/>
        <v/>
      </c>
      <c r="EG7" s="36" t="str">
        <f t="shared" si="53"/>
        <v/>
      </c>
      <c r="EH7" s="37"/>
      <c r="EI7" s="33"/>
      <c r="EJ7" s="34"/>
      <c r="EK7" s="35" t="str">
        <f t="shared" si="54"/>
        <v/>
      </c>
      <c r="EL7" s="36" t="str">
        <f t="shared" si="55"/>
        <v/>
      </c>
      <c r="EM7" s="37"/>
      <c r="EN7" s="33"/>
      <c r="EO7" s="34"/>
      <c r="EP7" s="35" t="str">
        <f t="shared" si="56"/>
        <v/>
      </c>
      <c r="EQ7" s="36" t="str">
        <f t="shared" si="57"/>
        <v/>
      </c>
      <c r="ER7" s="37"/>
      <c r="ES7" s="33"/>
      <c r="ET7" s="34"/>
      <c r="EU7" s="35" t="str">
        <f t="shared" si="58"/>
        <v/>
      </c>
      <c r="EV7" s="36" t="str">
        <f t="shared" si="59"/>
        <v/>
      </c>
      <c r="EW7" s="37"/>
    </row>
    <row r="8" spans="1:153" ht="19.5" customHeight="1">
      <c r="A8" s="32">
        <f>IF(DAY(DATE(対象年度,4,5))&lt;&gt;5,"",5)</f>
        <v>5</v>
      </c>
      <c r="B8" s="32" t="str">
        <f>IF(DAY(DATE(対象年度,4,5))&lt;&gt;5,"",CHOOSE(WEEKDAY(DATE(対象年度,4,5),2),"月","火","水","木","金","土","日"))</f>
        <v>日</v>
      </c>
      <c r="C8" s="32" t="str">
        <f>IF(DAY(DATE(対象年度,4,5))&lt;&gt;5,"",IF(ISNUMBER(MATCH(DATE(対象年度,4,5),祝日リスト,0)),"祝",""))</f>
        <v/>
      </c>
      <c r="D8" s="33"/>
      <c r="E8" s="34"/>
      <c r="F8" s="35" t="str">
        <f t="shared" si="0"/>
        <v/>
      </c>
      <c r="G8" s="36" t="str">
        <f t="shared" si="1"/>
        <v/>
      </c>
      <c r="H8" s="37"/>
      <c r="I8" s="33"/>
      <c r="J8" s="34"/>
      <c r="K8" s="35" t="str">
        <f t="shared" si="2"/>
        <v/>
      </c>
      <c r="L8" s="36" t="str">
        <f t="shared" si="3"/>
        <v/>
      </c>
      <c r="M8" s="37"/>
      <c r="N8" s="33"/>
      <c r="O8" s="34"/>
      <c r="P8" s="35" t="str">
        <f t="shared" si="4"/>
        <v/>
      </c>
      <c r="Q8" s="36" t="str">
        <f t="shared" si="5"/>
        <v/>
      </c>
      <c r="R8" s="37"/>
      <c r="S8" s="33"/>
      <c r="T8" s="34"/>
      <c r="U8" s="35" t="str">
        <f t="shared" si="6"/>
        <v/>
      </c>
      <c r="V8" s="36" t="str">
        <f t="shared" si="7"/>
        <v/>
      </c>
      <c r="W8" s="37"/>
      <c r="X8" s="33"/>
      <c r="Y8" s="34"/>
      <c r="Z8" s="35" t="str">
        <f t="shared" si="8"/>
        <v/>
      </c>
      <c r="AA8" s="36" t="str">
        <f t="shared" si="9"/>
        <v/>
      </c>
      <c r="AB8" s="37"/>
      <c r="AC8" s="33"/>
      <c r="AD8" s="34"/>
      <c r="AE8" s="35" t="str">
        <f t="shared" si="10"/>
        <v/>
      </c>
      <c r="AF8" s="36" t="str">
        <f t="shared" si="11"/>
        <v/>
      </c>
      <c r="AG8" s="37"/>
      <c r="AH8" s="33"/>
      <c r="AI8" s="34"/>
      <c r="AJ8" s="35" t="str">
        <f t="shared" si="12"/>
        <v/>
      </c>
      <c r="AK8" s="36" t="str">
        <f t="shared" si="13"/>
        <v/>
      </c>
      <c r="AL8" s="37"/>
      <c r="AM8" s="33"/>
      <c r="AN8" s="34"/>
      <c r="AO8" s="35" t="str">
        <f t="shared" si="14"/>
        <v/>
      </c>
      <c r="AP8" s="36" t="str">
        <f t="shared" si="15"/>
        <v/>
      </c>
      <c r="AQ8" s="37"/>
      <c r="AR8" s="33"/>
      <c r="AS8" s="34"/>
      <c r="AT8" s="35" t="str">
        <f t="shared" si="16"/>
        <v/>
      </c>
      <c r="AU8" s="36" t="str">
        <f t="shared" si="17"/>
        <v/>
      </c>
      <c r="AV8" s="37"/>
      <c r="AW8" s="33"/>
      <c r="AX8" s="34"/>
      <c r="AY8" s="35" t="str">
        <f t="shared" si="18"/>
        <v/>
      </c>
      <c r="AZ8" s="36" t="str">
        <f t="shared" si="19"/>
        <v/>
      </c>
      <c r="BA8" s="37"/>
      <c r="BB8" s="33"/>
      <c r="BC8" s="34"/>
      <c r="BD8" s="35" t="str">
        <f t="shared" si="20"/>
        <v/>
      </c>
      <c r="BE8" s="36" t="str">
        <f t="shared" si="21"/>
        <v/>
      </c>
      <c r="BF8" s="37"/>
      <c r="BG8" s="33"/>
      <c r="BH8" s="34"/>
      <c r="BI8" s="35" t="str">
        <f t="shared" si="22"/>
        <v/>
      </c>
      <c r="BJ8" s="36" t="str">
        <f t="shared" si="23"/>
        <v/>
      </c>
      <c r="BK8" s="37"/>
      <c r="BL8" s="33"/>
      <c r="BM8" s="34"/>
      <c r="BN8" s="35" t="str">
        <f t="shared" si="24"/>
        <v/>
      </c>
      <c r="BO8" s="36" t="str">
        <f t="shared" si="25"/>
        <v/>
      </c>
      <c r="BP8" s="37"/>
      <c r="BQ8" s="33"/>
      <c r="BR8" s="34"/>
      <c r="BS8" s="35" t="str">
        <f t="shared" si="26"/>
        <v/>
      </c>
      <c r="BT8" s="36" t="str">
        <f t="shared" si="27"/>
        <v/>
      </c>
      <c r="BU8" s="37"/>
      <c r="BV8" s="33"/>
      <c r="BW8" s="34"/>
      <c r="BX8" s="35" t="str">
        <f t="shared" si="28"/>
        <v/>
      </c>
      <c r="BY8" s="36" t="str">
        <f t="shared" si="29"/>
        <v/>
      </c>
      <c r="BZ8" s="37"/>
      <c r="CA8" s="33"/>
      <c r="CB8" s="34"/>
      <c r="CC8" s="35" t="str">
        <f t="shared" si="30"/>
        <v/>
      </c>
      <c r="CD8" s="36" t="str">
        <f t="shared" si="31"/>
        <v/>
      </c>
      <c r="CE8" s="37"/>
      <c r="CF8" s="33"/>
      <c r="CG8" s="34"/>
      <c r="CH8" s="35" t="str">
        <f t="shared" si="32"/>
        <v/>
      </c>
      <c r="CI8" s="36" t="str">
        <f t="shared" si="33"/>
        <v/>
      </c>
      <c r="CJ8" s="37"/>
      <c r="CK8" s="33"/>
      <c r="CL8" s="34"/>
      <c r="CM8" s="35" t="str">
        <f t="shared" si="34"/>
        <v/>
      </c>
      <c r="CN8" s="36" t="str">
        <f t="shared" si="35"/>
        <v/>
      </c>
      <c r="CO8" s="37"/>
      <c r="CP8" s="33"/>
      <c r="CQ8" s="34"/>
      <c r="CR8" s="35" t="str">
        <f t="shared" si="36"/>
        <v/>
      </c>
      <c r="CS8" s="36" t="str">
        <f t="shared" si="37"/>
        <v/>
      </c>
      <c r="CT8" s="37"/>
      <c r="CU8" s="33"/>
      <c r="CV8" s="34"/>
      <c r="CW8" s="35" t="str">
        <f t="shared" si="38"/>
        <v/>
      </c>
      <c r="CX8" s="36" t="str">
        <f t="shared" si="39"/>
        <v/>
      </c>
      <c r="CY8" s="37"/>
      <c r="CZ8" s="33"/>
      <c r="DA8" s="34"/>
      <c r="DB8" s="35" t="str">
        <f t="shared" si="40"/>
        <v/>
      </c>
      <c r="DC8" s="36" t="str">
        <f t="shared" si="41"/>
        <v/>
      </c>
      <c r="DD8" s="37"/>
      <c r="DE8" s="33"/>
      <c r="DF8" s="34"/>
      <c r="DG8" s="35" t="str">
        <f t="shared" si="42"/>
        <v/>
      </c>
      <c r="DH8" s="36" t="str">
        <f t="shared" si="43"/>
        <v/>
      </c>
      <c r="DI8" s="37"/>
      <c r="DJ8" s="33"/>
      <c r="DK8" s="34"/>
      <c r="DL8" s="35" t="str">
        <f t="shared" si="44"/>
        <v/>
      </c>
      <c r="DM8" s="36" t="str">
        <f t="shared" si="45"/>
        <v/>
      </c>
      <c r="DN8" s="37"/>
      <c r="DO8" s="33"/>
      <c r="DP8" s="34"/>
      <c r="DQ8" s="35" t="str">
        <f t="shared" si="46"/>
        <v/>
      </c>
      <c r="DR8" s="36" t="str">
        <f t="shared" si="47"/>
        <v/>
      </c>
      <c r="DS8" s="37"/>
      <c r="DT8" s="33"/>
      <c r="DU8" s="34"/>
      <c r="DV8" s="35" t="str">
        <f t="shared" si="48"/>
        <v/>
      </c>
      <c r="DW8" s="36" t="str">
        <f t="shared" si="49"/>
        <v/>
      </c>
      <c r="DX8" s="37"/>
      <c r="DY8" s="33"/>
      <c r="DZ8" s="34"/>
      <c r="EA8" s="35" t="str">
        <f t="shared" si="50"/>
        <v/>
      </c>
      <c r="EB8" s="36" t="str">
        <f t="shared" si="51"/>
        <v/>
      </c>
      <c r="EC8" s="37"/>
      <c r="ED8" s="33"/>
      <c r="EE8" s="34"/>
      <c r="EF8" s="35" t="str">
        <f t="shared" si="52"/>
        <v/>
      </c>
      <c r="EG8" s="36" t="str">
        <f t="shared" si="53"/>
        <v/>
      </c>
      <c r="EH8" s="37"/>
      <c r="EI8" s="33"/>
      <c r="EJ8" s="34"/>
      <c r="EK8" s="35" t="str">
        <f t="shared" si="54"/>
        <v/>
      </c>
      <c r="EL8" s="36" t="str">
        <f t="shared" si="55"/>
        <v/>
      </c>
      <c r="EM8" s="37"/>
      <c r="EN8" s="33"/>
      <c r="EO8" s="34"/>
      <c r="EP8" s="35" t="str">
        <f t="shared" si="56"/>
        <v/>
      </c>
      <c r="EQ8" s="36" t="str">
        <f t="shared" si="57"/>
        <v/>
      </c>
      <c r="ER8" s="37"/>
      <c r="ES8" s="33"/>
      <c r="ET8" s="34"/>
      <c r="EU8" s="35" t="str">
        <f t="shared" si="58"/>
        <v/>
      </c>
      <c r="EV8" s="36" t="str">
        <f t="shared" si="59"/>
        <v/>
      </c>
      <c r="EW8" s="37"/>
    </row>
    <row r="9" spans="1:153" ht="19.5" customHeight="1">
      <c r="A9" s="32">
        <f>IF(DAY(DATE(対象年度,4,6))&lt;&gt;6,"",6)</f>
        <v>6</v>
      </c>
      <c r="B9" s="32" t="str">
        <f>IF(DAY(DATE(対象年度,4,6))&lt;&gt;6,"",CHOOSE(WEEKDAY(DATE(対象年度,4,6),2),"月","火","水","木","金","土","日"))</f>
        <v>月</v>
      </c>
      <c r="C9" s="32" t="str">
        <f>IF(DAY(DATE(対象年度,4,6))&lt;&gt;6,"",IF(ISNUMBER(MATCH(DATE(対象年度,4,6),祝日リスト,0)),"祝",""))</f>
        <v/>
      </c>
      <c r="D9" s="38" t="s">
        <v>104</v>
      </c>
      <c r="E9" s="34"/>
      <c r="F9" s="35" t="str">
        <f t="shared" si="0"/>
        <v>○</v>
      </c>
      <c r="G9" s="36" t="str">
        <f t="shared" si="1"/>
        <v/>
      </c>
      <c r="H9" s="37"/>
      <c r="I9" s="38" t="s">
        <v>131</v>
      </c>
      <c r="J9" s="34"/>
      <c r="K9" s="35" t="str">
        <f t="shared" si="2"/>
        <v>○</v>
      </c>
      <c r="L9" s="36" t="str">
        <f t="shared" si="3"/>
        <v/>
      </c>
      <c r="M9" s="37"/>
      <c r="N9" s="38" t="s">
        <v>116</v>
      </c>
      <c r="O9" s="34"/>
      <c r="P9" s="35" t="str">
        <f t="shared" si="4"/>
        <v>○</v>
      </c>
      <c r="Q9" s="36" t="str">
        <f t="shared" si="5"/>
        <v/>
      </c>
      <c r="R9" s="37"/>
      <c r="S9" s="38" t="s">
        <v>116</v>
      </c>
      <c r="T9" s="34"/>
      <c r="U9" s="35" t="str">
        <f t="shared" si="6"/>
        <v>○</v>
      </c>
      <c r="V9" s="36" t="str">
        <f t="shared" si="7"/>
        <v/>
      </c>
      <c r="W9" s="37"/>
      <c r="X9" s="38" t="s">
        <v>116</v>
      </c>
      <c r="Y9" s="34"/>
      <c r="Z9" s="35" t="str">
        <f t="shared" si="8"/>
        <v>○</v>
      </c>
      <c r="AA9" s="36" t="str">
        <f t="shared" si="9"/>
        <v/>
      </c>
      <c r="AB9" s="37"/>
      <c r="AC9" s="38" t="s">
        <v>131</v>
      </c>
      <c r="AD9" s="34"/>
      <c r="AE9" s="35" t="str">
        <f t="shared" si="10"/>
        <v>○</v>
      </c>
      <c r="AF9" s="36" t="str">
        <f t="shared" si="11"/>
        <v/>
      </c>
      <c r="AG9" s="37"/>
      <c r="AH9" s="38" t="s">
        <v>117</v>
      </c>
      <c r="AI9" s="34"/>
      <c r="AJ9" s="35" t="str">
        <f t="shared" si="12"/>
        <v>○</v>
      </c>
      <c r="AK9" s="36" t="str">
        <f t="shared" si="13"/>
        <v/>
      </c>
      <c r="AL9" s="37"/>
      <c r="AM9" s="38" t="s">
        <v>131</v>
      </c>
      <c r="AN9" s="34"/>
      <c r="AO9" s="35" t="str">
        <f t="shared" si="14"/>
        <v>○</v>
      </c>
      <c r="AP9" s="36" t="str">
        <f t="shared" si="15"/>
        <v/>
      </c>
      <c r="AQ9" s="37"/>
      <c r="AR9" s="38" t="s">
        <v>116</v>
      </c>
      <c r="AS9" s="34"/>
      <c r="AT9" s="35" t="str">
        <f t="shared" si="16"/>
        <v>○</v>
      </c>
      <c r="AU9" s="36" t="str">
        <f t="shared" si="17"/>
        <v/>
      </c>
      <c r="AV9" s="37"/>
      <c r="AW9" s="38" t="s">
        <v>124</v>
      </c>
      <c r="AX9" s="34"/>
      <c r="AY9" s="35" t="str">
        <f t="shared" si="18"/>
        <v>○</v>
      </c>
      <c r="AZ9" s="36" t="str">
        <f t="shared" si="19"/>
        <v/>
      </c>
      <c r="BA9" s="37"/>
      <c r="BB9" s="38" t="s">
        <v>104</v>
      </c>
      <c r="BC9" s="34"/>
      <c r="BD9" s="35" t="str">
        <f t="shared" si="20"/>
        <v>○</v>
      </c>
      <c r="BE9" s="36" t="str">
        <f t="shared" si="21"/>
        <v/>
      </c>
      <c r="BF9" s="37"/>
      <c r="BG9" s="33"/>
      <c r="BH9" s="34"/>
      <c r="BI9" s="35" t="str">
        <f t="shared" si="22"/>
        <v/>
      </c>
      <c r="BJ9" s="36" t="str">
        <f t="shared" si="23"/>
        <v/>
      </c>
      <c r="BK9" s="37"/>
      <c r="BL9" s="33"/>
      <c r="BM9" s="34"/>
      <c r="BN9" s="35" t="str">
        <f t="shared" si="24"/>
        <v/>
      </c>
      <c r="BO9" s="36" t="str">
        <f t="shared" si="25"/>
        <v/>
      </c>
      <c r="BP9" s="37"/>
      <c r="BQ9" s="33"/>
      <c r="BR9" s="34"/>
      <c r="BS9" s="35" t="str">
        <f t="shared" si="26"/>
        <v/>
      </c>
      <c r="BT9" s="36" t="str">
        <f t="shared" si="27"/>
        <v/>
      </c>
      <c r="BU9" s="37"/>
      <c r="BV9" s="33"/>
      <c r="BW9" s="34"/>
      <c r="BX9" s="35" t="str">
        <f t="shared" si="28"/>
        <v/>
      </c>
      <c r="BY9" s="36" t="str">
        <f t="shared" si="29"/>
        <v/>
      </c>
      <c r="BZ9" s="37"/>
      <c r="CA9" s="33"/>
      <c r="CB9" s="34"/>
      <c r="CC9" s="35" t="str">
        <f t="shared" si="30"/>
        <v/>
      </c>
      <c r="CD9" s="36" t="str">
        <f t="shared" si="31"/>
        <v/>
      </c>
      <c r="CE9" s="37"/>
      <c r="CF9" s="33"/>
      <c r="CG9" s="34"/>
      <c r="CH9" s="35" t="str">
        <f t="shared" si="32"/>
        <v/>
      </c>
      <c r="CI9" s="36" t="str">
        <f t="shared" si="33"/>
        <v/>
      </c>
      <c r="CJ9" s="37"/>
      <c r="CK9" s="33"/>
      <c r="CL9" s="34"/>
      <c r="CM9" s="35" t="str">
        <f t="shared" si="34"/>
        <v/>
      </c>
      <c r="CN9" s="36" t="str">
        <f t="shared" si="35"/>
        <v/>
      </c>
      <c r="CO9" s="37"/>
      <c r="CP9" s="33"/>
      <c r="CQ9" s="34"/>
      <c r="CR9" s="35" t="str">
        <f t="shared" si="36"/>
        <v/>
      </c>
      <c r="CS9" s="36" t="str">
        <f t="shared" si="37"/>
        <v/>
      </c>
      <c r="CT9" s="37"/>
      <c r="CU9" s="33"/>
      <c r="CV9" s="34"/>
      <c r="CW9" s="35" t="str">
        <f t="shared" si="38"/>
        <v/>
      </c>
      <c r="CX9" s="36" t="str">
        <f t="shared" si="39"/>
        <v/>
      </c>
      <c r="CY9" s="37"/>
      <c r="CZ9" s="33"/>
      <c r="DA9" s="34"/>
      <c r="DB9" s="35" t="str">
        <f t="shared" si="40"/>
        <v/>
      </c>
      <c r="DC9" s="36" t="str">
        <f t="shared" si="41"/>
        <v/>
      </c>
      <c r="DD9" s="37"/>
      <c r="DE9" s="33"/>
      <c r="DF9" s="34"/>
      <c r="DG9" s="35" t="str">
        <f t="shared" si="42"/>
        <v/>
      </c>
      <c r="DH9" s="36" t="str">
        <f t="shared" si="43"/>
        <v/>
      </c>
      <c r="DI9" s="37"/>
      <c r="DJ9" s="33"/>
      <c r="DK9" s="34"/>
      <c r="DL9" s="35" t="str">
        <f t="shared" si="44"/>
        <v/>
      </c>
      <c r="DM9" s="36" t="str">
        <f t="shared" si="45"/>
        <v/>
      </c>
      <c r="DN9" s="37"/>
      <c r="DO9" s="33"/>
      <c r="DP9" s="34"/>
      <c r="DQ9" s="35" t="str">
        <f t="shared" si="46"/>
        <v/>
      </c>
      <c r="DR9" s="36" t="str">
        <f t="shared" si="47"/>
        <v/>
      </c>
      <c r="DS9" s="37"/>
      <c r="DT9" s="33"/>
      <c r="DU9" s="34"/>
      <c r="DV9" s="35" t="str">
        <f t="shared" si="48"/>
        <v/>
      </c>
      <c r="DW9" s="36" t="str">
        <f t="shared" si="49"/>
        <v/>
      </c>
      <c r="DX9" s="37"/>
      <c r="DY9" s="33"/>
      <c r="DZ9" s="34"/>
      <c r="EA9" s="35" t="str">
        <f t="shared" si="50"/>
        <v/>
      </c>
      <c r="EB9" s="36" t="str">
        <f t="shared" si="51"/>
        <v/>
      </c>
      <c r="EC9" s="37"/>
      <c r="ED9" s="33"/>
      <c r="EE9" s="34"/>
      <c r="EF9" s="35" t="str">
        <f t="shared" si="52"/>
        <v/>
      </c>
      <c r="EG9" s="36" t="str">
        <f t="shared" si="53"/>
        <v/>
      </c>
      <c r="EH9" s="37"/>
      <c r="EI9" s="33"/>
      <c r="EJ9" s="34"/>
      <c r="EK9" s="35" t="str">
        <f t="shared" si="54"/>
        <v/>
      </c>
      <c r="EL9" s="36" t="str">
        <f t="shared" si="55"/>
        <v/>
      </c>
      <c r="EM9" s="37"/>
      <c r="EN9" s="33"/>
      <c r="EO9" s="34"/>
      <c r="EP9" s="35" t="str">
        <f t="shared" si="56"/>
        <v/>
      </c>
      <c r="EQ9" s="36" t="str">
        <f t="shared" si="57"/>
        <v/>
      </c>
      <c r="ER9" s="37"/>
      <c r="ES9" s="33"/>
      <c r="ET9" s="34"/>
      <c r="EU9" s="35" t="str">
        <f t="shared" si="58"/>
        <v/>
      </c>
      <c r="EV9" s="36" t="str">
        <f t="shared" si="59"/>
        <v/>
      </c>
      <c r="EW9" s="37"/>
    </row>
    <row r="10" spans="1:153" ht="19.5" customHeight="1">
      <c r="A10" s="32">
        <f>IF(DAY(DATE(対象年度,4,7))&lt;&gt;7,"",7)</f>
        <v>7</v>
      </c>
      <c r="B10" s="32" t="str">
        <f>IF(DAY(DATE(対象年度,4,7))&lt;&gt;7,"",CHOOSE(WEEKDAY(DATE(対象年度,4,7),2),"月","火","水","木","金","土","日"))</f>
        <v>火</v>
      </c>
      <c r="C10" s="32" t="str">
        <f>IF(DAY(DATE(対象年度,4,7))&lt;&gt;7,"",IF(ISNUMBER(MATCH(DATE(対象年度,4,7),祝日リスト,0)),"祝",""))</f>
        <v/>
      </c>
      <c r="D10" s="38" t="s">
        <v>104</v>
      </c>
      <c r="E10" s="34"/>
      <c r="F10" s="35" t="str">
        <f t="shared" si="0"/>
        <v>○</v>
      </c>
      <c r="G10" s="36" t="str">
        <f t="shared" si="1"/>
        <v/>
      </c>
      <c r="H10" s="37"/>
      <c r="I10" s="33"/>
      <c r="J10" s="46" t="s">
        <v>125</v>
      </c>
      <c r="K10" s="35" t="str">
        <f t="shared" si="2"/>
        <v/>
      </c>
      <c r="L10" s="36" t="str">
        <f t="shared" si="3"/>
        <v>○</v>
      </c>
      <c r="M10" s="37"/>
      <c r="N10" s="33"/>
      <c r="O10" s="34"/>
      <c r="P10" s="35" t="str">
        <f t="shared" si="4"/>
        <v/>
      </c>
      <c r="Q10" s="36" t="str">
        <f t="shared" si="5"/>
        <v/>
      </c>
      <c r="R10" s="37"/>
      <c r="S10" s="33"/>
      <c r="T10" s="34"/>
      <c r="U10" s="35" t="str">
        <f t="shared" si="6"/>
        <v/>
      </c>
      <c r="V10" s="36" t="str">
        <f t="shared" si="7"/>
        <v/>
      </c>
      <c r="W10" s="37"/>
      <c r="X10" s="38" t="s">
        <v>116</v>
      </c>
      <c r="Y10" s="34"/>
      <c r="Z10" s="35" t="str">
        <f t="shared" si="8"/>
        <v>○</v>
      </c>
      <c r="AA10" s="36" t="str">
        <f t="shared" si="9"/>
        <v/>
      </c>
      <c r="AB10" s="37"/>
      <c r="AC10" s="33"/>
      <c r="AD10" s="46" t="s">
        <v>125</v>
      </c>
      <c r="AE10" s="35" t="str">
        <f t="shared" si="10"/>
        <v/>
      </c>
      <c r="AF10" s="36" t="str">
        <f t="shared" si="11"/>
        <v>○</v>
      </c>
      <c r="AG10" s="37"/>
      <c r="AH10" s="33"/>
      <c r="AI10" s="34"/>
      <c r="AJ10" s="35" t="str">
        <f t="shared" si="12"/>
        <v/>
      </c>
      <c r="AK10" s="36" t="str">
        <f t="shared" si="13"/>
        <v/>
      </c>
      <c r="AL10" s="37"/>
      <c r="AM10" s="33"/>
      <c r="AN10" s="46" t="s">
        <v>125</v>
      </c>
      <c r="AO10" s="35" t="str">
        <f t="shared" si="14"/>
        <v/>
      </c>
      <c r="AP10" s="36" t="str">
        <f t="shared" si="15"/>
        <v>○</v>
      </c>
      <c r="AQ10" s="37"/>
      <c r="AR10" s="38" t="s">
        <v>116</v>
      </c>
      <c r="AS10" s="34"/>
      <c r="AT10" s="35" t="str">
        <f t="shared" si="16"/>
        <v>○</v>
      </c>
      <c r="AU10" s="36" t="str">
        <f t="shared" si="17"/>
        <v/>
      </c>
      <c r="AV10" s="37"/>
      <c r="AW10" s="38" t="s">
        <v>124</v>
      </c>
      <c r="AX10" s="34"/>
      <c r="AY10" s="35" t="str">
        <f t="shared" si="18"/>
        <v>○</v>
      </c>
      <c r="AZ10" s="36" t="str">
        <f t="shared" si="19"/>
        <v/>
      </c>
      <c r="BA10" s="37"/>
      <c r="BB10" s="38" t="s">
        <v>104</v>
      </c>
      <c r="BC10" s="34"/>
      <c r="BD10" s="35" t="str">
        <f t="shared" si="20"/>
        <v>○</v>
      </c>
      <c r="BE10" s="36" t="str">
        <f t="shared" si="21"/>
        <v/>
      </c>
      <c r="BF10" s="37"/>
      <c r="BG10" s="33"/>
      <c r="BH10" s="34"/>
      <c r="BI10" s="35" t="str">
        <f t="shared" si="22"/>
        <v/>
      </c>
      <c r="BJ10" s="36" t="str">
        <f t="shared" si="23"/>
        <v/>
      </c>
      <c r="BK10" s="37"/>
      <c r="BL10" s="33"/>
      <c r="BM10" s="34"/>
      <c r="BN10" s="35" t="str">
        <f t="shared" si="24"/>
        <v/>
      </c>
      <c r="BO10" s="36" t="str">
        <f t="shared" si="25"/>
        <v/>
      </c>
      <c r="BP10" s="37"/>
      <c r="BQ10" s="33"/>
      <c r="BR10" s="34"/>
      <c r="BS10" s="35" t="str">
        <f t="shared" si="26"/>
        <v/>
      </c>
      <c r="BT10" s="36" t="str">
        <f t="shared" si="27"/>
        <v/>
      </c>
      <c r="BU10" s="37"/>
      <c r="BV10" s="33"/>
      <c r="BW10" s="34"/>
      <c r="BX10" s="35" t="str">
        <f t="shared" si="28"/>
        <v/>
      </c>
      <c r="BY10" s="36" t="str">
        <f t="shared" si="29"/>
        <v/>
      </c>
      <c r="BZ10" s="37"/>
      <c r="CA10" s="33"/>
      <c r="CB10" s="34"/>
      <c r="CC10" s="35" t="str">
        <f t="shared" si="30"/>
        <v/>
      </c>
      <c r="CD10" s="36" t="str">
        <f t="shared" si="31"/>
        <v/>
      </c>
      <c r="CE10" s="37"/>
      <c r="CF10" s="33"/>
      <c r="CG10" s="34"/>
      <c r="CH10" s="35" t="str">
        <f t="shared" si="32"/>
        <v/>
      </c>
      <c r="CI10" s="36" t="str">
        <f t="shared" si="33"/>
        <v/>
      </c>
      <c r="CJ10" s="37"/>
      <c r="CK10" s="33"/>
      <c r="CL10" s="34"/>
      <c r="CM10" s="35" t="str">
        <f t="shared" si="34"/>
        <v/>
      </c>
      <c r="CN10" s="36" t="str">
        <f t="shared" si="35"/>
        <v/>
      </c>
      <c r="CO10" s="37"/>
      <c r="CP10" s="33"/>
      <c r="CQ10" s="34"/>
      <c r="CR10" s="35" t="str">
        <f t="shared" si="36"/>
        <v/>
      </c>
      <c r="CS10" s="36" t="str">
        <f t="shared" si="37"/>
        <v/>
      </c>
      <c r="CT10" s="37"/>
      <c r="CU10" s="33"/>
      <c r="CV10" s="34"/>
      <c r="CW10" s="35" t="str">
        <f t="shared" si="38"/>
        <v/>
      </c>
      <c r="CX10" s="36" t="str">
        <f t="shared" si="39"/>
        <v/>
      </c>
      <c r="CY10" s="37"/>
      <c r="CZ10" s="33"/>
      <c r="DA10" s="34"/>
      <c r="DB10" s="35" t="str">
        <f t="shared" si="40"/>
        <v/>
      </c>
      <c r="DC10" s="36" t="str">
        <f t="shared" si="41"/>
        <v/>
      </c>
      <c r="DD10" s="37"/>
      <c r="DE10" s="33"/>
      <c r="DF10" s="34"/>
      <c r="DG10" s="35" t="str">
        <f t="shared" si="42"/>
        <v/>
      </c>
      <c r="DH10" s="36" t="str">
        <f t="shared" si="43"/>
        <v/>
      </c>
      <c r="DI10" s="37"/>
      <c r="DJ10" s="33"/>
      <c r="DK10" s="34"/>
      <c r="DL10" s="35" t="str">
        <f t="shared" si="44"/>
        <v/>
      </c>
      <c r="DM10" s="36" t="str">
        <f t="shared" si="45"/>
        <v/>
      </c>
      <c r="DN10" s="37"/>
      <c r="DO10" s="33"/>
      <c r="DP10" s="34"/>
      <c r="DQ10" s="35" t="str">
        <f t="shared" si="46"/>
        <v/>
      </c>
      <c r="DR10" s="36" t="str">
        <f t="shared" si="47"/>
        <v/>
      </c>
      <c r="DS10" s="37"/>
      <c r="DT10" s="33"/>
      <c r="DU10" s="34"/>
      <c r="DV10" s="35" t="str">
        <f t="shared" si="48"/>
        <v/>
      </c>
      <c r="DW10" s="36" t="str">
        <f t="shared" si="49"/>
        <v/>
      </c>
      <c r="DX10" s="37"/>
      <c r="DY10" s="33"/>
      <c r="DZ10" s="34"/>
      <c r="EA10" s="35" t="str">
        <f t="shared" si="50"/>
        <v/>
      </c>
      <c r="EB10" s="36" t="str">
        <f t="shared" si="51"/>
        <v/>
      </c>
      <c r="EC10" s="37"/>
      <c r="ED10" s="33"/>
      <c r="EE10" s="34"/>
      <c r="EF10" s="35" t="str">
        <f t="shared" si="52"/>
        <v/>
      </c>
      <c r="EG10" s="36" t="str">
        <f t="shared" si="53"/>
        <v/>
      </c>
      <c r="EH10" s="37"/>
      <c r="EI10" s="33"/>
      <c r="EJ10" s="34"/>
      <c r="EK10" s="35" t="str">
        <f t="shared" si="54"/>
        <v/>
      </c>
      <c r="EL10" s="36" t="str">
        <f t="shared" si="55"/>
        <v/>
      </c>
      <c r="EM10" s="37"/>
      <c r="EN10" s="33"/>
      <c r="EO10" s="34"/>
      <c r="EP10" s="35" t="str">
        <f t="shared" si="56"/>
        <v/>
      </c>
      <c r="EQ10" s="36" t="str">
        <f t="shared" si="57"/>
        <v/>
      </c>
      <c r="ER10" s="37"/>
      <c r="ES10" s="33"/>
      <c r="ET10" s="34"/>
      <c r="EU10" s="35" t="str">
        <f t="shared" si="58"/>
        <v/>
      </c>
      <c r="EV10" s="36" t="str">
        <f t="shared" si="59"/>
        <v/>
      </c>
      <c r="EW10" s="37"/>
    </row>
    <row r="11" spans="1:153" ht="19.5" customHeight="1">
      <c r="A11" s="32">
        <f>IF(DAY(DATE(対象年度,4,8))&lt;&gt;8,"",8)</f>
        <v>8</v>
      </c>
      <c r="B11" s="32" t="str">
        <f>IF(DAY(DATE(対象年度,4,8))&lt;&gt;8,"",CHOOSE(WEEKDAY(DATE(対象年度,4,8),2),"月","火","水","木","金","土","日"))</f>
        <v>水</v>
      </c>
      <c r="C11" s="32" t="str">
        <f>IF(DAY(DATE(対象年度,4,8))&lt;&gt;8,"",IF(ISNUMBER(MATCH(DATE(対象年度,4,8),祝日リスト,0)),"祝",""))</f>
        <v/>
      </c>
      <c r="D11" s="38" t="s">
        <v>104</v>
      </c>
      <c r="E11" s="34"/>
      <c r="F11" s="35" t="str">
        <f t="shared" si="0"/>
        <v>○</v>
      </c>
      <c r="G11" s="36" t="str">
        <f t="shared" si="1"/>
        <v/>
      </c>
      <c r="H11" s="37"/>
      <c r="I11" s="33"/>
      <c r="J11" s="34"/>
      <c r="K11" s="35" t="str">
        <f t="shared" si="2"/>
        <v/>
      </c>
      <c r="L11" s="36" t="str">
        <f t="shared" si="3"/>
        <v/>
      </c>
      <c r="M11" s="37"/>
      <c r="N11" s="38" t="s">
        <v>116</v>
      </c>
      <c r="O11" s="34"/>
      <c r="P11" s="35" t="str">
        <f t="shared" si="4"/>
        <v>○</v>
      </c>
      <c r="Q11" s="36" t="str">
        <f t="shared" si="5"/>
        <v/>
      </c>
      <c r="R11" s="37"/>
      <c r="S11" s="33"/>
      <c r="T11" s="34"/>
      <c r="U11" s="35" t="str">
        <f t="shared" si="6"/>
        <v/>
      </c>
      <c r="V11" s="36" t="str">
        <f t="shared" si="7"/>
        <v/>
      </c>
      <c r="W11" s="37"/>
      <c r="X11" s="38" t="s">
        <v>116</v>
      </c>
      <c r="Y11" s="34"/>
      <c r="Z11" s="35" t="str">
        <f t="shared" si="8"/>
        <v>○</v>
      </c>
      <c r="AA11" s="36" t="str">
        <f t="shared" si="9"/>
        <v/>
      </c>
      <c r="AB11" s="37"/>
      <c r="AC11" s="33"/>
      <c r="AD11" s="34"/>
      <c r="AE11" s="35" t="str">
        <f t="shared" si="10"/>
        <v/>
      </c>
      <c r="AF11" s="36" t="str">
        <f t="shared" si="11"/>
        <v/>
      </c>
      <c r="AG11" s="37"/>
      <c r="AH11" s="38" t="s">
        <v>117</v>
      </c>
      <c r="AI11" s="34"/>
      <c r="AJ11" s="35" t="str">
        <f t="shared" si="12"/>
        <v>○</v>
      </c>
      <c r="AK11" s="36" t="str">
        <f t="shared" si="13"/>
        <v/>
      </c>
      <c r="AL11" s="37"/>
      <c r="AM11" s="33"/>
      <c r="AN11" s="34"/>
      <c r="AO11" s="35" t="str">
        <f t="shared" si="14"/>
        <v/>
      </c>
      <c r="AP11" s="36" t="str">
        <f t="shared" si="15"/>
        <v/>
      </c>
      <c r="AQ11" s="37"/>
      <c r="AR11" s="38" t="s">
        <v>116</v>
      </c>
      <c r="AS11" s="34"/>
      <c r="AT11" s="35" t="str">
        <f t="shared" si="16"/>
        <v>○</v>
      </c>
      <c r="AU11" s="36" t="str">
        <f t="shared" si="17"/>
        <v/>
      </c>
      <c r="AV11" s="37"/>
      <c r="AW11" s="38" t="s">
        <v>124</v>
      </c>
      <c r="AX11" s="34"/>
      <c r="AY11" s="35" t="str">
        <f t="shared" si="18"/>
        <v>○</v>
      </c>
      <c r="AZ11" s="36" t="str">
        <f t="shared" si="19"/>
        <v/>
      </c>
      <c r="BA11" s="37"/>
      <c r="BB11" s="38" t="s">
        <v>104</v>
      </c>
      <c r="BC11" s="34"/>
      <c r="BD11" s="35" t="str">
        <f t="shared" si="20"/>
        <v>○</v>
      </c>
      <c r="BE11" s="36" t="str">
        <f t="shared" si="21"/>
        <v/>
      </c>
      <c r="BF11" s="37"/>
      <c r="BG11" s="33"/>
      <c r="BH11" s="34"/>
      <c r="BI11" s="35" t="str">
        <f t="shared" si="22"/>
        <v/>
      </c>
      <c r="BJ11" s="36" t="str">
        <f t="shared" si="23"/>
        <v/>
      </c>
      <c r="BK11" s="37"/>
      <c r="BL11" s="33"/>
      <c r="BM11" s="34"/>
      <c r="BN11" s="35" t="str">
        <f t="shared" si="24"/>
        <v/>
      </c>
      <c r="BO11" s="36" t="str">
        <f t="shared" si="25"/>
        <v/>
      </c>
      <c r="BP11" s="37"/>
      <c r="BQ11" s="33"/>
      <c r="BR11" s="34"/>
      <c r="BS11" s="35" t="str">
        <f t="shared" si="26"/>
        <v/>
      </c>
      <c r="BT11" s="36" t="str">
        <f t="shared" si="27"/>
        <v/>
      </c>
      <c r="BU11" s="37"/>
      <c r="BV11" s="33"/>
      <c r="BW11" s="34"/>
      <c r="BX11" s="35" t="str">
        <f t="shared" si="28"/>
        <v/>
      </c>
      <c r="BY11" s="36" t="str">
        <f t="shared" si="29"/>
        <v/>
      </c>
      <c r="BZ11" s="37"/>
      <c r="CA11" s="33"/>
      <c r="CB11" s="34"/>
      <c r="CC11" s="35" t="str">
        <f t="shared" si="30"/>
        <v/>
      </c>
      <c r="CD11" s="36" t="str">
        <f t="shared" si="31"/>
        <v/>
      </c>
      <c r="CE11" s="37"/>
      <c r="CF11" s="33"/>
      <c r="CG11" s="34"/>
      <c r="CH11" s="35" t="str">
        <f t="shared" si="32"/>
        <v/>
      </c>
      <c r="CI11" s="36" t="str">
        <f t="shared" si="33"/>
        <v/>
      </c>
      <c r="CJ11" s="37"/>
      <c r="CK11" s="33"/>
      <c r="CL11" s="34"/>
      <c r="CM11" s="35" t="str">
        <f t="shared" si="34"/>
        <v/>
      </c>
      <c r="CN11" s="36" t="str">
        <f t="shared" si="35"/>
        <v/>
      </c>
      <c r="CO11" s="37"/>
      <c r="CP11" s="33"/>
      <c r="CQ11" s="34"/>
      <c r="CR11" s="35" t="str">
        <f t="shared" si="36"/>
        <v/>
      </c>
      <c r="CS11" s="36" t="str">
        <f t="shared" si="37"/>
        <v/>
      </c>
      <c r="CT11" s="37"/>
      <c r="CU11" s="33"/>
      <c r="CV11" s="34"/>
      <c r="CW11" s="35" t="str">
        <f t="shared" si="38"/>
        <v/>
      </c>
      <c r="CX11" s="36" t="str">
        <f t="shared" si="39"/>
        <v/>
      </c>
      <c r="CY11" s="37"/>
      <c r="CZ11" s="33"/>
      <c r="DA11" s="34"/>
      <c r="DB11" s="35" t="str">
        <f t="shared" si="40"/>
        <v/>
      </c>
      <c r="DC11" s="36" t="str">
        <f t="shared" si="41"/>
        <v/>
      </c>
      <c r="DD11" s="37"/>
      <c r="DE11" s="33"/>
      <c r="DF11" s="34"/>
      <c r="DG11" s="35" t="str">
        <f t="shared" si="42"/>
        <v/>
      </c>
      <c r="DH11" s="36" t="str">
        <f t="shared" si="43"/>
        <v/>
      </c>
      <c r="DI11" s="37"/>
      <c r="DJ11" s="33"/>
      <c r="DK11" s="34"/>
      <c r="DL11" s="35" t="str">
        <f t="shared" si="44"/>
        <v/>
      </c>
      <c r="DM11" s="36" t="str">
        <f t="shared" si="45"/>
        <v/>
      </c>
      <c r="DN11" s="37"/>
      <c r="DO11" s="33"/>
      <c r="DP11" s="34"/>
      <c r="DQ11" s="35" t="str">
        <f t="shared" si="46"/>
        <v/>
      </c>
      <c r="DR11" s="36" t="str">
        <f t="shared" si="47"/>
        <v/>
      </c>
      <c r="DS11" s="37"/>
      <c r="DT11" s="33"/>
      <c r="DU11" s="34"/>
      <c r="DV11" s="35" t="str">
        <f t="shared" si="48"/>
        <v/>
      </c>
      <c r="DW11" s="36" t="str">
        <f t="shared" si="49"/>
        <v/>
      </c>
      <c r="DX11" s="37"/>
      <c r="DY11" s="33"/>
      <c r="DZ11" s="34"/>
      <c r="EA11" s="35" t="str">
        <f t="shared" si="50"/>
        <v/>
      </c>
      <c r="EB11" s="36" t="str">
        <f t="shared" si="51"/>
        <v/>
      </c>
      <c r="EC11" s="37"/>
      <c r="ED11" s="33"/>
      <c r="EE11" s="34"/>
      <c r="EF11" s="35" t="str">
        <f t="shared" si="52"/>
        <v/>
      </c>
      <c r="EG11" s="36" t="str">
        <f t="shared" si="53"/>
        <v/>
      </c>
      <c r="EH11" s="37"/>
      <c r="EI11" s="33"/>
      <c r="EJ11" s="34"/>
      <c r="EK11" s="35" t="str">
        <f t="shared" si="54"/>
        <v/>
      </c>
      <c r="EL11" s="36" t="str">
        <f t="shared" si="55"/>
        <v/>
      </c>
      <c r="EM11" s="37"/>
      <c r="EN11" s="33"/>
      <c r="EO11" s="34"/>
      <c r="EP11" s="35" t="str">
        <f t="shared" si="56"/>
        <v/>
      </c>
      <c r="EQ11" s="36" t="str">
        <f t="shared" si="57"/>
        <v/>
      </c>
      <c r="ER11" s="37"/>
      <c r="ES11" s="33"/>
      <c r="ET11" s="34"/>
      <c r="EU11" s="35" t="str">
        <f t="shared" si="58"/>
        <v/>
      </c>
      <c r="EV11" s="36" t="str">
        <f t="shared" si="59"/>
        <v/>
      </c>
      <c r="EW11" s="37"/>
    </row>
    <row r="12" spans="1:153" ht="19.5" customHeight="1">
      <c r="A12" s="32">
        <f>IF(DAY(DATE(対象年度,4,9))&lt;&gt;9,"",9)</f>
        <v>9</v>
      </c>
      <c r="B12" s="32" t="str">
        <f>IF(DAY(DATE(対象年度,4,9))&lt;&gt;9,"",CHOOSE(WEEKDAY(DATE(対象年度,4,9),2),"月","火","水","木","金","土","日"))</f>
        <v>木</v>
      </c>
      <c r="C12" s="32" t="str">
        <f>IF(DAY(DATE(対象年度,4,9))&lt;&gt;9,"",IF(ISNUMBER(MATCH(DATE(対象年度,4,9),祝日リスト,0)),"祝",""))</f>
        <v/>
      </c>
      <c r="D12" s="38" t="s">
        <v>104</v>
      </c>
      <c r="E12" s="34"/>
      <c r="F12" s="35" t="str">
        <f t="shared" si="0"/>
        <v>○</v>
      </c>
      <c r="G12" s="36" t="str">
        <f t="shared" si="1"/>
        <v/>
      </c>
      <c r="H12" s="37"/>
      <c r="I12" s="33"/>
      <c r="J12" s="46" t="s">
        <v>132</v>
      </c>
      <c r="K12" s="35" t="str">
        <f t="shared" si="2"/>
        <v/>
      </c>
      <c r="L12" s="36" t="str">
        <f t="shared" si="3"/>
        <v>○</v>
      </c>
      <c r="M12" s="37"/>
      <c r="N12" s="38" t="s">
        <v>116</v>
      </c>
      <c r="O12" s="34"/>
      <c r="P12" s="35" t="str">
        <f t="shared" si="4"/>
        <v>○</v>
      </c>
      <c r="Q12" s="36" t="str">
        <f t="shared" si="5"/>
        <v/>
      </c>
      <c r="R12" s="37"/>
      <c r="S12" s="33"/>
      <c r="T12" s="34"/>
      <c r="U12" s="35" t="str">
        <f t="shared" si="6"/>
        <v/>
      </c>
      <c r="V12" s="36" t="str">
        <f t="shared" si="7"/>
        <v/>
      </c>
      <c r="W12" s="37"/>
      <c r="X12" s="38" t="s">
        <v>116</v>
      </c>
      <c r="Y12" s="34"/>
      <c r="Z12" s="35" t="str">
        <f t="shared" si="8"/>
        <v>○</v>
      </c>
      <c r="AA12" s="36" t="str">
        <f t="shared" si="9"/>
        <v/>
      </c>
      <c r="AB12" s="37"/>
      <c r="AC12" s="33"/>
      <c r="AD12" s="46" t="s">
        <v>132</v>
      </c>
      <c r="AE12" s="35" t="str">
        <f t="shared" si="10"/>
        <v/>
      </c>
      <c r="AF12" s="36" t="str">
        <f t="shared" si="11"/>
        <v>○</v>
      </c>
      <c r="AG12" s="37"/>
      <c r="AH12" s="38" t="s">
        <v>117</v>
      </c>
      <c r="AI12" s="34"/>
      <c r="AJ12" s="35" t="str">
        <f t="shared" si="12"/>
        <v>○</v>
      </c>
      <c r="AK12" s="36" t="str">
        <f t="shared" si="13"/>
        <v/>
      </c>
      <c r="AL12" s="37"/>
      <c r="AM12" s="33"/>
      <c r="AN12" s="46" t="s">
        <v>132</v>
      </c>
      <c r="AO12" s="35" t="str">
        <f t="shared" si="14"/>
        <v/>
      </c>
      <c r="AP12" s="36" t="str">
        <f t="shared" si="15"/>
        <v>○</v>
      </c>
      <c r="AQ12" s="37"/>
      <c r="AR12" s="38" t="s">
        <v>116</v>
      </c>
      <c r="AS12" s="34"/>
      <c r="AT12" s="35" t="str">
        <f t="shared" si="16"/>
        <v>○</v>
      </c>
      <c r="AU12" s="36" t="str">
        <f t="shared" si="17"/>
        <v/>
      </c>
      <c r="AV12" s="37"/>
      <c r="AW12" s="38" t="s">
        <v>124</v>
      </c>
      <c r="AX12" s="34"/>
      <c r="AY12" s="35" t="str">
        <f t="shared" si="18"/>
        <v>○</v>
      </c>
      <c r="AZ12" s="36" t="str">
        <f t="shared" si="19"/>
        <v/>
      </c>
      <c r="BA12" s="37"/>
      <c r="BB12" s="38" t="s">
        <v>104</v>
      </c>
      <c r="BC12" s="34"/>
      <c r="BD12" s="35" t="str">
        <f t="shared" si="20"/>
        <v>○</v>
      </c>
      <c r="BE12" s="36" t="str">
        <f t="shared" si="21"/>
        <v/>
      </c>
      <c r="BF12" s="37"/>
      <c r="BG12" s="33"/>
      <c r="BH12" s="34"/>
      <c r="BI12" s="35" t="str">
        <f t="shared" si="22"/>
        <v/>
      </c>
      <c r="BJ12" s="36" t="str">
        <f t="shared" si="23"/>
        <v/>
      </c>
      <c r="BK12" s="37"/>
      <c r="BL12" s="33"/>
      <c r="BM12" s="34"/>
      <c r="BN12" s="35" t="str">
        <f t="shared" si="24"/>
        <v/>
      </c>
      <c r="BO12" s="36" t="str">
        <f t="shared" si="25"/>
        <v/>
      </c>
      <c r="BP12" s="37"/>
      <c r="BQ12" s="33"/>
      <c r="BR12" s="34"/>
      <c r="BS12" s="35" t="str">
        <f t="shared" si="26"/>
        <v/>
      </c>
      <c r="BT12" s="36" t="str">
        <f t="shared" si="27"/>
        <v/>
      </c>
      <c r="BU12" s="37"/>
      <c r="BV12" s="33"/>
      <c r="BW12" s="34"/>
      <c r="BX12" s="35" t="str">
        <f t="shared" si="28"/>
        <v/>
      </c>
      <c r="BY12" s="36" t="str">
        <f t="shared" si="29"/>
        <v/>
      </c>
      <c r="BZ12" s="37"/>
      <c r="CA12" s="33"/>
      <c r="CB12" s="34"/>
      <c r="CC12" s="35" t="str">
        <f t="shared" si="30"/>
        <v/>
      </c>
      <c r="CD12" s="36" t="str">
        <f t="shared" si="31"/>
        <v/>
      </c>
      <c r="CE12" s="37"/>
      <c r="CF12" s="33"/>
      <c r="CG12" s="34"/>
      <c r="CH12" s="35" t="str">
        <f t="shared" si="32"/>
        <v/>
      </c>
      <c r="CI12" s="36" t="str">
        <f t="shared" si="33"/>
        <v/>
      </c>
      <c r="CJ12" s="37"/>
      <c r="CK12" s="33"/>
      <c r="CL12" s="34"/>
      <c r="CM12" s="35" t="str">
        <f t="shared" si="34"/>
        <v/>
      </c>
      <c r="CN12" s="36" t="str">
        <f t="shared" si="35"/>
        <v/>
      </c>
      <c r="CO12" s="37"/>
      <c r="CP12" s="33"/>
      <c r="CQ12" s="34"/>
      <c r="CR12" s="35" t="str">
        <f t="shared" si="36"/>
        <v/>
      </c>
      <c r="CS12" s="36" t="str">
        <f t="shared" si="37"/>
        <v/>
      </c>
      <c r="CT12" s="37"/>
      <c r="CU12" s="33"/>
      <c r="CV12" s="34"/>
      <c r="CW12" s="35" t="str">
        <f t="shared" si="38"/>
        <v/>
      </c>
      <c r="CX12" s="36" t="str">
        <f t="shared" si="39"/>
        <v/>
      </c>
      <c r="CY12" s="37"/>
      <c r="CZ12" s="33"/>
      <c r="DA12" s="34"/>
      <c r="DB12" s="35" t="str">
        <f t="shared" si="40"/>
        <v/>
      </c>
      <c r="DC12" s="36" t="str">
        <f t="shared" si="41"/>
        <v/>
      </c>
      <c r="DD12" s="37"/>
      <c r="DE12" s="33"/>
      <c r="DF12" s="34"/>
      <c r="DG12" s="35" t="str">
        <f t="shared" si="42"/>
        <v/>
      </c>
      <c r="DH12" s="36" t="str">
        <f t="shared" si="43"/>
        <v/>
      </c>
      <c r="DI12" s="37"/>
      <c r="DJ12" s="33"/>
      <c r="DK12" s="34"/>
      <c r="DL12" s="35" t="str">
        <f t="shared" si="44"/>
        <v/>
      </c>
      <c r="DM12" s="36" t="str">
        <f t="shared" si="45"/>
        <v/>
      </c>
      <c r="DN12" s="37"/>
      <c r="DO12" s="33"/>
      <c r="DP12" s="34"/>
      <c r="DQ12" s="35" t="str">
        <f t="shared" si="46"/>
        <v/>
      </c>
      <c r="DR12" s="36" t="str">
        <f t="shared" si="47"/>
        <v/>
      </c>
      <c r="DS12" s="37"/>
      <c r="DT12" s="33"/>
      <c r="DU12" s="34"/>
      <c r="DV12" s="35" t="str">
        <f t="shared" si="48"/>
        <v/>
      </c>
      <c r="DW12" s="36" t="str">
        <f t="shared" si="49"/>
        <v/>
      </c>
      <c r="DX12" s="37"/>
      <c r="DY12" s="33"/>
      <c r="DZ12" s="34"/>
      <c r="EA12" s="35" t="str">
        <f t="shared" si="50"/>
        <v/>
      </c>
      <c r="EB12" s="36" t="str">
        <f t="shared" si="51"/>
        <v/>
      </c>
      <c r="EC12" s="37"/>
      <c r="ED12" s="33"/>
      <c r="EE12" s="34"/>
      <c r="EF12" s="35" t="str">
        <f t="shared" si="52"/>
        <v/>
      </c>
      <c r="EG12" s="36" t="str">
        <f t="shared" si="53"/>
        <v/>
      </c>
      <c r="EH12" s="37"/>
      <c r="EI12" s="33"/>
      <c r="EJ12" s="34"/>
      <c r="EK12" s="35" t="str">
        <f t="shared" si="54"/>
        <v/>
      </c>
      <c r="EL12" s="36" t="str">
        <f t="shared" si="55"/>
        <v/>
      </c>
      <c r="EM12" s="37"/>
      <c r="EN12" s="33"/>
      <c r="EO12" s="34"/>
      <c r="EP12" s="35" t="str">
        <f t="shared" si="56"/>
        <v/>
      </c>
      <c r="EQ12" s="36" t="str">
        <f t="shared" si="57"/>
        <v/>
      </c>
      <c r="ER12" s="37"/>
      <c r="ES12" s="33"/>
      <c r="ET12" s="34"/>
      <c r="EU12" s="35" t="str">
        <f t="shared" si="58"/>
        <v/>
      </c>
      <c r="EV12" s="36" t="str">
        <f t="shared" si="59"/>
        <v/>
      </c>
      <c r="EW12" s="37"/>
    </row>
    <row r="13" spans="1:153" ht="19.5" customHeight="1">
      <c r="A13" s="32">
        <f>IF(DAY(DATE(対象年度,4,10))&lt;&gt;10,"",10)</f>
        <v>10</v>
      </c>
      <c r="B13" s="32" t="str">
        <f>IF(DAY(DATE(対象年度,4,10))&lt;&gt;10,"",CHOOSE(WEEKDAY(DATE(対象年度,4,10),2),"月","火","水","木","金","土","日"))</f>
        <v>金</v>
      </c>
      <c r="C13" s="32" t="str">
        <f>IF(DAY(DATE(対象年度,4,10))&lt;&gt;10,"",IF(ISNUMBER(MATCH(DATE(対象年度,4,10),祝日リスト,0)),"祝",""))</f>
        <v/>
      </c>
      <c r="D13" s="38" t="s">
        <v>104</v>
      </c>
      <c r="E13" s="34"/>
      <c r="F13" s="35" t="str">
        <f t="shared" si="0"/>
        <v>○</v>
      </c>
      <c r="G13" s="36" t="str">
        <f t="shared" si="1"/>
        <v/>
      </c>
      <c r="H13" s="37"/>
      <c r="I13" s="33"/>
      <c r="J13" s="34"/>
      <c r="K13" s="35" t="str">
        <f t="shared" si="2"/>
        <v/>
      </c>
      <c r="L13" s="36" t="str">
        <f t="shared" si="3"/>
        <v/>
      </c>
      <c r="M13" s="37"/>
      <c r="N13" s="38" t="s">
        <v>116</v>
      </c>
      <c r="O13" s="34"/>
      <c r="P13" s="35" t="str">
        <f t="shared" si="4"/>
        <v>○</v>
      </c>
      <c r="Q13" s="36" t="str">
        <f t="shared" si="5"/>
        <v/>
      </c>
      <c r="R13" s="37"/>
      <c r="S13" s="38" t="s">
        <v>116</v>
      </c>
      <c r="T13" s="34"/>
      <c r="U13" s="35" t="str">
        <f t="shared" si="6"/>
        <v>○</v>
      </c>
      <c r="V13" s="36" t="str">
        <f t="shared" si="7"/>
        <v/>
      </c>
      <c r="W13" s="37"/>
      <c r="X13" s="38" t="s">
        <v>116</v>
      </c>
      <c r="Y13" s="34"/>
      <c r="Z13" s="35" t="str">
        <f t="shared" si="8"/>
        <v>○</v>
      </c>
      <c r="AA13" s="36" t="str">
        <f t="shared" si="9"/>
        <v/>
      </c>
      <c r="AB13" s="37"/>
      <c r="AC13" s="33"/>
      <c r="AD13" s="34"/>
      <c r="AE13" s="35" t="str">
        <f t="shared" si="10"/>
        <v/>
      </c>
      <c r="AF13" s="36" t="str">
        <f t="shared" si="11"/>
        <v/>
      </c>
      <c r="AG13" s="37"/>
      <c r="AH13" s="38" t="s">
        <v>117</v>
      </c>
      <c r="AI13" s="34"/>
      <c r="AJ13" s="35" t="str">
        <f t="shared" si="12"/>
        <v>○</v>
      </c>
      <c r="AK13" s="36" t="str">
        <f t="shared" si="13"/>
        <v/>
      </c>
      <c r="AL13" s="37"/>
      <c r="AM13" s="33"/>
      <c r="AN13" s="34"/>
      <c r="AO13" s="35" t="str">
        <f t="shared" si="14"/>
        <v/>
      </c>
      <c r="AP13" s="36" t="str">
        <f t="shared" si="15"/>
        <v/>
      </c>
      <c r="AQ13" s="37"/>
      <c r="AR13" s="38" t="s">
        <v>116</v>
      </c>
      <c r="AS13" s="34"/>
      <c r="AT13" s="35" t="str">
        <f t="shared" si="16"/>
        <v>○</v>
      </c>
      <c r="AU13" s="36" t="str">
        <f t="shared" si="17"/>
        <v/>
      </c>
      <c r="AV13" s="37"/>
      <c r="AW13" s="38" t="s">
        <v>124</v>
      </c>
      <c r="AX13" s="34"/>
      <c r="AY13" s="35" t="str">
        <f t="shared" si="18"/>
        <v>○</v>
      </c>
      <c r="AZ13" s="36" t="str">
        <f t="shared" si="19"/>
        <v/>
      </c>
      <c r="BA13" s="37"/>
      <c r="BB13" s="38" t="s">
        <v>104</v>
      </c>
      <c r="BC13" s="34"/>
      <c r="BD13" s="35" t="str">
        <f t="shared" si="20"/>
        <v>○</v>
      </c>
      <c r="BE13" s="36" t="str">
        <f t="shared" si="21"/>
        <v/>
      </c>
      <c r="BF13" s="37"/>
      <c r="BG13" s="33"/>
      <c r="BH13" s="34"/>
      <c r="BI13" s="35" t="str">
        <f t="shared" si="22"/>
        <v/>
      </c>
      <c r="BJ13" s="36" t="str">
        <f t="shared" si="23"/>
        <v/>
      </c>
      <c r="BK13" s="37"/>
      <c r="BL13" s="33"/>
      <c r="BM13" s="34"/>
      <c r="BN13" s="35" t="str">
        <f t="shared" si="24"/>
        <v/>
      </c>
      <c r="BO13" s="36" t="str">
        <f t="shared" si="25"/>
        <v/>
      </c>
      <c r="BP13" s="37"/>
      <c r="BQ13" s="33"/>
      <c r="BR13" s="34"/>
      <c r="BS13" s="35" t="str">
        <f t="shared" si="26"/>
        <v/>
      </c>
      <c r="BT13" s="36" t="str">
        <f t="shared" si="27"/>
        <v/>
      </c>
      <c r="BU13" s="37"/>
      <c r="BV13" s="33"/>
      <c r="BW13" s="34"/>
      <c r="BX13" s="35" t="str">
        <f t="shared" si="28"/>
        <v/>
      </c>
      <c r="BY13" s="36" t="str">
        <f t="shared" si="29"/>
        <v/>
      </c>
      <c r="BZ13" s="37"/>
      <c r="CA13" s="33"/>
      <c r="CB13" s="34"/>
      <c r="CC13" s="35" t="str">
        <f t="shared" si="30"/>
        <v/>
      </c>
      <c r="CD13" s="36" t="str">
        <f t="shared" si="31"/>
        <v/>
      </c>
      <c r="CE13" s="37"/>
      <c r="CF13" s="33"/>
      <c r="CG13" s="34"/>
      <c r="CH13" s="35" t="str">
        <f t="shared" si="32"/>
        <v/>
      </c>
      <c r="CI13" s="36" t="str">
        <f t="shared" si="33"/>
        <v/>
      </c>
      <c r="CJ13" s="37"/>
      <c r="CK13" s="33"/>
      <c r="CL13" s="34"/>
      <c r="CM13" s="35" t="str">
        <f t="shared" si="34"/>
        <v/>
      </c>
      <c r="CN13" s="36" t="str">
        <f t="shared" si="35"/>
        <v/>
      </c>
      <c r="CO13" s="37"/>
      <c r="CP13" s="33"/>
      <c r="CQ13" s="34"/>
      <c r="CR13" s="35" t="str">
        <f t="shared" si="36"/>
        <v/>
      </c>
      <c r="CS13" s="36" t="str">
        <f t="shared" si="37"/>
        <v/>
      </c>
      <c r="CT13" s="37"/>
      <c r="CU13" s="33"/>
      <c r="CV13" s="34"/>
      <c r="CW13" s="35" t="str">
        <f t="shared" si="38"/>
        <v/>
      </c>
      <c r="CX13" s="36" t="str">
        <f t="shared" si="39"/>
        <v/>
      </c>
      <c r="CY13" s="37"/>
      <c r="CZ13" s="33"/>
      <c r="DA13" s="34"/>
      <c r="DB13" s="35" t="str">
        <f t="shared" si="40"/>
        <v/>
      </c>
      <c r="DC13" s="36" t="str">
        <f t="shared" si="41"/>
        <v/>
      </c>
      <c r="DD13" s="37"/>
      <c r="DE13" s="33"/>
      <c r="DF13" s="34"/>
      <c r="DG13" s="35" t="str">
        <f t="shared" si="42"/>
        <v/>
      </c>
      <c r="DH13" s="36" t="str">
        <f t="shared" si="43"/>
        <v/>
      </c>
      <c r="DI13" s="37"/>
      <c r="DJ13" s="33"/>
      <c r="DK13" s="34"/>
      <c r="DL13" s="35" t="str">
        <f t="shared" si="44"/>
        <v/>
      </c>
      <c r="DM13" s="36" t="str">
        <f t="shared" si="45"/>
        <v/>
      </c>
      <c r="DN13" s="37"/>
      <c r="DO13" s="33"/>
      <c r="DP13" s="34"/>
      <c r="DQ13" s="35" t="str">
        <f t="shared" si="46"/>
        <v/>
      </c>
      <c r="DR13" s="36" t="str">
        <f t="shared" si="47"/>
        <v/>
      </c>
      <c r="DS13" s="37"/>
      <c r="DT13" s="33"/>
      <c r="DU13" s="34"/>
      <c r="DV13" s="35" t="str">
        <f t="shared" si="48"/>
        <v/>
      </c>
      <c r="DW13" s="36" t="str">
        <f t="shared" si="49"/>
        <v/>
      </c>
      <c r="DX13" s="37"/>
      <c r="DY13" s="33"/>
      <c r="DZ13" s="34"/>
      <c r="EA13" s="35" t="str">
        <f t="shared" si="50"/>
        <v/>
      </c>
      <c r="EB13" s="36" t="str">
        <f t="shared" si="51"/>
        <v/>
      </c>
      <c r="EC13" s="37"/>
      <c r="ED13" s="33"/>
      <c r="EE13" s="34"/>
      <c r="EF13" s="35" t="str">
        <f t="shared" si="52"/>
        <v/>
      </c>
      <c r="EG13" s="36" t="str">
        <f t="shared" si="53"/>
        <v/>
      </c>
      <c r="EH13" s="37"/>
      <c r="EI13" s="33"/>
      <c r="EJ13" s="34"/>
      <c r="EK13" s="35" t="str">
        <f t="shared" si="54"/>
        <v/>
      </c>
      <c r="EL13" s="36" t="str">
        <f t="shared" si="55"/>
        <v/>
      </c>
      <c r="EM13" s="37"/>
      <c r="EN13" s="33"/>
      <c r="EO13" s="34"/>
      <c r="EP13" s="35" t="str">
        <f t="shared" si="56"/>
        <v/>
      </c>
      <c r="EQ13" s="36" t="str">
        <f t="shared" si="57"/>
        <v/>
      </c>
      <c r="ER13" s="37"/>
      <c r="ES13" s="33"/>
      <c r="ET13" s="34"/>
      <c r="EU13" s="35" t="str">
        <f t="shared" si="58"/>
        <v/>
      </c>
      <c r="EV13" s="36" t="str">
        <f t="shared" si="59"/>
        <v/>
      </c>
      <c r="EW13" s="37"/>
    </row>
    <row r="14" spans="1:153" ht="19.5" customHeight="1">
      <c r="A14" s="32">
        <f>IF(DAY(DATE(対象年度,4,11))&lt;&gt;11,"",11)</f>
        <v>11</v>
      </c>
      <c r="B14" s="32" t="str">
        <f>IF(DAY(DATE(対象年度,4,11))&lt;&gt;11,"",CHOOSE(WEEKDAY(DATE(対象年度,4,11),2),"月","火","水","木","金","土","日"))</f>
        <v>土</v>
      </c>
      <c r="C14" s="32" t="str">
        <f>IF(DAY(DATE(対象年度,4,11))&lt;&gt;11,"",IF(ISNUMBER(MATCH(DATE(対象年度,4,11),祝日リスト,0)),"祝",""))</f>
        <v/>
      </c>
      <c r="D14" s="33"/>
      <c r="E14" s="34"/>
      <c r="F14" s="35" t="str">
        <f t="shared" si="0"/>
        <v/>
      </c>
      <c r="G14" s="36" t="str">
        <f t="shared" si="1"/>
        <v/>
      </c>
      <c r="H14" s="37"/>
      <c r="I14" s="33"/>
      <c r="J14" s="34"/>
      <c r="K14" s="35" t="str">
        <f t="shared" si="2"/>
        <v/>
      </c>
      <c r="L14" s="36" t="str">
        <f t="shared" si="3"/>
        <v/>
      </c>
      <c r="M14" s="37"/>
      <c r="N14" s="38" t="s">
        <v>116</v>
      </c>
      <c r="O14" s="34"/>
      <c r="P14" s="35" t="str">
        <f t="shared" si="4"/>
        <v>○</v>
      </c>
      <c r="Q14" s="36" t="str">
        <f t="shared" si="5"/>
        <v/>
      </c>
      <c r="R14" s="37"/>
      <c r="S14" s="38" t="s">
        <v>116</v>
      </c>
      <c r="T14" s="34"/>
      <c r="U14" s="35" t="str">
        <f t="shared" si="6"/>
        <v>○</v>
      </c>
      <c r="V14" s="36" t="str">
        <f t="shared" si="7"/>
        <v/>
      </c>
      <c r="W14" s="37"/>
      <c r="X14" s="38" t="s">
        <v>116</v>
      </c>
      <c r="Y14" s="34"/>
      <c r="Z14" s="35" t="str">
        <f t="shared" si="8"/>
        <v>○</v>
      </c>
      <c r="AA14" s="36" t="str">
        <f t="shared" si="9"/>
        <v/>
      </c>
      <c r="AB14" s="37"/>
      <c r="AC14" s="33"/>
      <c r="AD14" s="34"/>
      <c r="AE14" s="35" t="str">
        <f t="shared" si="10"/>
        <v/>
      </c>
      <c r="AF14" s="36" t="str">
        <f t="shared" si="11"/>
        <v/>
      </c>
      <c r="AG14" s="37"/>
      <c r="AH14" s="33"/>
      <c r="AI14" s="34"/>
      <c r="AJ14" s="35" t="str">
        <f t="shared" si="12"/>
        <v/>
      </c>
      <c r="AK14" s="36" t="str">
        <f t="shared" si="13"/>
        <v/>
      </c>
      <c r="AL14" s="37"/>
      <c r="AM14" s="33"/>
      <c r="AN14" s="34"/>
      <c r="AO14" s="35" t="str">
        <f t="shared" si="14"/>
        <v/>
      </c>
      <c r="AP14" s="36" t="str">
        <f t="shared" si="15"/>
        <v/>
      </c>
      <c r="AQ14" s="37"/>
      <c r="AR14" s="38" t="s">
        <v>116</v>
      </c>
      <c r="AS14" s="34"/>
      <c r="AT14" s="35" t="str">
        <f t="shared" si="16"/>
        <v>○</v>
      </c>
      <c r="AU14" s="36" t="str">
        <f t="shared" si="17"/>
        <v/>
      </c>
      <c r="AV14" s="37"/>
      <c r="AW14" s="33"/>
      <c r="AX14" s="34"/>
      <c r="AY14" s="35" t="str">
        <f t="shared" si="18"/>
        <v/>
      </c>
      <c r="AZ14" s="36" t="str">
        <f t="shared" si="19"/>
        <v/>
      </c>
      <c r="BA14" s="37"/>
      <c r="BB14" s="33"/>
      <c r="BC14" s="34"/>
      <c r="BD14" s="35" t="str">
        <f t="shared" si="20"/>
        <v/>
      </c>
      <c r="BE14" s="36" t="str">
        <f t="shared" si="21"/>
        <v/>
      </c>
      <c r="BF14" s="37"/>
      <c r="BG14" s="33"/>
      <c r="BH14" s="34"/>
      <c r="BI14" s="35" t="str">
        <f t="shared" si="22"/>
        <v/>
      </c>
      <c r="BJ14" s="36" t="str">
        <f t="shared" si="23"/>
        <v/>
      </c>
      <c r="BK14" s="37"/>
      <c r="BL14" s="33"/>
      <c r="BM14" s="34"/>
      <c r="BN14" s="35" t="str">
        <f t="shared" si="24"/>
        <v/>
      </c>
      <c r="BO14" s="36" t="str">
        <f t="shared" si="25"/>
        <v/>
      </c>
      <c r="BP14" s="37"/>
      <c r="BQ14" s="33"/>
      <c r="BR14" s="34"/>
      <c r="BS14" s="35" t="str">
        <f t="shared" si="26"/>
        <v/>
      </c>
      <c r="BT14" s="36" t="str">
        <f t="shared" si="27"/>
        <v/>
      </c>
      <c r="BU14" s="37"/>
      <c r="BV14" s="33"/>
      <c r="BW14" s="34"/>
      <c r="BX14" s="35" t="str">
        <f t="shared" si="28"/>
        <v/>
      </c>
      <c r="BY14" s="36" t="str">
        <f t="shared" si="29"/>
        <v/>
      </c>
      <c r="BZ14" s="37"/>
      <c r="CA14" s="33"/>
      <c r="CB14" s="34"/>
      <c r="CC14" s="35" t="str">
        <f t="shared" si="30"/>
        <v/>
      </c>
      <c r="CD14" s="36" t="str">
        <f t="shared" si="31"/>
        <v/>
      </c>
      <c r="CE14" s="37"/>
      <c r="CF14" s="33"/>
      <c r="CG14" s="34"/>
      <c r="CH14" s="35" t="str">
        <f t="shared" si="32"/>
        <v/>
      </c>
      <c r="CI14" s="36" t="str">
        <f t="shared" si="33"/>
        <v/>
      </c>
      <c r="CJ14" s="37"/>
      <c r="CK14" s="33"/>
      <c r="CL14" s="34"/>
      <c r="CM14" s="35" t="str">
        <f t="shared" si="34"/>
        <v/>
      </c>
      <c r="CN14" s="36" t="str">
        <f t="shared" si="35"/>
        <v/>
      </c>
      <c r="CO14" s="37"/>
      <c r="CP14" s="33"/>
      <c r="CQ14" s="34"/>
      <c r="CR14" s="35" t="str">
        <f t="shared" si="36"/>
        <v/>
      </c>
      <c r="CS14" s="36" t="str">
        <f t="shared" si="37"/>
        <v/>
      </c>
      <c r="CT14" s="37"/>
      <c r="CU14" s="33"/>
      <c r="CV14" s="34"/>
      <c r="CW14" s="35" t="str">
        <f t="shared" si="38"/>
        <v/>
      </c>
      <c r="CX14" s="36" t="str">
        <f t="shared" si="39"/>
        <v/>
      </c>
      <c r="CY14" s="37"/>
      <c r="CZ14" s="33"/>
      <c r="DA14" s="34"/>
      <c r="DB14" s="35" t="str">
        <f t="shared" si="40"/>
        <v/>
      </c>
      <c r="DC14" s="36" t="str">
        <f t="shared" si="41"/>
        <v/>
      </c>
      <c r="DD14" s="37"/>
      <c r="DE14" s="33"/>
      <c r="DF14" s="34"/>
      <c r="DG14" s="35" t="str">
        <f t="shared" si="42"/>
        <v/>
      </c>
      <c r="DH14" s="36" t="str">
        <f t="shared" si="43"/>
        <v/>
      </c>
      <c r="DI14" s="37"/>
      <c r="DJ14" s="33"/>
      <c r="DK14" s="34"/>
      <c r="DL14" s="35" t="str">
        <f t="shared" si="44"/>
        <v/>
      </c>
      <c r="DM14" s="36" t="str">
        <f t="shared" si="45"/>
        <v/>
      </c>
      <c r="DN14" s="37"/>
      <c r="DO14" s="33"/>
      <c r="DP14" s="34"/>
      <c r="DQ14" s="35" t="str">
        <f t="shared" si="46"/>
        <v/>
      </c>
      <c r="DR14" s="36" t="str">
        <f t="shared" si="47"/>
        <v/>
      </c>
      <c r="DS14" s="37"/>
      <c r="DT14" s="33"/>
      <c r="DU14" s="34"/>
      <c r="DV14" s="35" t="str">
        <f t="shared" si="48"/>
        <v/>
      </c>
      <c r="DW14" s="36" t="str">
        <f t="shared" si="49"/>
        <v/>
      </c>
      <c r="DX14" s="37"/>
      <c r="DY14" s="33"/>
      <c r="DZ14" s="34"/>
      <c r="EA14" s="35" t="str">
        <f t="shared" si="50"/>
        <v/>
      </c>
      <c r="EB14" s="36" t="str">
        <f t="shared" si="51"/>
        <v/>
      </c>
      <c r="EC14" s="37"/>
      <c r="ED14" s="33"/>
      <c r="EE14" s="34"/>
      <c r="EF14" s="35" t="str">
        <f t="shared" si="52"/>
        <v/>
      </c>
      <c r="EG14" s="36" t="str">
        <f t="shared" si="53"/>
        <v/>
      </c>
      <c r="EH14" s="37"/>
      <c r="EI14" s="33"/>
      <c r="EJ14" s="34"/>
      <c r="EK14" s="35" t="str">
        <f t="shared" si="54"/>
        <v/>
      </c>
      <c r="EL14" s="36" t="str">
        <f t="shared" si="55"/>
        <v/>
      </c>
      <c r="EM14" s="37"/>
      <c r="EN14" s="33"/>
      <c r="EO14" s="34"/>
      <c r="EP14" s="35" t="str">
        <f t="shared" si="56"/>
        <v/>
      </c>
      <c r="EQ14" s="36" t="str">
        <f t="shared" si="57"/>
        <v/>
      </c>
      <c r="ER14" s="37"/>
      <c r="ES14" s="33"/>
      <c r="ET14" s="34"/>
      <c r="EU14" s="35" t="str">
        <f t="shared" si="58"/>
        <v/>
      </c>
      <c r="EV14" s="36" t="str">
        <f t="shared" si="59"/>
        <v/>
      </c>
      <c r="EW14" s="37"/>
    </row>
    <row r="15" spans="1:153" ht="19.5" customHeight="1">
      <c r="A15" s="32">
        <f>IF(DAY(DATE(対象年度,4,12))&lt;&gt;12,"",12)</f>
        <v>12</v>
      </c>
      <c r="B15" s="32" t="str">
        <f>IF(DAY(DATE(対象年度,4,12))&lt;&gt;12,"",CHOOSE(WEEKDAY(DATE(対象年度,4,12),2),"月","火","水","木","金","土","日"))</f>
        <v>日</v>
      </c>
      <c r="C15" s="32" t="str">
        <f>IF(DAY(DATE(対象年度,4,12))&lt;&gt;12,"",IF(ISNUMBER(MATCH(DATE(対象年度,4,12),祝日リスト,0)),"祝",""))</f>
        <v/>
      </c>
      <c r="D15" s="33"/>
      <c r="E15" s="34"/>
      <c r="F15" s="35" t="str">
        <f t="shared" si="0"/>
        <v/>
      </c>
      <c r="G15" s="36" t="str">
        <f t="shared" si="1"/>
        <v/>
      </c>
      <c r="H15" s="37"/>
      <c r="I15" s="33"/>
      <c r="J15" s="34"/>
      <c r="K15" s="35" t="str">
        <f t="shared" si="2"/>
        <v/>
      </c>
      <c r="L15" s="36" t="str">
        <f t="shared" si="3"/>
        <v/>
      </c>
      <c r="M15" s="37"/>
      <c r="N15" s="33"/>
      <c r="O15" s="34"/>
      <c r="P15" s="35" t="str">
        <f t="shared" si="4"/>
        <v/>
      </c>
      <c r="Q15" s="36" t="str">
        <f t="shared" si="5"/>
        <v/>
      </c>
      <c r="R15" s="37"/>
      <c r="S15" s="33"/>
      <c r="T15" s="34"/>
      <c r="U15" s="35" t="str">
        <f t="shared" si="6"/>
        <v/>
      </c>
      <c r="V15" s="36" t="str">
        <f t="shared" si="7"/>
        <v/>
      </c>
      <c r="W15" s="37"/>
      <c r="X15" s="33"/>
      <c r="Y15" s="34"/>
      <c r="Z15" s="35" t="str">
        <f t="shared" si="8"/>
        <v/>
      </c>
      <c r="AA15" s="36" t="str">
        <f t="shared" si="9"/>
        <v/>
      </c>
      <c r="AB15" s="37"/>
      <c r="AC15" s="33"/>
      <c r="AD15" s="34"/>
      <c r="AE15" s="35" t="str">
        <f t="shared" si="10"/>
        <v/>
      </c>
      <c r="AF15" s="36" t="str">
        <f t="shared" si="11"/>
        <v/>
      </c>
      <c r="AG15" s="37"/>
      <c r="AH15" s="33"/>
      <c r="AI15" s="34"/>
      <c r="AJ15" s="35" t="str">
        <f t="shared" si="12"/>
        <v/>
      </c>
      <c r="AK15" s="36" t="str">
        <f t="shared" si="13"/>
        <v/>
      </c>
      <c r="AL15" s="37"/>
      <c r="AM15" s="33"/>
      <c r="AN15" s="34"/>
      <c r="AO15" s="35" t="str">
        <f t="shared" si="14"/>
        <v/>
      </c>
      <c r="AP15" s="36" t="str">
        <f t="shared" si="15"/>
        <v/>
      </c>
      <c r="AQ15" s="37"/>
      <c r="AR15" s="33"/>
      <c r="AS15" s="34"/>
      <c r="AT15" s="35" t="str">
        <f t="shared" si="16"/>
        <v/>
      </c>
      <c r="AU15" s="36" t="str">
        <f t="shared" si="17"/>
        <v/>
      </c>
      <c r="AV15" s="37"/>
      <c r="AW15" s="33"/>
      <c r="AX15" s="34"/>
      <c r="AY15" s="35" t="str">
        <f t="shared" si="18"/>
        <v/>
      </c>
      <c r="AZ15" s="36" t="str">
        <f t="shared" si="19"/>
        <v/>
      </c>
      <c r="BA15" s="37"/>
      <c r="BB15" s="33"/>
      <c r="BC15" s="34"/>
      <c r="BD15" s="35" t="str">
        <f t="shared" si="20"/>
        <v/>
      </c>
      <c r="BE15" s="36" t="str">
        <f t="shared" si="21"/>
        <v/>
      </c>
      <c r="BF15" s="37"/>
      <c r="BG15" s="33"/>
      <c r="BH15" s="34"/>
      <c r="BI15" s="35" t="str">
        <f t="shared" si="22"/>
        <v/>
      </c>
      <c r="BJ15" s="36" t="str">
        <f t="shared" si="23"/>
        <v/>
      </c>
      <c r="BK15" s="37"/>
      <c r="BL15" s="33"/>
      <c r="BM15" s="34"/>
      <c r="BN15" s="35" t="str">
        <f t="shared" si="24"/>
        <v/>
      </c>
      <c r="BO15" s="36" t="str">
        <f t="shared" si="25"/>
        <v/>
      </c>
      <c r="BP15" s="37"/>
      <c r="BQ15" s="33"/>
      <c r="BR15" s="34"/>
      <c r="BS15" s="35" t="str">
        <f t="shared" si="26"/>
        <v/>
      </c>
      <c r="BT15" s="36" t="str">
        <f t="shared" si="27"/>
        <v/>
      </c>
      <c r="BU15" s="37"/>
      <c r="BV15" s="33"/>
      <c r="BW15" s="34"/>
      <c r="BX15" s="35" t="str">
        <f t="shared" si="28"/>
        <v/>
      </c>
      <c r="BY15" s="36" t="str">
        <f t="shared" si="29"/>
        <v/>
      </c>
      <c r="BZ15" s="37"/>
      <c r="CA15" s="33"/>
      <c r="CB15" s="34"/>
      <c r="CC15" s="35" t="str">
        <f t="shared" si="30"/>
        <v/>
      </c>
      <c r="CD15" s="36" t="str">
        <f t="shared" si="31"/>
        <v/>
      </c>
      <c r="CE15" s="37"/>
      <c r="CF15" s="33"/>
      <c r="CG15" s="34"/>
      <c r="CH15" s="35" t="str">
        <f t="shared" si="32"/>
        <v/>
      </c>
      <c r="CI15" s="36" t="str">
        <f t="shared" si="33"/>
        <v/>
      </c>
      <c r="CJ15" s="37"/>
      <c r="CK15" s="33"/>
      <c r="CL15" s="34"/>
      <c r="CM15" s="35" t="str">
        <f t="shared" si="34"/>
        <v/>
      </c>
      <c r="CN15" s="36" t="str">
        <f t="shared" si="35"/>
        <v/>
      </c>
      <c r="CO15" s="37"/>
      <c r="CP15" s="33"/>
      <c r="CQ15" s="34"/>
      <c r="CR15" s="35" t="str">
        <f t="shared" si="36"/>
        <v/>
      </c>
      <c r="CS15" s="36" t="str">
        <f t="shared" si="37"/>
        <v/>
      </c>
      <c r="CT15" s="37"/>
      <c r="CU15" s="33"/>
      <c r="CV15" s="34"/>
      <c r="CW15" s="35" t="str">
        <f t="shared" si="38"/>
        <v/>
      </c>
      <c r="CX15" s="36" t="str">
        <f t="shared" si="39"/>
        <v/>
      </c>
      <c r="CY15" s="37"/>
      <c r="CZ15" s="33"/>
      <c r="DA15" s="34"/>
      <c r="DB15" s="35" t="str">
        <f t="shared" si="40"/>
        <v/>
      </c>
      <c r="DC15" s="36" t="str">
        <f t="shared" si="41"/>
        <v/>
      </c>
      <c r="DD15" s="37"/>
      <c r="DE15" s="33"/>
      <c r="DF15" s="34"/>
      <c r="DG15" s="35" t="str">
        <f t="shared" si="42"/>
        <v/>
      </c>
      <c r="DH15" s="36" t="str">
        <f t="shared" si="43"/>
        <v/>
      </c>
      <c r="DI15" s="37"/>
      <c r="DJ15" s="33"/>
      <c r="DK15" s="34"/>
      <c r="DL15" s="35" t="str">
        <f t="shared" si="44"/>
        <v/>
      </c>
      <c r="DM15" s="36" t="str">
        <f t="shared" si="45"/>
        <v/>
      </c>
      <c r="DN15" s="37"/>
      <c r="DO15" s="33"/>
      <c r="DP15" s="34"/>
      <c r="DQ15" s="35" t="str">
        <f t="shared" si="46"/>
        <v/>
      </c>
      <c r="DR15" s="36" t="str">
        <f t="shared" si="47"/>
        <v/>
      </c>
      <c r="DS15" s="37"/>
      <c r="DT15" s="33"/>
      <c r="DU15" s="34"/>
      <c r="DV15" s="35" t="str">
        <f t="shared" si="48"/>
        <v/>
      </c>
      <c r="DW15" s="36" t="str">
        <f t="shared" si="49"/>
        <v/>
      </c>
      <c r="DX15" s="37"/>
      <c r="DY15" s="33"/>
      <c r="DZ15" s="34"/>
      <c r="EA15" s="35" t="str">
        <f t="shared" si="50"/>
        <v/>
      </c>
      <c r="EB15" s="36" t="str">
        <f t="shared" si="51"/>
        <v/>
      </c>
      <c r="EC15" s="37"/>
      <c r="ED15" s="33"/>
      <c r="EE15" s="34"/>
      <c r="EF15" s="35" t="str">
        <f t="shared" si="52"/>
        <v/>
      </c>
      <c r="EG15" s="36" t="str">
        <f t="shared" si="53"/>
        <v/>
      </c>
      <c r="EH15" s="37"/>
      <c r="EI15" s="33"/>
      <c r="EJ15" s="34"/>
      <c r="EK15" s="35" t="str">
        <f t="shared" si="54"/>
        <v/>
      </c>
      <c r="EL15" s="36" t="str">
        <f t="shared" si="55"/>
        <v/>
      </c>
      <c r="EM15" s="37"/>
      <c r="EN15" s="33"/>
      <c r="EO15" s="34"/>
      <c r="EP15" s="35" t="str">
        <f t="shared" si="56"/>
        <v/>
      </c>
      <c r="EQ15" s="36" t="str">
        <f t="shared" si="57"/>
        <v/>
      </c>
      <c r="ER15" s="37"/>
      <c r="ES15" s="33"/>
      <c r="ET15" s="34"/>
      <c r="EU15" s="35" t="str">
        <f t="shared" si="58"/>
        <v/>
      </c>
      <c r="EV15" s="36" t="str">
        <f t="shared" si="59"/>
        <v/>
      </c>
      <c r="EW15" s="37"/>
    </row>
    <row r="16" spans="1:153" ht="19.5" customHeight="1">
      <c r="A16" s="32">
        <f>IF(DAY(DATE(対象年度,4,13))&lt;&gt;13,"",13)</f>
        <v>13</v>
      </c>
      <c r="B16" s="32" t="str">
        <f>IF(DAY(DATE(対象年度,4,13))&lt;&gt;13,"",CHOOSE(WEEKDAY(DATE(対象年度,4,13),2),"月","火","水","木","金","土","日"))</f>
        <v>月</v>
      </c>
      <c r="C16" s="32" t="str">
        <f>IF(DAY(DATE(対象年度,4,13))&lt;&gt;13,"",IF(ISNUMBER(MATCH(DATE(対象年度,4,13),祝日リスト,0)),"祝",""))</f>
        <v/>
      </c>
      <c r="D16" s="38" t="s">
        <v>104</v>
      </c>
      <c r="E16" s="34"/>
      <c r="F16" s="35" t="str">
        <f t="shared" si="0"/>
        <v>○</v>
      </c>
      <c r="G16" s="36" t="str">
        <f t="shared" si="1"/>
        <v/>
      </c>
      <c r="H16" s="37"/>
      <c r="I16" s="38" t="s">
        <v>116</v>
      </c>
      <c r="J16" s="34"/>
      <c r="K16" s="35" t="str">
        <f t="shared" si="2"/>
        <v>○</v>
      </c>
      <c r="L16" s="36" t="str">
        <f t="shared" si="3"/>
        <v/>
      </c>
      <c r="M16" s="37"/>
      <c r="N16" s="38" t="s">
        <v>116</v>
      </c>
      <c r="O16" s="34"/>
      <c r="P16" s="35" t="str">
        <f t="shared" si="4"/>
        <v>○</v>
      </c>
      <c r="Q16" s="36" t="str">
        <f t="shared" si="5"/>
        <v/>
      </c>
      <c r="R16" s="37"/>
      <c r="S16" s="38" t="s">
        <v>116</v>
      </c>
      <c r="T16" s="34"/>
      <c r="U16" s="35" t="str">
        <f t="shared" si="6"/>
        <v>○</v>
      </c>
      <c r="V16" s="36" t="str">
        <f t="shared" si="7"/>
        <v/>
      </c>
      <c r="W16" s="37"/>
      <c r="X16" s="38" t="s">
        <v>116</v>
      </c>
      <c r="Y16" s="34"/>
      <c r="Z16" s="35" t="str">
        <f t="shared" si="8"/>
        <v>○</v>
      </c>
      <c r="AA16" s="36" t="str">
        <f t="shared" si="9"/>
        <v/>
      </c>
      <c r="AB16" s="37"/>
      <c r="AC16" s="38" t="s">
        <v>116</v>
      </c>
      <c r="AD16" s="34"/>
      <c r="AE16" s="35" t="str">
        <f t="shared" si="10"/>
        <v>○</v>
      </c>
      <c r="AF16" s="36" t="str">
        <f t="shared" si="11"/>
        <v/>
      </c>
      <c r="AG16" s="37"/>
      <c r="AH16" s="38" t="s">
        <v>117</v>
      </c>
      <c r="AI16" s="34"/>
      <c r="AJ16" s="35" t="str">
        <f t="shared" si="12"/>
        <v>○</v>
      </c>
      <c r="AK16" s="36" t="str">
        <f t="shared" si="13"/>
        <v/>
      </c>
      <c r="AL16" s="37"/>
      <c r="AM16" s="38" t="s">
        <v>116</v>
      </c>
      <c r="AN16" s="34"/>
      <c r="AO16" s="35" t="str">
        <f t="shared" si="14"/>
        <v>○</v>
      </c>
      <c r="AP16" s="36" t="str">
        <f t="shared" si="15"/>
        <v/>
      </c>
      <c r="AQ16" s="37"/>
      <c r="AR16" s="38" t="s">
        <v>116</v>
      </c>
      <c r="AS16" s="34"/>
      <c r="AT16" s="35" t="str">
        <f t="shared" si="16"/>
        <v>○</v>
      </c>
      <c r="AU16" s="36" t="str">
        <f t="shared" si="17"/>
        <v/>
      </c>
      <c r="AV16" s="37"/>
      <c r="AW16" s="38" t="s">
        <v>124</v>
      </c>
      <c r="AX16" s="34"/>
      <c r="AY16" s="35" t="str">
        <f t="shared" si="18"/>
        <v>○</v>
      </c>
      <c r="AZ16" s="36" t="str">
        <f t="shared" si="19"/>
        <v/>
      </c>
      <c r="BA16" s="37"/>
      <c r="BB16" s="38" t="s">
        <v>104</v>
      </c>
      <c r="BC16" s="34"/>
      <c r="BD16" s="35" t="str">
        <f t="shared" si="20"/>
        <v>○</v>
      </c>
      <c r="BE16" s="36" t="str">
        <f t="shared" si="21"/>
        <v/>
      </c>
      <c r="BF16" s="37"/>
      <c r="BG16" s="33"/>
      <c r="BH16" s="34"/>
      <c r="BI16" s="35" t="str">
        <f t="shared" si="22"/>
        <v/>
      </c>
      <c r="BJ16" s="36" t="str">
        <f t="shared" si="23"/>
        <v/>
      </c>
      <c r="BK16" s="37"/>
      <c r="BL16" s="33"/>
      <c r="BM16" s="34"/>
      <c r="BN16" s="35" t="str">
        <f t="shared" si="24"/>
        <v/>
      </c>
      <c r="BO16" s="36" t="str">
        <f t="shared" si="25"/>
        <v/>
      </c>
      <c r="BP16" s="37"/>
      <c r="BQ16" s="33"/>
      <c r="BR16" s="34"/>
      <c r="BS16" s="35" t="str">
        <f t="shared" si="26"/>
        <v/>
      </c>
      <c r="BT16" s="36" t="str">
        <f t="shared" si="27"/>
        <v/>
      </c>
      <c r="BU16" s="37"/>
      <c r="BV16" s="33"/>
      <c r="BW16" s="34"/>
      <c r="BX16" s="35" t="str">
        <f t="shared" si="28"/>
        <v/>
      </c>
      <c r="BY16" s="36" t="str">
        <f t="shared" si="29"/>
        <v/>
      </c>
      <c r="BZ16" s="37"/>
      <c r="CA16" s="33"/>
      <c r="CB16" s="34"/>
      <c r="CC16" s="35" t="str">
        <f t="shared" si="30"/>
        <v/>
      </c>
      <c r="CD16" s="36" t="str">
        <f t="shared" si="31"/>
        <v/>
      </c>
      <c r="CE16" s="37"/>
      <c r="CF16" s="33"/>
      <c r="CG16" s="34"/>
      <c r="CH16" s="35" t="str">
        <f t="shared" si="32"/>
        <v/>
      </c>
      <c r="CI16" s="36" t="str">
        <f t="shared" si="33"/>
        <v/>
      </c>
      <c r="CJ16" s="37"/>
      <c r="CK16" s="33"/>
      <c r="CL16" s="34"/>
      <c r="CM16" s="35" t="str">
        <f t="shared" si="34"/>
        <v/>
      </c>
      <c r="CN16" s="36" t="str">
        <f t="shared" si="35"/>
        <v/>
      </c>
      <c r="CO16" s="37"/>
      <c r="CP16" s="33"/>
      <c r="CQ16" s="34"/>
      <c r="CR16" s="35" t="str">
        <f t="shared" si="36"/>
        <v/>
      </c>
      <c r="CS16" s="36" t="str">
        <f t="shared" si="37"/>
        <v/>
      </c>
      <c r="CT16" s="37"/>
      <c r="CU16" s="33"/>
      <c r="CV16" s="34"/>
      <c r="CW16" s="35" t="str">
        <f t="shared" si="38"/>
        <v/>
      </c>
      <c r="CX16" s="36" t="str">
        <f t="shared" si="39"/>
        <v/>
      </c>
      <c r="CY16" s="37"/>
      <c r="CZ16" s="33"/>
      <c r="DA16" s="34"/>
      <c r="DB16" s="35" t="str">
        <f t="shared" si="40"/>
        <v/>
      </c>
      <c r="DC16" s="36" t="str">
        <f t="shared" si="41"/>
        <v/>
      </c>
      <c r="DD16" s="37"/>
      <c r="DE16" s="33"/>
      <c r="DF16" s="34"/>
      <c r="DG16" s="35" t="str">
        <f t="shared" si="42"/>
        <v/>
      </c>
      <c r="DH16" s="36" t="str">
        <f t="shared" si="43"/>
        <v/>
      </c>
      <c r="DI16" s="37"/>
      <c r="DJ16" s="33"/>
      <c r="DK16" s="34"/>
      <c r="DL16" s="35" t="str">
        <f t="shared" si="44"/>
        <v/>
      </c>
      <c r="DM16" s="36" t="str">
        <f t="shared" si="45"/>
        <v/>
      </c>
      <c r="DN16" s="37"/>
      <c r="DO16" s="33"/>
      <c r="DP16" s="34"/>
      <c r="DQ16" s="35" t="str">
        <f t="shared" si="46"/>
        <v/>
      </c>
      <c r="DR16" s="36" t="str">
        <f t="shared" si="47"/>
        <v/>
      </c>
      <c r="DS16" s="37"/>
      <c r="DT16" s="33"/>
      <c r="DU16" s="34"/>
      <c r="DV16" s="35" t="str">
        <f t="shared" si="48"/>
        <v/>
      </c>
      <c r="DW16" s="36" t="str">
        <f t="shared" si="49"/>
        <v/>
      </c>
      <c r="DX16" s="37"/>
      <c r="DY16" s="33"/>
      <c r="DZ16" s="34"/>
      <c r="EA16" s="35" t="str">
        <f t="shared" si="50"/>
        <v/>
      </c>
      <c r="EB16" s="36" t="str">
        <f t="shared" si="51"/>
        <v/>
      </c>
      <c r="EC16" s="37"/>
      <c r="ED16" s="33"/>
      <c r="EE16" s="34"/>
      <c r="EF16" s="35" t="str">
        <f t="shared" si="52"/>
        <v/>
      </c>
      <c r="EG16" s="36" t="str">
        <f t="shared" si="53"/>
        <v/>
      </c>
      <c r="EH16" s="37"/>
      <c r="EI16" s="33"/>
      <c r="EJ16" s="34"/>
      <c r="EK16" s="35" t="str">
        <f t="shared" si="54"/>
        <v/>
      </c>
      <c r="EL16" s="36" t="str">
        <f t="shared" si="55"/>
        <v/>
      </c>
      <c r="EM16" s="37"/>
      <c r="EN16" s="33"/>
      <c r="EO16" s="34"/>
      <c r="EP16" s="35" t="str">
        <f t="shared" si="56"/>
        <v/>
      </c>
      <c r="EQ16" s="36" t="str">
        <f t="shared" si="57"/>
        <v/>
      </c>
      <c r="ER16" s="37"/>
      <c r="ES16" s="33"/>
      <c r="ET16" s="34"/>
      <c r="EU16" s="35" t="str">
        <f t="shared" si="58"/>
        <v/>
      </c>
      <c r="EV16" s="36" t="str">
        <f t="shared" si="59"/>
        <v/>
      </c>
      <c r="EW16" s="37"/>
    </row>
    <row r="17" spans="1:153" ht="19.5" customHeight="1">
      <c r="A17" s="32">
        <f>IF(DAY(DATE(対象年度,4,14))&lt;&gt;14,"",14)</f>
        <v>14</v>
      </c>
      <c r="B17" s="32" t="str">
        <f>IF(DAY(DATE(対象年度,4,14))&lt;&gt;14,"",CHOOSE(WEEKDAY(DATE(対象年度,4,14),2),"月","火","水","木","金","土","日"))</f>
        <v>火</v>
      </c>
      <c r="C17" s="32" t="str">
        <f>IF(DAY(DATE(対象年度,4,14))&lt;&gt;14,"",IF(ISNUMBER(MATCH(DATE(対象年度,4,14),祝日リスト,0)),"祝",""))</f>
        <v/>
      </c>
      <c r="D17" s="38" t="s">
        <v>104</v>
      </c>
      <c r="E17" s="34"/>
      <c r="F17" s="35" t="str">
        <f t="shared" si="0"/>
        <v>○</v>
      </c>
      <c r="G17" s="36" t="str">
        <f t="shared" si="1"/>
        <v/>
      </c>
      <c r="H17" s="37"/>
      <c r="I17" s="38" t="s">
        <v>118</v>
      </c>
      <c r="J17" s="34"/>
      <c r="K17" s="35" t="str">
        <f t="shared" si="2"/>
        <v>○</v>
      </c>
      <c r="L17" s="36" t="str">
        <f t="shared" si="3"/>
        <v/>
      </c>
      <c r="M17" s="37"/>
      <c r="N17" s="38" t="s">
        <v>116</v>
      </c>
      <c r="O17" s="34"/>
      <c r="P17" s="35" t="str">
        <f t="shared" si="4"/>
        <v>○</v>
      </c>
      <c r="Q17" s="36" t="str">
        <f t="shared" si="5"/>
        <v/>
      </c>
      <c r="R17" s="37"/>
      <c r="S17" s="38" t="s">
        <v>116</v>
      </c>
      <c r="T17" s="34"/>
      <c r="U17" s="35" t="str">
        <f t="shared" si="6"/>
        <v>○</v>
      </c>
      <c r="V17" s="36" t="str">
        <f t="shared" si="7"/>
        <v/>
      </c>
      <c r="W17" s="37"/>
      <c r="X17" s="38" t="s">
        <v>116</v>
      </c>
      <c r="Y17" s="34"/>
      <c r="Z17" s="35" t="str">
        <f t="shared" si="8"/>
        <v>○</v>
      </c>
      <c r="AA17" s="36" t="str">
        <f t="shared" si="9"/>
        <v/>
      </c>
      <c r="AB17" s="37"/>
      <c r="AC17" s="38" t="s">
        <v>118</v>
      </c>
      <c r="AD17" s="34"/>
      <c r="AE17" s="35" t="str">
        <f t="shared" si="10"/>
        <v>○</v>
      </c>
      <c r="AF17" s="36" t="str">
        <f t="shared" si="11"/>
        <v/>
      </c>
      <c r="AG17" s="37"/>
      <c r="AH17" s="33"/>
      <c r="AI17" s="34"/>
      <c r="AJ17" s="35" t="str">
        <f t="shared" si="12"/>
        <v/>
      </c>
      <c r="AK17" s="36" t="str">
        <f t="shared" si="13"/>
        <v/>
      </c>
      <c r="AL17" s="37"/>
      <c r="AM17" s="38" t="s">
        <v>118</v>
      </c>
      <c r="AN17" s="34"/>
      <c r="AO17" s="35" t="str">
        <f t="shared" si="14"/>
        <v>○</v>
      </c>
      <c r="AP17" s="36" t="str">
        <f t="shared" si="15"/>
        <v/>
      </c>
      <c r="AQ17" s="37"/>
      <c r="AR17" s="38" t="s">
        <v>116</v>
      </c>
      <c r="AS17" s="34"/>
      <c r="AT17" s="35" t="str">
        <f t="shared" si="16"/>
        <v>○</v>
      </c>
      <c r="AU17" s="36" t="str">
        <f t="shared" si="17"/>
        <v/>
      </c>
      <c r="AV17" s="37"/>
      <c r="AW17" s="38" t="s">
        <v>124</v>
      </c>
      <c r="AX17" s="34"/>
      <c r="AY17" s="35" t="str">
        <f t="shared" si="18"/>
        <v>○</v>
      </c>
      <c r="AZ17" s="36" t="str">
        <f t="shared" si="19"/>
        <v/>
      </c>
      <c r="BA17" s="37"/>
      <c r="BB17" s="38" t="s">
        <v>104</v>
      </c>
      <c r="BC17" s="34"/>
      <c r="BD17" s="35" t="str">
        <f t="shared" si="20"/>
        <v>○</v>
      </c>
      <c r="BE17" s="36" t="str">
        <f t="shared" si="21"/>
        <v/>
      </c>
      <c r="BF17" s="37"/>
      <c r="BG17" s="33"/>
      <c r="BH17" s="34"/>
      <c r="BI17" s="35" t="str">
        <f t="shared" si="22"/>
        <v/>
      </c>
      <c r="BJ17" s="36" t="str">
        <f t="shared" si="23"/>
        <v/>
      </c>
      <c r="BK17" s="37"/>
      <c r="BL17" s="33"/>
      <c r="BM17" s="34"/>
      <c r="BN17" s="35" t="str">
        <f t="shared" si="24"/>
        <v/>
      </c>
      <c r="BO17" s="36" t="str">
        <f t="shared" si="25"/>
        <v/>
      </c>
      <c r="BP17" s="37"/>
      <c r="BQ17" s="33"/>
      <c r="BR17" s="34"/>
      <c r="BS17" s="35" t="str">
        <f t="shared" si="26"/>
        <v/>
      </c>
      <c r="BT17" s="36" t="str">
        <f t="shared" si="27"/>
        <v/>
      </c>
      <c r="BU17" s="37"/>
      <c r="BV17" s="33"/>
      <c r="BW17" s="34"/>
      <c r="BX17" s="35" t="str">
        <f t="shared" si="28"/>
        <v/>
      </c>
      <c r="BY17" s="36" t="str">
        <f t="shared" si="29"/>
        <v/>
      </c>
      <c r="BZ17" s="37"/>
      <c r="CA17" s="33"/>
      <c r="CB17" s="34"/>
      <c r="CC17" s="35" t="str">
        <f t="shared" si="30"/>
        <v/>
      </c>
      <c r="CD17" s="36" t="str">
        <f t="shared" si="31"/>
        <v/>
      </c>
      <c r="CE17" s="37"/>
      <c r="CF17" s="33"/>
      <c r="CG17" s="34"/>
      <c r="CH17" s="35" t="str">
        <f t="shared" si="32"/>
        <v/>
      </c>
      <c r="CI17" s="36" t="str">
        <f t="shared" si="33"/>
        <v/>
      </c>
      <c r="CJ17" s="37"/>
      <c r="CK17" s="33"/>
      <c r="CL17" s="34"/>
      <c r="CM17" s="35" t="str">
        <f t="shared" si="34"/>
        <v/>
      </c>
      <c r="CN17" s="36" t="str">
        <f t="shared" si="35"/>
        <v/>
      </c>
      <c r="CO17" s="37"/>
      <c r="CP17" s="33"/>
      <c r="CQ17" s="34"/>
      <c r="CR17" s="35" t="str">
        <f t="shared" si="36"/>
        <v/>
      </c>
      <c r="CS17" s="36" t="str">
        <f t="shared" si="37"/>
        <v/>
      </c>
      <c r="CT17" s="37"/>
      <c r="CU17" s="33"/>
      <c r="CV17" s="34"/>
      <c r="CW17" s="35" t="str">
        <f t="shared" si="38"/>
        <v/>
      </c>
      <c r="CX17" s="36" t="str">
        <f t="shared" si="39"/>
        <v/>
      </c>
      <c r="CY17" s="37"/>
      <c r="CZ17" s="33"/>
      <c r="DA17" s="34"/>
      <c r="DB17" s="35" t="str">
        <f t="shared" si="40"/>
        <v/>
      </c>
      <c r="DC17" s="36" t="str">
        <f t="shared" si="41"/>
        <v/>
      </c>
      <c r="DD17" s="37"/>
      <c r="DE17" s="33"/>
      <c r="DF17" s="34"/>
      <c r="DG17" s="35" t="str">
        <f t="shared" si="42"/>
        <v/>
      </c>
      <c r="DH17" s="36" t="str">
        <f t="shared" si="43"/>
        <v/>
      </c>
      <c r="DI17" s="37"/>
      <c r="DJ17" s="33"/>
      <c r="DK17" s="34"/>
      <c r="DL17" s="35" t="str">
        <f t="shared" si="44"/>
        <v/>
      </c>
      <c r="DM17" s="36" t="str">
        <f t="shared" si="45"/>
        <v/>
      </c>
      <c r="DN17" s="37"/>
      <c r="DO17" s="33"/>
      <c r="DP17" s="34"/>
      <c r="DQ17" s="35" t="str">
        <f t="shared" si="46"/>
        <v/>
      </c>
      <c r="DR17" s="36" t="str">
        <f t="shared" si="47"/>
        <v/>
      </c>
      <c r="DS17" s="37"/>
      <c r="DT17" s="33"/>
      <c r="DU17" s="34"/>
      <c r="DV17" s="35" t="str">
        <f t="shared" si="48"/>
        <v/>
      </c>
      <c r="DW17" s="36" t="str">
        <f t="shared" si="49"/>
        <v/>
      </c>
      <c r="DX17" s="37"/>
      <c r="DY17" s="33"/>
      <c r="DZ17" s="34"/>
      <c r="EA17" s="35" t="str">
        <f t="shared" si="50"/>
        <v/>
      </c>
      <c r="EB17" s="36" t="str">
        <f t="shared" si="51"/>
        <v/>
      </c>
      <c r="EC17" s="37"/>
      <c r="ED17" s="33"/>
      <c r="EE17" s="34"/>
      <c r="EF17" s="35" t="str">
        <f t="shared" si="52"/>
        <v/>
      </c>
      <c r="EG17" s="36" t="str">
        <f t="shared" si="53"/>
        <v/>
      </c>
      <c r="EH17" s="37"/>
      <c r="EI17" s="33"/>
      <c r="EJ17" s="34"/>
      <c r="EK17" s="35" t="str">
        <f t="shared" si="54"/>
        <v/>
      </c>
      <c r="EL17" s="36" t="str">
        <f t="shared" si="55"/>
        <v/>
      </c>
      <c r="EM17" s="37"/>
      <c r="EN17" s="33"/>
      <c r="EO17" s="34"/>
      <c r="EP17" s="35" t="str">
        <f t="shared" si="56"/>
        <v/>
      </c>
      <c r="EQ17" s="36" t="str">
        <f t="shared" si="57"/>
        <v/>
      </c>
      <c r="ER17" s="37"/>
      <c r="ES17" s="33"/>
      <c r="ET17" s="34"/>
      <c r="EU17" s="35" t="str">
        <f t="shared" si="58"/>
        <v/>
      </c>
      <c r="EV17" s="36" t="str">
        <f t="shared" si="59"/>
        <v/>
      </c>
      <c r="EW17" s="37"/>
    </row>
    <row r="18" spans="1:153" ht="19.5" customHeight="1">
      <c r="A18" s="32">
        <f>IF(DAY(DATE(対象年度,4,15))&lt;&gt;15,"",15)</f>
        <v>15</v>
      </c>
      <c r="B18" s="32" t="str">
        <f>IF(DAY(DATE(対象年度,4,15))&lt;&gt;15,"",CHOOSE(WEEKDAY(DATE(対象年度,4,15),2),"月","火","水","木","金","土","日"))</f>
        <v>水</v>
      </c>
      <c r="C18" s="32" t="str">
        <f>IF(DAY(DATE(対象年度,4,15))&lt;&gt;15,"",IF(ISNUMBER(MATCH(DATE(対象年度,4,15),祝日リスト,0)),"祝",""))</f>
        <v/>
      </c>
      <c r="D18" s="38" t="s">
        <v>104</v>
      </c>
      <c r="E18" s="34"/>
      <c r="F18" s="35" t="str">
        <f t="shared" si="0"/>
        <v>○</v>
      </c>
      <c r="G18" s="36" t="str">
        <f t="shared" si="1"/>
        <v/>
      </c>
      <c r="H18" s="37"/>
      <c r="I18" s="38" t="s">
        <v>130</v>
      </c>
      <c r="J18" s="34"/>
      <c r="K18" s="35" t="str">
        <f t="shared" si="2"/>
        <v>○</v>
      </c>
      <c r="L18" s="36" t="str">
        <f t="shared" si="3"/>
        <v/>
      </c>
      <c r="M18" s="37"/>
      <c r="N18" s="38" t="s">
        <v>116</v>
      </c>
      <c r="O18" s="34"/>
      <c r="P18" s="35" t="str">
        <f t="shared" si="4"/>
        <v>○</v>
      </c>
      <c r="Q18" s="36" t="str">
        <f t="shared" si="5"/>
        <v/>
      </c>
      <c r="R18" s="37"/>
      <c r="S18" s="38" t="s">
        <v>116</v>
      </c>
      <c r="T18" s="34"/>
      <c r="U18" s="35" t="str">
        <f t="shared" si="6"/>
        <v>○</v>
      </c>
      <c r="V18" s="36" t="str">
        <f t="shared" si="7"/>
        <v/>
      </c>
      <c r="W18" s="37"/>
      <c r="X18" s="38" t="s">
        <v>116</v>
      </c>
      <c r="Y18" s="34"/>
      <c r="Z18" s="35" t="str">
        <f t="shared" si="8"/>
        <v>○</v>
      </c>
      <c r="AA18" s="36" t="str">
        <f t="shared" si="9"/>
        <v/>
      </c>
      <c r="AB18" s="37"/>
      <c r="AC18" s="38" t="s">
        <v>130</v>
      </c>
      <c r="AD18" s="34"/>
      <c r="AE18" s="35" t="str">
        <f t="shared" si="10"/>
        <v>○</v>
      </c>
      <c r="AF18" s="36" t="str">
        <f t="shared" si="11"/>
        <v/>
      </c>
      <c r="AG18" s="37"/>
      <c r="AH18" s="38" t="s">
        <v>117</v>
      </c>
      <c r="AI18" s="34"/>
      <c r="AJ18" s="35" t="str">
        <f t="shared" si="12"/>
        <v>○</v>
      </c>
      <c r="AK18" s="36" t="str">
        <f t="shared" si="13"/>
        <v/>
      </c>
      <c r="AL18" s="37"/>
      <c r="AM18" s="38" t="s">
        <v>130</v>
      </c>
      <c r="AN18" s="34"/>
      <c r="AO18" s="35" t="str">
        <f t="shared" si="14"/>
        <v>○</v>
      </c>
      <c r="AP18" s="36" t="str">
        <f t="shared" si="15"/>
        <v/>
      </c>
      <c r="AQ18" s="37"/>
      <c r="AR18" s="38" t="s">
        <v>116</v>
      </c>
      <c r="AS18" s="34"/>
      <c r="AT18" s="35" t="str">
        <f t="shared" si="16"/>
        <v>○</v>
      </c>
      <c r="AU18" s="36" t="str">
        <f t="shared" si="17"/>
        <v/>
      </c>
      <c r="AV18" s="37"/>
      <c r="AW18" s="38" t="s">
        <v>124</v>
      </c>
      <c r="AX18" s="34"/>
      <c r="AY18" s="35" t="str">
        <f t="shared" si="18"/>
        <v>○</v>
      </c>
      <c r="AZ18" s="36" t="str">
        <f t="shared" si="19"/>
        <v/>
      </c>
      <c r="BA18" s="37"/>
      <c r="BB18" s="38" t="s">
        <v>104</v>
      </c>
      <c r="BC18" s="34"/>
      <c r="BD18" s="35" t="str">
        <f t="shared" si="20"/>
        <v>○</v>
      </c>
      <c r="BE18" s="36" t="str">
        <f t="shared" si="21"/>
        <v/>
      </c>
      <c r="BF18" s="37"/>
      <c r="BG18" s="33"/>
      <c r="BH18" s="34"/>
      <c r="BI18" s="35" t="str">
        <f t="shared" si="22"/>
        <v/>
      </c>
      <c r="BJ18" s="36" t="str">
        <f t="shared" si="23"/>
        <v/>
      </c>
      <c r="BK18" s="37"/>
      <c r="BL18" s="33"/>
      <c r="BM18" s="34"/>
      <c r="BN18" s="35" t="str">
        <f t="shared" si="24"/>
        <v/>
      </c>
      <c r="BO18" s="36" t="str">
        <f t="shared" si="25"/>
        <v/>
      </c>
      <c r="BP18" s="37"/>
      <c r="BQ18" s="33"/>
      <c r="BR18" s="34"/>
      <c r="BS18" s="35" t="str">
        <f t="shared" si="26"/>
        <v/>
      </c>
      <c r="BT18" s="36" t="str">
        <f t="shared" si="27"/>
        <v/>
      </c>
      <c r="BU18" s="37"/>
      <c r="BV18" s="33"/>
      <c r="BW18" s="34"/>
      <c r="BX18" s="35" t="str">
        <f t="shared" si="28"/>
        <v/>
      </c>
      <c r="BY18" s="36" t="str">
        <f t="shared" si="29"/>
        <v/>
      </c>
      <c r="BZ18" s="37"/>
      <c r="CA18" s="33"/>
      <c r="CB18" s="34"/>
      <c r="CC18" s="35" t="str">
        <f t="shared" si="30"/>
        <v/>
      </c>
      <c r="CD18" s="36" t="str">
        <f t="shared" si="31"/>
        <v/>
      </c>
      <c r="CE18" s="37"/>
      <c r="CF18" s="33"/>
      <c r="CG18" s="34"/>
      <c r="CH18" s="35" t="str">
        <f t="shared" si="32"/>
        <v/>
      </c>
      <c r="CI18" s="36" t="str">
        <f t="shared" si="33"/>
        <v/>
      </c>
      <c r="CJ18" s="37"/>
      <c r="CK18" s="33"/>
      <c r="CL18" s="34"/>
      <c r="CM18" s="35" t="str">
        <f t="shared" si="34"/>
        <v/>
      </c>
      <c r="CN18" s="36" t="str">
        <f t="shared" si="35"/>
        <v/>
      </c>
      <c r="CO18" s="37"/>
      <c r="CP18" s="33"/>
      <c r="CQ18" s="34"/>
      <c r="CR18" s="35" t="str">
        <f t="shared" si="36"/>
        <v/>
      </c>
      <c r="CS18" s="36" t="str">
        <f t="shared" si="37"/>
        <v/>
      </c>
      <c r="CT18" s="37"/>
      <c r="CU18" s="33"/>
      <c r="CV18" s="34"/>
      <c r="CW18" s="35" t="str">
        <f t="shared" si="38"/>
        <v/>
      </c>
      <c r="CX18" s="36" t="str">
        <f t="shared" si="39"/>
        <v/>
      </c>
      <c r="CY18" s="37"/>
      <c r="CZ18" s="33"/>
      <c r="DA18" s="34"/>
      <c r="DB18" s="35" t="str">
        <f t="shared" si="40"/>
        <v/>
      </c>
      <c r="DC18" s="36" t="str">
        <f t="shared" si="41"/>
        <v/>
      </c>
      <c r="DD18" s="37"/>
      <c r="DE18" s="33"/>
      <c r="DF18" s="34"/>
      <c r="DG18" s="35" t="str">
        <f t="shared" si="42"/>
        <v/>
      </c>
      <c r="DH18" s="36" t="str">
        <f t="shared" si="43"/>
        <v/>
      </c>
      <c r="DI18" s="37"/>
      <c r="DJ18" s="33"/>
      <c r="DK18" s="34"/>
      <c r="DL18" s="35" t="str">
        <f t="shared" si="44"/>
        <v/>
      </c>
      <c r="DM18" s="36" t="str">
        <f t="shared" si="45"/>
        <v/>
      </c>
      <c r="DN18" s="37"/>
      <c r="DO18" s="33"/>
      <c r="DP18" s="34"/>
      <c r="DQ18" s="35" t="str">
        <f t="shared" si="46"/>
        <v/>
      </c>
      <c r="DR18" s="36" t="str">
        <f t="shared" si="47"/>
        <v/>
      </c>
      <c r="DS18" s="37"/>
      <c r="DT18" s="33"/>
      <c r="DU18" s="34"/>
      <c r="DV18" s="35" t="str">
        <f t="shared" si="48"/>
        <v/>
      </c>
      <c r="DW18" s="36" t="str">
        <f t="shared" si="49"/>
        <v/>
      </c>
      <c r="DX18" s="37"/>
      <c r="DY18" s="33"/>
      <c r="DZ18" s="34"/>
      <c r="EA18" s="35" t="str">
        <f t="shared" si="50"/>
        <v/>
      </c>
      <c r="EB18" s="36" t="str">
        <f t="shared" si="51"/>
        <v/>
      </c>
      <c r="EC18" s="37"/>
      <c r="ED18" s="33"/>
      <c r="EE18" s="34"/>
      <c r="EF18" s="35" t="str">
        <f t="shared" si="52"/>
        <v/>
      </c>
      <c r="EG18" s="36" t="str">
        <f t="shared" si="53"/>
        <v/>
      </c>
      <c r="EH18" s="37"/>
      <c r="EI18" s="33"/>
      <c r="EJ18" s="34"/>
      <c r="EK18" s="35" t="str">
        <f t="shared" si="54"/>
        <v/>
      </c>
      <c r="EL18" s="36" t="str">
        <f t="shared" si="55"/>
        <v/>
      </c>
      <c r="EM18" s="37"/>
      <c r="EN18" s="33"/>
      <c r="EO18" s="34"/>
      <c r="EP18" s="35" t="str">
        <f t="shared" si="56"/>
        <v/>
      </c>
      <c r="EQ18" s="36" t="str">
        <f t="shared" si="57"/>
        <v/>
      </c>
      <c r="ER18" s="37"/>
      <c r="ES18" s="33"/>
      <c r="ET18" s="34"/>
      <c r="EU18" s="35" t="str">
        <f t="shared" si="58"/>
        <v/>
      </c>
      <c r="EV18" s="36" t="str">
        <f t="shared" si="59"/>
        <v/>
      </c>
      <c r="EW18" s="37"/>
    </row>
    <row r="19" spans="1:153" ht="19.5" customHeight="1">
      <c r="A19" s="32">
        <f>IF(DAY(DATE(対象年度,4,16))&lt;&gt;16,"",16)</f>
        <v>16</v>
      </c>
      <c r="B19" s="32" t="str">
        <f>IF(DAY(DATE(対象年度,4,16))&lt;&gt;16,"",CHOOSE(WEEKDAY(DATE(対象年度,4,16),2),"月","火","水","木","金","土","日"))</f>
        <v>木</v>
      </c>
      <c r="C19" s="32" t="str">
        <f>IF(DAY(DATE(対象年度,4,16))&lt;&gt;16,"",IF(ISNUMBER(MATCH(DATE(対象年度,4,16),祝日リスト,0)),"祝",""))</f>
        <v/>
      </c>
      <c r="D19" s="38" t="s">
        <v>104</v>
      </c>
      <c r="E19" s="34"/>
      <c r="F19" s="35" t="str">
        <f t="shared" si="0"/>
        <v>○</v>
      </c>
      <c r="G19" s="36" t="str">
        <f t="shared" si="1"/>
        <v/>
      </c>
      <c r="H19" s="37"/>
      <c r="I19" s="38" t="s">
        <v>118</v>
      </c>
      <c r="J19" s="34"/>
      <c r="K19" s="35" t="str">
        <f t="shared" si="2"/>
        <v>○</v>
      </c>
      <c r="L19" s="36" t="str">
        <f t="shared" si="3"/>
        <v/>
      </c>
      <c r="M19" s="37"/>
      <c r="N19" s="38" t="s">
        <v>116</v>
      </c>
      <c r="O19" s="34"/>
      <c r="P19" s="35" t="str">
        <f t="shared" si="4"/>
        <v>○</v>
      </c>
      <c r="Q19" s="36" t="str">
        <f t="shared" si="5"/>
        <v/>
      </c>
      <c r="R19" s="37"/>
      <c r="S19" s="38" t="s">
        <v>116</v>
      </c>
      <c r="T19" s="34"/>
      <c r="U19" s="35" t="str">
        <f t="shared" si="6"/>
        <v>○</v>
      </c>
      <c r="V19" s="36" t="str">
        <f t="shared" si="7"/>
        <v/>
      </c>
      <c r="W19" s="37"/>
      <c r="X19" s="38" t="s">
        <v>116</v>
      </c>
      <c r="Y19" s="34"/>
      <c r="Z19" s="35" t="str">
        <f t="shared" si="8"/>
        <v>○</v>
      </c>
      <c r="AA19" s="36" t="str">
        <f t="shared" si="9"/>
        <v/>
      </c>
      <c r="AB19" s="37"/>
      <c r="AC19" s="33"/>
      <c r="AD19" s="34"/>
      <c r="AE19" s="35" t="str">
        <f t="shared" si="10"/>
        <v/>
      </c>
      <c r="AF19" s="36" t="str">
        <f t="shared" si="11"/>
        <v/>
      </c>
      <c r="AG19" s="37"/>
      <c r="AH19" s="38" t="s">
        <v>117</v>
      </c>
      <c r="AI19" s="34"/>
      <c r="AJ19" s="35" t="str">
        <f t="shared" si="12"/>
        <v>○</v>
      </c>
      <c r="AK19" s="36" t="str">
        <f t="shared" si="13"/>
        <v/>
      </c>
      <c r="AL19" s="37"/>
      <c r="AM19" s="38" t="s">
        <v>118</v>
      </c>
      <c r="AN19" s="34"/>
      <c r="AO19" s="35" t="str">
        <f t="shared" si="14"/>
        <v>○</v>
      </c>
      <c r="AP19" s="36" t="str">
        <f t="shared" si="15"/>
        <v/>
      </c>
      <c r="AQ19" s="37"/>
      <c r="AR19" s="38" t="s">
        <v>116</v>
      </c>
      <c r="AS19" s="34"/>
      <c r="AT19" s="35" t="str">
        <f t="shared" si="16"/>
        <v>○</v>
      </c>
      <c r="AU19" s="36" t="str">
        <f t="shared" si="17"/>
        <v/>
      </c>
      <c r="AV19" s="37"/>
      <c r="AW19" s="38" t="s">
        <v>124</v>
      </c>
      <c r="AX19" s="34"/>
      <c r="AY19" s="35" t="str">
        <f t="shared" si="18"/>
        <v>○</v>
      </c>
      <c r="AZ19" s="36" t="str">
        <f t="shared" si="19"/>
        <v/>
      </c>
      <c r="BA19" s="37"/>
      <c r="BB19" s="38" t="s">
        <v>104</v>
      </c>
      <c r="BC19" s="34"/>
      <c r="BD19" s="35" t="str">
        <f t="shared" si="20"/>
        <v>○</v>
      </c>
      <c r="BE19" s="36" t="str">
        <f t="shared" si="21"/>
        <v/>
      </c>
      <c r="BF19" s="37"/>
      <c r="BG19" s="33"/>
      <c r="BH19" s="34"/>
      <c r="BI19" s="35" t="str">
        <f t="shared" si="22"/>
        <v/>
      </c>
      <c r="BJ19" s="36" t="str">
        <f t="shared" si="23"/>
        <v/>
      </c>
      <c r="BK19" s="37"/>
      <c r="BL19" s="33"/>
      <c r="BM19" s="34"/>
      <c r="BN19" s="35" t="str">
        <f t="shared" si="24"/>
        <v/>
      </c>
      <c r="BO19" s="36" t="str">
        <f t="shared" si="25"/>
        <v/>
      </c>
      <c r="BP19" s="37"/>
      <c r="BQ19" s="33"/>
      <c r="BR19" s="34"/>
      <c r="BS19" s="35" t="str">
        <f t="shared" si="26"/>
        <v/>
      </c>
      <c r="BT19" s="36" t="str">
        <f t="shared" si="27"/>
        <v/>
      </c>
      <c r="BU19" s="37"/>
      <c r="BV19" s="33"/>
      <c r="BW19" s="34"/>
      <c r="BX19" s="35" t="str">
        <f t="shared" si="28"/>
        <v/>
      </c>
      <c r="BY19" s="36" t="str">
        <f t="shared" si="29"/>
        <v/>
      </c>
      <c r="BZ19" s="37"/>
      <c r="CA19" s="33"/>
      <c r="CB19" s="34"/>
      <c r="CC19" s="35" t="str">
        <f t="shared" si="30"/>
        <v/>
      </c>
      <c r="CD19" s="36" t="str">
        <f t="shared" si="31"/>
        <v/>
      </c>
      <c r="CE19" s="37"/>
      <c r="CF19" s="33"/>
      <c r="CG19" s="34"/>
      <c r="CH19" s="35" t="str">
        <f t="shared" si="32"/>
        <v/>
      </c>
      <c r="CI19" s="36" t="str">
        <f t="shared" si="33"/>
        <v/>
      </c>
      <c r="CJ19" s="37"/>
      <c r="CK19" s="33"/>
      <c r="CL19" s="34"/>
      <c r="CM19" s="35" t="str">
        <f t="shared" si="34"/>
        <v/>
      </c>
      <c r="CN19" s="36" t="str">
        <f t="shared" si="35"/>
        <v/>
      </c>
      <c r="CO19" s="37"/>
      <c r="CP19" s="33"/>
      <c r="CQ19" s="34"/>
      <c r="CR19" s="35" t="str">
        <f t="shared" si="36"/>
        <v/>
      </c>
      <c r="CS19" s="36" t="str">
        <f t="shared" si="37"/>
        <v/>
      </c>
      <c r="CT19" s="37"/>
      <c r="CU19" s="33"/>
      <c r="CV19" s="34"/>
      <c r="CW19" s="35" t="str">
        <f t="shared" si="38"/>
        <v/>
      </c>
      <c r="CX19" s="36" t="str">
        <f t="shared" si="39"/>
        <v/>
      </c>
      <c r="CY19" s="37"/>
      <c r="CZ19" s="33"/>
      <c r="DA19" s="34"/>
      <c r="DB19" s="35" t="str">
        <f t="shared" si="40"/>
        <v/>
      </c>
      <c r="DC19" s="36" t="str">
        <f t="shared" si="41"/>
        <v/>
      </c>
      <c r="DD19" s="37"/>
      <c r="DE19" s="33"/>
      <c r="DF19" s="34"/>
      <c r="DG19" s="35" t="str">
        <f t="shared" si="42"/>
        <v/>
      </c>
      <c r="DH19" s="36" t="str">
        <f t="shared" si="43"/>
        <v/>
      </c>
      <c r="DI19" s="37"/>
      <c r="DJ19" s="33"/>
      <c r="DK19" s="34"/>
      <c r="DL19" s="35" t="str">
        <f t="shared" si="44"/>
        <v/>
      </c>
      <c r="DM19" s="36" t="str">
        <f t="shared" si="45"/>
        <v/>
      </c>
      <c r="DN19" s="37"/>
      <c r="DO19" s="33"/>
      <c r="DP19" s="34"/>
      <c r="DQ19" s="35" t="str">
        <f t="shared" si="46"/>
        <v/>
      </c>
      <c r="DR19" s="36" t="str">
        <f t="shared" si="47"/>
        <v/>
      </c>
      <c r="DS19" s="37"/>
      <c r="DT19" s="33"/>
      <c r="DU19" s="34"/>
      <c r="DV19" s="35" t="str">
        <f t="shared" si="48"/>
        <v/>
      </c>
      <c r="DW19" s="36" t="str">
        <f t="shared" si="49"/>
        <v/>
      </c>
      <c r="DX19" s="37"/>
      <c r="DY19" s="33"/>
      <c r="DZ19" s="34"/>
      <c r="EA19" s="35" t="str">
        <f t="shared" si="50"/>
        <v/>
      </c>
      <c r="EB19" s="36" t="str">
        <f t="shared" si="51"/>
        <v/>
      </c>
      <c r="EC19" s="37"/>
      <c r="ED19" s="33"/>
      <c r="EE19" s="34"/>
      <c r="EF19" s="35" t="str">
        <f t="shared" si="52"/>
        <v/>
      </c>
      <c r="EG19" s="36" t="str">
        <f t="shared" si="53"/>
        <v/>
      </c>
      <c r="EH19" s="37"/>
      <c r="EI19" s="33"/>
      <c r="EJ19" s="34"/>
      <c r="EK19" s="35" t="str">
        <f t="shared" si="54"/>
        <v/>
      </c>
      <c r="EL19" s="36" t="str">
        <f t="shared" si="55"/>
        <v/>
      </c>
      <c r="EM19" s="37"/>
      <c r="EN19" s="33"/>
      <c r="EO19" s="34"/>
      <c r="EP19" s="35" t="str">
        <f t="shared" si="56"/>
        <v/>
      </c>
      <c r="EQ19" s="36" t="str">
        <f t="shared" si="57"/>
        <v/>
      </c>
      <c r="ER19" s="37"/>
      <c r="ES19" s="33"/>
      <c r="ET19" s="34"/>
      <c r="EU19" s="35" t="str">
        <f t="shared" si="58"/>
        <v/>
      </c>
      <c r="EV19" s="36" t="str">
        <f t="shared" si="59"/>
        <v/>
      </c>
      <c r="EW19" s="37"/>
    </row>
    <row r="20" spans="1:153" ht="19.5" customHeight="1">
      <c r="A20" s="32">
        <f>IF(DAY(DATE(対象年度,4,17))&lt;&gt;17,"",17)</f>
        <v>17</v>
      </c>
      <c r="B20" s="32" t="str">
        <f>IF(DAY(DATE(対象年度,4,17))&lt;&gt;17,"",CHOOSE(WEEKDAY(DATE(対象年度,4,17),2),"月","火","水","木","金","土","日"))</f>
        <v>金</v>
      </c>
      <c r="C20" s="32" t="str">
        <f>IF(DAY(DATE(対象年度,4,17))&lt;&gt;17,"",IF(ISNUMBER(MATCH(DATE(対象年度,4,17),祝日リスト,0)),"祝",""))</f>
        <v/>
      </c>
      <c r="D20" s="38" t="s">
        <v>104</v>
      </c>
      <c r="E20" s="34"/>
      <c r="F20" s="35" t="str">
        <f t="shared" si="0"/>
        <v>○</v>
      </c>
      <c r="G20" s="36" t="str">
        <f t="shared" si="1"/>
        <v/>
      </c>
      <c r="H20" s="37"/>
      <c r="I20" s="38" t="s">
        <v>116</v>
      </c>
      <c r="J20" s="34"/>
      <c r="K20" s="35" t="str">
        <f t="shared" si="2"/>
        <v>○</v>
      </c>
      <c r="L20" s="36" t="str">
        <f t="shared" si="3"/>
        <v/>
      </c>
      <c r="M20" s="37"/>
      <c r="N20" s="38" t="s">
        <v>116</v>
      </c>
      <c r="O20" s="34"/>
      <c r="P20" s="35" t="str">
        <f t="shared" si="4"/>
        <v>○</v>
      </c>
      <c r="Q20" s="36" t="str">
        <f t="shared" si="5"/>
        <v/>
      </c>
      <c r="R20" s="37"/>
      <c r="S20" s="38" t="s">
        <v>116</v>
      </c>
      <c r="T20" s="34"/>
      <c r="U20" s="35" t="str">
        <f t="shared" si="6"/>
        <v>○</v>
      </c>
      <c r="V20" s="36" t="str">
        <f t="shared" si="7"/>
        <v/>
      </c>
      <c r="W20" s="37"/>
      <c r="X20" s="38" t="s">
        <v>116</v>
      </c>
      <c r="Y20" s="34"/>
      <c r="Z20" s="35" t="str">
        <f t="shared" si="8"/>
        <v>○</v>
      </c>
      <c r="AA20" s="36" t="str">
        <f t="shared" si="9"/>
        <v/>
      </c>
      <c r="AB20" s="37"/>
      <c r="AC20" s="38" t="s">
        <v>116</v>
      </c>
      <c r="AD20" s="34"/>
      <c r="AE20" s="35" t="str">
        <f t="shared" si="10"/>
        <v>○</v>
      </c>
      <c r="AF20" s="36" t="str">
        <f t="shared" si="11"/>
        <v/>
      </c>
      <c r="AG20" s="37"/>
      <c r="AH20" s="38" t="s">
        <v>117</v>
      </c>
      <c r="AI20" s="34"/>
      <c r="AJ20" s="35" t="str">
        <f t="shared" si="12"/>
        <v>○</v>
      </c>
      <c r="AK20" s="36" t="str">
        <f t="shared" si="13"/>
        <v/>
      </c>
      <c r="AL20" s="37"/>
      <c r="AM20" s="38" t="s">
        <v>116</v>
      </c>
      <c r="AN20" s="34"/>
      <c r="AO20" s="35" t="str">
        <f t="shared" si="14"/>
        <v>○</v>
      </c>
      <c r="AP20" s="36" t="str">
        <f t="shared" si="15"/>
        <v/>
      </c>
      <c r="AQ20" s="37"/>
      <c r="AR20" s="38" t="s">
        <v>116</v>
      </c>
      <c r="AS20" s="34"/>
      <c r="AT20" s="35" t="str">
        <f t="shared" si="16"/>
        <v>○</v>
      </c>
      <c r="AU20" s="36" t="str">
        <f t="shared" si="17"/>
        <v/>
      </c>
      <c r="AV20" s="37"/>
      <c r="AW20" s="38" t="s">
        <v>124</v>
      </c>
      <c r="AX20" s="34"/>
      <c r="AY20" s="35" t="str">
        <f t="shared" si="18"/>
        <v>○</v>
      </c>
      <c r="AZ20" s="36" t="str">
        <f t="shared" si="19"/>
        <v/>
      </c>
      <c r="BA20" s="37"/>
      <c r="BB20" s="38" t="s">
        <v>104</v>
      </c>
      <c r="BC20" s="34"/>
      <c r="BD20" s="35" t="str">
        <f t="shared" si="20"/>
        <v>○</v>
      </c>
      <c r="BE20" s="36" t="str">
        <f t="shared" si="21"/>
        <v/>
      </c>
      <c r="BF20" s="37"/>
      <c r="BG20" s="33"/>
      <c r="BH20" s="34"/>
      <c r="BI20" s="35" t="str">
        <f t="shared" si="22"/>
        <v/>
      </c>
      <c r="BJ20" s="36" t="str">
        <f t="shared" si="23"/>
        <v/>
      </c>
      <c r="BK20" s="37"/>
      <c r="BL20" s="33"/>
      <c r="BM20" s="34"/>
      <c r="BN20" s="35" t="str">
        <f t="shared" si="24"/>
        <v/>
      </c>
      <c r="BO20" s="36" t="str">
        <f t="shared" si="25"/>
        <v/>
      </c>
      <c r="BP20" s="37"/>
      <c r="BQ20" s="33"/>
      <c r="BR20" s="34"/>
      <c r="BS20" s="35" t="str">
        <f t="shared" si="26"/>
        <v/>
      </c>
      <c r="BT20" s="36" t="str">
        <f t="shared" si="27"/>
        <v/>
      </c>
      <c r="BU20" s="37"/>
      <c r="BV20" s="33"/>
      <c r="BW20" s="34"/>
      <c r="BX20" s="35" t="str">
        <f t="shared" si="28"/>
        <v/>
      </c>
      <c r="BY20" s="36" t="str">
        <f t="shared" si="29"/>
        <v/>
      </c>
      <c r="BZ20" s="37"/>
      <c r="CA20" s="33"/>
      <c r="CB20" s="34"/>
      <c r="CC20" s="35" t="str">
        <f t="shared" si="30"/>
        <v/>
      </c>
      <c r="CD20" s="36" t="str">
        <f t="shared" si="31"/>
        <v/>
      </c>
      <c r="CE20" s="37"/>
      <c r="CF20" s="33"/>
      <c r="CG20" s="34"/>
      <c r="CH20" s="35" t="str">
        <f t="shared" si="32"/>
        <v/>
      </c>
      <c r="CI20" s="36" t="str">
        <f t="shared" si="33"/>
        <v/>
      </c>
      <c r="CJ20" s="37"/>
      <c r="CK20" s="33"/>
      <c r="CL20" s="34"/>
      <c r="CM20" s="35" t="str">
        <f t="shared" si="34"/>
        <v/>
      </c>
      <c r="CN20" s="36" t="str">
        <f t="shared" si="35"/>
        <v/>
      </c>
      <c r="CO20" s="37"/>
      <c r="CP20" s="33"/>
      <c r="CQ20" s="34"/>
      <c r="CR20" s="35" t="str">
        <f t="shared" si="36"/>
        <v/>
      </c>
      <c r="CS20" s="36" t="str">
        <f t="shared" si="37"/>
        <v/>
      </c>
      <c r="CT20" s="37"/>
      <c r="CU20" s="33"/>
      <c r="CV20" s="34"/>
      <c r="CW20" s="35" t="str">
        <f t="shared" si="38"/>
        <v/>
      </c>
      <c r="CX20" s="36" t="str">
        <f t="shared" si="39"/>
        <v/>
      </c>
      <c r="CY20" s="37"/>
      <c r="CZ20" s="33"/>
      <c r="DA20" s="34"/>
      <c r="DB20" s="35" t="str">
        <f t="shared" si="40"/>
        <v/>
      </c>
      <c r="DC20" s="36" t="str">
        <f t="shared" si="41"/>
        <v/>
      </c>
      <c r="DD20" s="37"/>
      <c r="DE20" s="33"/>
      <c r="DF20" s="34"/>
      <c r="DG20" s="35" t="str">
        <f t="shared" si="42"/>
        <v/>
      </c>
      <c r="DH20" s="36" t="str">
        <f t="shared" si="43"/>
        <v/>
      </c>
      <c r="DI20" s="37"/>
      <c r="DJ20" s="33"/>
      <c r="DK20" s="34"/>
      <c r="DL20" s="35" t="str">
        <f t="shared" si="44"/>
        <v/>
      </c>
      <c r="DM20" s="36" t="str">
        <f t="shared" si="45"/>
        <v/>
      </c>
      <c r="DN20" s="37"/>
      <c r="DO20" s="33"/>
      <c r="DP20" s="34"/>
      <c r="DQ20" s="35" t="str">
        <f t="shared" si="46"/>
        <v/>
      </c>
      <c r="DR20" s="36" t="str">
        <f t="shared" si="47"/>
        <v/>
      </c>
      <c r="DS20" s="37"/>
      <c r="DT20" s="33"/>
      <c r="DU20" s="34"/>
      <c r="DV20" s="35" t="str">
        <f t="shared" si="48"/>
        <v/>
      </c>
      <c r="DW20" s="36" t="str">
        <f t="shared" si="49"/>
        <v/>
      </c>
      <c r="DX20" s="37"/>
      <c r="DY20" s="33"/>
      <c r="DZ20" s="34"/>
      <c r="EA20" s="35" t="str">
        <f t="shared" si="50"/>
        <v/>
      </c>
      <c r="EB20" s="36" t="str">
        <f t="shared" si="51"/>
        <v/>
      </c>
      <c r="EC20" s="37"/>
      <c r="ED20" s="33"/>
      <c r="EE20" s="34"/>
      <c r="EF20" s="35" t="str">
        <f t="shared" si="52"/>
        <v/>
      </c>
      <c r="EG20" s="36" t="str">
        <f t="shared" si="53"/>
        <v/>
      </c>
      <c r="EH20" s="37"/>
      <c r="EI20" s="33"/>
      <c r="EJ20" s="34"/>
      <c r="EK20" s="35" t="str">
        <f t="shared" si="54"/>
        <v/>
      </c>
      <c r="EL20" s="36" t="str">
        <f t="shared" si="55"/>
        <v/>
      </c>
      <c r="EM20" s="37"/>
      <c r="EN20" s="33"/>
      <c r="EO20" s="34"/>
      <c r="EP20" s="35" t="str">
        <f t="shared" si="56"/>
        <v/>
      </c>
      <c r="EQ20" s="36" t="str">
        <f t="shared" si="57"/>
        <v/>
      </c>
      <c r="ER20" s="37"/>
      <c r="ES20" s="33"/>
      <c r="ET20" s="34"/>
      <c r="EU20" s="35" t="str">
        <f t="shared" si="58"/>
        <v/>
      </c>
      <c r="EV20" s="36" t="str">
        <f t="shared" si="59"/>
        <v/>
      </c>
      <c r="EW20" s="37"/>
    </row>
    <row r="21" spans="1:153" ht="19.5" customHeight="1">
      <c r="A21" s="32">
        <f>IF(DAY(DATE(対象年度,4,18))&lt;&gt;18,"",18)</f>
        <v>18</v>
      </c>
      <c r="B21" s="32" t="str">
        <f>IF(DAY(DATE(対象年度,4,18))&lt;&gt;18,"",CHOOSE(WEEKDAY(DATE(対象年度,4,18),2),"月","火","水","木","金","土","日"))</f>
        <v>土</v>
      </c>
      <c r="C21" s="32" t="str">
        <f>IF(DAY(DATE(対象年度,4,18))&lt;&gt;18,"",IF(ISNUMBER(MATCH(DATE(対象年度,4,18),祝日リスト,0)),"祝",""))</f>
        <v/>
      </c>
      <c r="D21" s="33"/>
      <c r="E21" s="34"/>
      <c r="F21" s="35" t="str">
        <f t="shared" si="0"/>
        <v/>
      </c>
      <c r="G21" s="36" t="str">
        <f t="shared" si="1"/>
        <v/>
      </c>
      <c r="H21" s="37"/>
      <c r="I21" s="38" t="s">
        <v>116</v>
      </c>
      <c r="J21" s="34"/>
      <c r="K21" s="35" t="str">
        <f t="shared" si="2"/>
        <v>○</v>
      </c>
      <c r="L21" s="36" t="str">
        <f t="shared" si="3"/>
        <v/>
      </c>
      <c r="M21" s="37"/>
      <c r="N21" s="38" t="s">
        <v>116</v>
      </c>
      <c r="O21" s="34"/>
      <c r="P21" s="35" t="str">
        <f t="shared" si="4"/>
        <v>○</v>
      </c>
      <c r="Q21" s="36" t="str">
        <f t="shared" si="5"/>
        <v/>
      </c>
      <c r="R21" s="37"/>
      <c r="S21" s="38" t="s">
        <v>116</v>
      </c>
      <c r="T21" s="34"/>
      <c r="U21" s="35" t="str">
        <f t="shared" si="6"/>
        <v>○</v>
      </c>
      <c r="V21" s="36" t="str">
        <f t="shared" si="7"/>
        <v/>
      </c>
      <c r="W21" s="37"/>
      <c r="X21" s="38" t="s">
        <v>116</v>
      </c>
      <c r="Y21" s="34"/>
      <c r="Z21" s="35" t="str">
        <f t="shared" si="8"/>
        <v>○</v>
      </c>
      <c r="AA21" s="36" t="str">
        <f t="shared" si="9"/>
        <v/>
      </c>
      <c r="AB21" s="37"/>
      <c r="AC21" s="38" t="s">
        <v>116</v>
      </c>
      <c r="AD21" s="34"/>
      <c r="AE21" s="35" t="str">
        <f t="shared" si="10"/>
        <v>○</v>
      </c>
      <c r="AF21" s="36" t="str">
        <f t="shared" si="11"/>
        <v/>
      </c>
      <c r="AG21" s="37"/>
      <c r="AH21" s="33"/>
      <c r="AI21" s="34"/>
      <c r="AJ21" s="35" t="str">
        <f t="shared" si="12"/>
        <v/>
      </c>
      <c r="AK21" s="36" t="str">
        <f t="shared" si="13"/>
        <v/>
      </c>
      <c r="AL21" s="37"/>
      <c r="AM21" s="38" t="s">
        <v>116</v>
      </c>
      <c r="AN21" s="34"/>
      <c r="AO21" s="35" t="str">
        <f t="shared" si="14"/>
        <v>○</v>
      </c>
      <c r="AP21" s="36" t="str">
        <f t="shared" si="15"/>
        <v/>
      </c>
      <c r="AQ21" s="37"/>
      <c r="AR21" s="38" t="s">
        <v>116</v>
      </c>
      <c r="AS21" s="34"/>
      <c r="AT21" s="35" t="str">
        <f t="shared" si="16"/>
        <v>○</v>
      </c>
      <c r="AU21" s="36" t="str">
        <f t="shared" si="17"/>
        <v/>
      </c>
      <c r="AV21" s="37"/>
      <c r="AW21" s="33"/>
      <c r="AX21" s="34"/>
      <c r="AY21" s="35" t="str">
        <f t="shared" si="18"/>
        <v/>
      </c>
      <c r="AZ21" s="36" t="str">
        <f t="shared" si="19"/>
        <v/>
      </c>
      <c r="BA21" s="37"/>
      <c r="BB21" s="33"/>
      <c r="BC21" s="34"/>
      <c r="BD21" s="35" t="str">
        <f t="shared" si="20"/>
        <v/>
      </c>
      <c r="BE21" s="36" t="str">
        <f t="shared" si="21"/>
        <v/>
      </c>
      <c r="BF21" s="37"/>
      <c r="BG21" s="33"/>
      <c r="BH21" s="34"/>
      <c r="BI21" s="35" t="str">
        <f t="shared" si="22"/>
        <v/>
      </c>
      <c r="BJ21" s="36" t="str">
        <f t="shared" si="23"/>
        <v/>
      </c>
      <c r="BK21" s="37"/>
      <c r="BL21" s="33"/>
      <c r="BM21" s="34"/>
      <c r="BN21" s="35" t="str">
        <f t="shared" si="24"/>
        <v/>
      </c>
      <c r="BO21" s="36" t="str">
        <f t="shared" si="25"/>
        <v/>
      </c>
      <c r="BP21" s="37"/>
      <c r="BQ21" s="33"/>
      <c r="BR21" s="34"/>
      <c r="BS21" s="35" t="str">
        <f t="shared" si="26"/>
        <v/>
      </c>
      <c r="BT21" s="36" t="str">
        <f t="shared" si="27"/>
        <v/>
      </c>
      <c r="BU21" s="37"/>
      <c r="BV21" s="33"/>
      <c r="BW21" s="34"/>
      <c r="BX21" s="35" t="str">
        <f t="shared" si="28"/>
        <v/>
      </c>
      <c r="BY21" s="36" t="str">
        <f t="shared" si="29"/>
        <v/>
      </c>
      <c r="BZ21" s="37"/>
      <c r="CA21" s="33"/>
      <c r="CB21" s="34"/>
      <c r="CC21" s="35" t="str">
        <f t="shared" si="30"/>
        <v/>
      </c>
      <c r="CD21" s="36" t="str">
        <f t="shared" si="31"/>
        <v/>
      </c>
      <c r="CE21" s="37"/>
      <c r="CF21" s="33"/>
      <c r="CG21" s="34"/>
      <c r="CH21" s="35" t="str">
        <f t="shared" si="32"/>
        <v/>
      </c>
      <c r="CI21" s="36" t="str">
        <f t="shared" si="33"/>
        <v/>
      </c>
      <c r="CJ21" s="37"/>
      <c r="CK21" s="33"/>
      <c r="CL21" s="34"/>
      <c r="CM21" s="35" t="str">
        <f t="shared" si="34"/>
        <v/>
      </c>
      <c r="CN21" s="36" t="str">
        <f t="shared" si="35"/>
        <v/>
      </c>
      <c r="CO21" s="37"/>
      <c r="CP21" s="33"/>
      <c r="CQ21" s="34"/>
      <c r="CR21" s="35" t="str">
        <f t="shared" si="36"/>
        <v/>
      </c>
      <c r="CS21" s="36" t="str">
        <f t="shared" si="37"/>
        <v/>
      </c>
      <c r="CT21" s="37"/>
      <c r="CU21" s="33"/>
      <c r="CV21" s="34"/>
      <c r="CW21" s="35" t="str">
        <f t="shared" si="38"/>
        <v/>
      </c>
      <c r="CX21" s="36" t="str">
        <f t="shared" si="39"/>
        <v/>
      </c>
      <c r="CY21" s="37"/>
      <c r="CZ21" s="33"/>
      <c r="DA21" s="34"/>
      <c r="DB21" s="35" t="str">
        <f t="shared" si="40"/>
        <v/>
      </c>
      <c r="DC21" s="36" t="str">
        <f t="shared" si="41"/>
        <v/>
      </c>
      <c r="DD21" s="37"/>
      <c r="DE21" s="33"/>
      <c r="DF21" s="34"/>
      <c r="DG21" s="35" t="str">
        <f t="shared" si="42"/>
        <v/>
      </c>
      <c r="DH21" s="36" t="str">
        <f t="shared" si="43"/>
        <v/>
      </c>
      <c r="DI21" s="37"/>
      <c r="DJ21" s="33"/>
      <c r="DK21" s="34"/>
      <c r="DL21" s="35" t="str">
        <f t="shared" si="44"/>
        <v/>
      </c>
      <c r="DM21" s="36" t="str">
        <f t="shared" si="45"/>
        <v/>
      </c>
      <c r="DN21" s="37"/>
      <c r="DO21" s="33"/>
      <c r="DP21" s="34"/>
      <c r="DQ21" s="35" t="str">
        <f t="shared" si="46"/>
        <v/>
      </c>
      <c r="DR21" s="36" t="str">
        <f t="shared" si="47"/>
        <v/>
      </c>
      <c r="DS21" s="37"/>
      <c r="DT21" s="33"/>
      <c r="DU21" s="34"/>
      <c r="DV21" s="35" t="str">
        <f t="shared" si="48"/>
        <v/>
      </c>
      <c r="DW21" s="36" t="str">
        <f t="shared" si="49"/>
        <v/>
      </c>
      <c r="DX21" s="37"/>
      <c r="DY21" s="33"/>
      <c r="DZ21" s="34"/>
      <c r="EA21" s="35" t="str">
        <f t="shared" si="50"/>
        <v/>
      </c>
      <c r="EB21" s="36" t="str">
        <f t="shared" si="51"/>
        <v/>
      </c>
      <c r="EC21" s="37"/>
      <c r="ED21" s="33"/>
      <c r="EE21" s="34"/>
      <c r="EF21" s="35" t="str">
        <f t="shared" si="52"/>
        <v/>
      </c>
      <c r="EG21" s="36" t="str">
        <f t="shared" si="53"/>
        <v/>
      </c>
      <c r="EH21" s="37"/>
      <c r="EI21" s="33"/>
      <c r="EJ21" s="34"/>
      <c r="EK21" s="35" t="str">
        <f t="shared" si="54"/>
        <v/>
      </c>
      <c r="EL21" s="36" t="str">
        <f t="shared" si="55"/>
        <v/>
      </c>
      <c r="EM21" s="37"/>
      <c r="EN21" s="33"/>
      <c r="EO21" s="34"/>
      <c r="EP21" s="35" t="str">
        <f t="shared" si="56"/>
        <v/>
      </c>
      <c r="EQ21" s="36" t="str">
        <f t="shared" si="57"/>
        <v/>
      </c>
      <c r="ER21" s="37"/>
      <c r="ES21" s="33"/>
      <c r="ET21" s="34"/>
      <c r="EU21" s="35" t="str">
        <f t="shared" si="58"/>
        <v/>
      </c>
      <c r="EV21" s="36" t="str">
        <f t="shared" si="59"/>
        <v/>
      </c>
      <c r="EW21" s="37"/>
    </row>
    <row r="22" spans="1:153" ht="19.5" customHeight="1">
      <c r="A22" s="32">
        <f>IF(DAY(DATE(対象年度,4,19))&lt;&gt;19,"",19)</f>
        <v>19</v>
      </c>
      <c r="B22" s="32" t="str">
        <f>IF(DAY(DATE(対象年度,4,19))&lt;&gt;19,"",CHOOSE(WEEKDAY(DATE(対象年度,4,19),2),"月","火","水","木","金","土","日"))</f>
        <v>日</v>
      </c>
      <c r="C22" s="32" t="str">
        <f>IF(DAY(DATE(対象年度,4,19))&lt;&gt;19,"",IF(ISNUMBER(MATCH(DATE(対象年度,4,19),祝日リスト,0)),"祝",""))</f>
        <v/>
      </c>
      <c r="D22" s="33"/>
      <c r="E22" s="34"/>
      <c r="F22" s="35" t="str">
        <f t="shared" si="0"/>
        <v/>
      </c>
      <c r="G22" s="36" t="str">
        <f t="shared" si="1"/>
        <v/>
      </c>
      <c r="H22" s="37"/>
      <c r="I22" s="33"/>
      <c r="J22" s="34"/>
      <c r="K22" s="35" t="str">
        <f t="shared" si="2"/>
        <v/>
      </c>
      <c r="L22" s="36" t="str">
        <f t="shared" si="3"/>
        <v/>
      </c>
      <c r="M22" s="37"/>
      <c r="N22" s="33"/>
      <c r="O22" s="34"/>
      <c r="P22" s="35" t="str">
        <f t="shared" si="4"/>
        <v/>
      </c>
      <c r="Q22" s="36" t="str">
        <f t="shared" si="5"/>
        <v/>
      </c>
      <c r="R22" s="37"/>
      <c r="S22" s="33"/>
      <c r="T22" s="34"/>
      <c r="U22" s="35" t="str">
        <f t="shared" si="6"/>
        <v/>
      </c>
      <c r="V22" s="36" t="str">
        <f t="shared" si="7"/>
        <v/>
      </c>
      <c r="W22" s="37"/>
      <c r="X22" s="33"/>
      <c r="Y22" s="34"/>
      <c r="Z22" s="35" t="str">
        <f t="shared" si="8"/>
        <v/>
      </c>
      <c r="AA22" s="36" t="str">
        <f t="shared" si="9"/>
        <v/>
      </c>
      <c r="AB22" s="37"/>
      <c r="AC22" s="33"/>
      <c r="AD22" s="34"/>
      <c r="AE22" s="35" t="str">
        <f t="shared" si="10"/>
        <v/>
      </c>
      <c r="AF22" s="36" t="str">
        <f t="shared" si="11"/>
        <v/>
      </c>
      <c r="AG22" s="37"/>
      <c r="AH22" s="33"/>
      <c r="AI22" s="34"/>
      <c r="AJ22" s="35" t="str">
        <f t="shared" si="12"/>
        <v/>
      </c>
      <c r="AK22" s="36" t="str">
        <f t="shared" si="13"/>
        <v/>
      </c>
      <c r="AL22" s="37"/>
      <c r="AM22" s="33"/>
      <c r="AN22" s="34"/>
      <c r="AO22" s="35" t="str">
        <f t="shared" si="14"/>
        <v/>
      </c>
      <c r="AP22" s="36" t="str">
        <f t="shared" si="15"/>
        <v/>
      </c>
      <c r="AQ22" s="37"/>
      <c r="AR22" s="33"/>
      <c r="AS22" s="34"/>
      <c r="AT22" s="35" t="str">
        <f t="shared" si="16"/>
        <v/>
      </c>
      <c r="AU22" s="36" t="str">
        <f t="shared" si="17"/>
        <v/>
      </c>
      <c r="AV22" s="37"/>
      <c r="AW22" s="33"/>
      <c r="AX22" s="34"/>
      <c r="AY22" s="35" t="str">
        <f t="shared" si="18"/>
        <v/>
      </c>
      <c r="AZ22" s="36" t="str">
        <f t="shared" si="19"/>
        <v/>
      </c>
      <c r="BA22" s="37"/>
      <c r="BB22" s="33"/>
      <c r="BC22" s="34"/>
      <c r="BD22" s="35" t="str">
        <f t="shared" si="20"/>
        <v/>
      </c>
      <c r="BE22" s="36" t="str">
        <f t="shared" si="21"/>
        <v/>
      </c>
      <c r="BF22" s="37"/>
      <c r="BG22" s="33"/>
      <c r="BH22" s="34"/>
      <c r="BI22" s="35" t="str">
        <f t="shared" si="22"/>
        <v/>
      </c>
      <c r="BJ22" s="36" t="str">
        <f t="shared" si="23"/>
        <v/>
      </c>
      <c r="BK22" s="37"/>
      <c r="BL22" s="33"/>
      <c r="BM22" s="34"/>
      <c r="BN22" s="35" t="str">
        <f t="shared" si="24"/>
        <v/>
      </c>
      <c r="BO22" s="36" t="str">
        <f t="shared" si="25"/>
        <v/>
      </c>
      <c r="BP22" s="37"/>
      <c r="BQ22" s="33"/>
      <c r="BR22" s="34"/>
      <c r="BS22" s="35" t="str">
        <f t="shared" si="26"/>
        <v/>
      </c>
      <c r="BT22" s="36" t="str">
        <f t="shared" si="27"/>
        <v/>
      </c>
      <c r="BU22" s="37"/>
      <c r="BV22" s="33"/>
      <c r="BW22" s="34"/>
      <c r="BX22" s="35" t="str">
        <f t="shared" si="28"/>
        <v/>
      </c>
      <c r="BY22" s="36" t="str">
        <f t="shared" si="29"/>
        <v/>
      </c>
      <c r="BZ22" s="37"/>
      <c r="CA22" s="33"/>
      <c r="CB22" s="34"/>
      <c r="CC22" s="35" t="str">
        <f t="shared" si="30"/>
        <v/>
      </c>
      <c r="CD22" s="36" t="str">
        <f t="shared" si="31"/>
        <v/>
      </c>
      <c r="CE22" s="37"/>
      <c r="CF22" s="33"/>
      <c r="CG22" s="34"/>
      <c r="CH22" s="35" t="str">
        <f t="shared" si="32"/>
        <v/>
      </c>
      <c r="CI22" s="36" t="str">
        <f t="shared" si="33"/>
        <v/>
      </c>
      <c r="CJ22" s="37"/>
      <c r="CK22" s="33"/>
      <c r="CL22" s="34"/>
      <c r="CM22" s="35" t="str">
        <f t="shared" si="34"/>
        <v/>
      </c>
      <c r="CN22" s="36" t="str">
        <f t="shared" si="35"/>
        <v/>
      </c>
      <c r="CO22" s="37"/>
      <c r="CP22" s="33"/>
      <c r="CQ22" s="34"/>
      <c r="CR22" s="35" t="str">
        <f t="shared" si="36"/>
        <v/>
      </c>
      <c r="CS22" s="36" t="str">
        <f t="shared" si="37"/>
        <v/>
      </c>
      <c r="CT22" s="37"/>
      <c r="CU22" s="33"/>
      <c r="CV22" s="34"/>
      <c r="CW22" s="35" t="str">
        <f t="shared" si="38"/>
        <v/>
      </c>
      <c r="CX22" s="36" t="str">
        <f t="shared" si="39"/>
        <v/>
      </c>
      <c r="CY22" s="37"/>
      <c r="CZ22" s="33"/>
      <c r="DA22" s="34"/>
      <c r="DB22" s="35" t="str">
        <f t="shared" si="40"/>
        <v/>
      </c>
      <c r="DC22" s="36" t="str">
        <f t="shared" si="41"/>
        <v/>
      </c>
      <c r="DD22" s="37"/>
      <c r="DE22" s="33"/>
      <c r="DF22" s="34"/>
      <c r="DG22" s="35" t="str">
        <f t="shared" si="42"/>
        <v/>
      </c>
      <c r="DH22" s="36" t="str">
        <f t="shared" si="43"/>
        <v/>
      </c>
      <c r="DI22" s="37"/>
      <c r="DJ22" s="33"/>
      <c r="DK22" s="34"/>
      <c r="DL22" s="35" t="str">
        <f t="shared" si="44"/>
        <v/>
      </c>
      <c r="DM22" s="36" t="str">
        <f t="shared" si="45"/>
        <v/>
      </c>
      <c r="DN22" s="37"/>
      <c r="DO22" s="33"/>
      <c r="DP22" s="34"/>
      <c r="DQ22" s="35" t="str">
        <f t="shared" si="46"/>
        <v/>
      </c>
      <c r="DR22" s="36" t="str">
        <f t="shared" si="47"/>
        <v/>
      </c>
      <c r="DS22" s="37"/>
      <c r="DT22" s="33"/>
      <c r="DU22" s="34"/>
      <c r="DV22" s="35" t="str">
        <f t="shared" si="48"/>
        <v/>
      </c>
      <c r="DW22" s="36" t="str">
        <f t="shared" si="49"/>
        <v/>
      </c>
      <c r="DX22" s="37"/>
      <c r="DY22" s="33"/>
      <c r="DZ22" s="34"/>
      <c r="EA22" s="35" t="str">
        <f t="shared" si="50"/>
        <v/>
      </c>
      <c r="EB22" s="36" t="str">
        <f t="shared" si="51"/>
        <v/>
      </c>
      <c r="EC22" s="37"/>
      <c r="ED22" s="33"/>
      <c r="EE22" s="34"/>
      <c r="EF22" s="35" t="str">
        <f t="shared" si="52"/>
        <v/>
      </c>
      <c r="EG22" s="36" t="str">
        <f t="shared" si="53"/>
        <v/>
      </c>
      <c r="EH22" s="37"/>
      <c r="EI22" s="33"/>
      <c r="EJ22" s="34"/>
      <c r="EK22" s="35" t="str">
        <f t="shared" si="54"/>
        <v/>
      </c>
      <c r="EL22" s="36" t="str">
        <f t="shared" si="55"/>
        <v/>
      </c>
      <c r="EM22" s="37"/>
      <c r="EN22" s="33"/>
      <c r="EO22" s="34"/>
      <c r="EP22" s="35" t="str">
        <f t="shared" si="56"/>
        <v/>
      </c>
      <c r="EQ22" s="36" t="str">
        <f t="shared" si="57"/>
        <v/>
      </c>
      <c r="ER22" s="37"/>
      <c r="ES22" s="33"/>
      <c r="ET22" s="34"/>
      <c r="EU22" s="35" t="str">
        <f t="shared" si="58"/>
        <v/>
      </c>
      <c r="EV22" s="36" t="str">
        <f t="shared" si="59"/>
        <v/>
      </c>
      <c r="EW22" s="37"/>
    </row>
    <row r="23" spans="1:153" ht="19.5" customHeight="1">
      <c r="A23" s="32">
        <f>IF(DAY(DATE(対象年度,4,20))&lt;&gt;20,"",20)</f>
        <v>20</v>
      </c>
      <c r="B23" s="32" t="str">
        <f>IF(DAY(DATE(対象年度,4,20))&lt;&gt;20,"",CHOOSE(WEEKDAY(DATE(対象年度,4,20),2),"月","火","水","木","金","土","日"))</f>
        <v>月</v>
      </c>
      <c r="C23" s="32" t="str">
        <f>IF(DAY(DATE(対象年度,4,20))&lt;&gt;20,"",IF(ISNUMBER(MATCH(DATE(対象年度,4,20),祝日リスト,0)),"祝",""))</f>
        <v/>
      </c>
      <c r="D23" s="38" t="s">
        <v>104</v>
      </c>
      <c r="E23" s="34"/>
      <c r="F23" s="35" t="str">
        <f t="shared" si="0"/>
        <v>○</v>
      </c>
      <c r="G23" s="36" t="str">
        <f t="shared" si="1"/>
        <v/>
      </c>
      <c r="H23" s="37"/>
      <c r="I23" s="38" t="s">
        <v>116</v>
      </c>
      <c r="J23" s="34"/>
      <c r="K23" s="35" t="str">
        <f t="shared" si="2"/>
        <v>○</v>
      </c>
      <c r="L23" s="36" t="str">
        <f t="shared" si="3"/>
        <v/>
      </c>
      <c r="M23" s="37"/>
      <c r="N23" s="38" t="s">
        <v>116</v>
      </c>
      <c r="O23" s="34"/>
      <c r="P23" s="35" t="str">
        <f t="shared" si="4"/>
        <v>○</v>
      </c>
      <c r="Q23" s="36" t="str">
        <f t="shared" si="5"/>
        <v/>
      </c>
      <c r="R23" s="37"/>
      <c r="S23" s="38" t="s">
        <v>116</v>
      </c>
      <c r="T23" s="34"/>
      <c r="U23" s="35" t="str">
        <f t="shared" si="6"/>
        <v>○</v>
      </c>
      <c r="V23" s="36" t="str">
        <f t="shared" si="7"/>
        <v/>
      </c>
      <c r="W23" s="37"/>
      <c r="X23" s="38" t="s">
        <v>116</v>
      </c>
      <c r="Y23" s="34"/>
      <c r="Z23" s="35" t="str">
        <f t="shared" si="8"/>
        <v>○</v>
      </c>
      <c r="AA23" s="36" t="str">
        <f t="shared" si="9"/>
        <v/>
      </c>
      <c r="AB23" s="37"/>
      <c r="AC23" s="38" t="s">
        <v>116</v>
      </c>
      <c r="AD23" s="34"/>
      <c r="AE23" s="35" t="str">
        <f t="shared" si="10"/>
        <v>○</v>
      </c>
      <c r="AF23" s="36" t="str">
        <f t="shared" si="11"/>
        <v/>
      </c>
      <c r="AG23" s="37"/>
      <c r="AH23" s="38" t="s">
        <v>117</v>
      </c>
      <c r="AI23" s="34"/>
      <c r="AJ23" s="35" t="str">
        <f t="shared" si="12"/>
        <v>○</v>
      </c>
      <c r="AK23" s="36" t="str">
        <f t="shared" si="13"/>
        <v/>
      </c>
      <c r="AL23" s="37"/>
      <c r="AM23" s="38" t="s">
        <v>116</v>
      </c>
      <c r="AN23" s="34"/>
      <c r="AO23" s="35" t="str">
        <f t="shared" si="14"/>
        <v>○</v>
      </c>
      <c r="AP23" s="36" t="str">
        <f t="shared" si="15"/>
        <v/>
      </c>
      <c r="AQ23" s="37"/>
      <c r="AR23" s="38" t="s">
        <v>116</v>
      </c>
      <c r="AS23" s="34"/>
      <c r="AT23" s="35" t="str">
        <f t="shared" si="16"/>
        <v>○</v>
      </c>
      <c r="AU23" s="36" t="str">
        <f t="shared" si="17"/>
        <v/>
      </c>
      <c r="AV23" s="37"/>
      <c r="AW23" s="38" t="s">
        <v>124</v>
      </c>
      <c r="AX23" s="34"/>
      <c r="AY23" s="35" t="str">
        <f t="shared" si="18"/>
        <v>○</v>
      </c>
      <c r="AZ23" s="36" t="str">
        <f t="shared" si="19"/>
        <v/>
      </c>
      <c r="BA23" s="37"/>
      <c r="BB23" s="38" t="s">
        <v>104</v>
      </c>
      <c r="BC23" s="34"/>
      <c r="BD23" s="35" t="str">
        <f t="shared" si="20"/>
        <v>○</v>
      </c>
      <c r="BE23" s="36" t="str">
        <f t="shared" si="21"/>
        <v/>
      </c>
      <c r="BF23" s="37"/>
      <c r="BG23" s="33"/>
      <c r="BH23" s="34"/>
      <c r="BI23" s="35" t="str">
        <f t="shared" si="22"/>
        <v/>
      </c>
      <c r="BJ23" s="36" t="str">
        <f t="shared" si="23"/>
        <v/>
      </c>
      <c r="BK23" s="37"/>
      <c r="BL23" s="33"/>
      <c r="BM23" s="34"/>
      <c r="BN23" s="35" t="str">
        <f t="shared" si="24"/>
        <v/>
      </c>
      <c r="BO23" s="36" t="str">
        <f t="shared" si="25"/>
        <v/>
      </c>
      <c r="BP23" s="37"/>
      <c r="BQ23" s="33"/>
      <c r="BR23" s="34"/>
      <c r="BS23" s="35" t="str">
        <f t="shared" si="26"/>
        <v/>
      </c>
      <c r="BT23" s="36" t="str">
        <f t="shared" si="27"/>
        <v/>
      </c>
      <c r="BU23" s="37"/>
      <c r="BV23" s="33"/>
      <c r="BW23" s="34"/>
      <c r="BX23" s="35" t="str">
        <f t="shared" si="28"/>
        <v/>
      </c>
      <c r="BY23" s="36" t="str">
        <f t="shared" si="29"/>
        <v/>
      </c>
      <c r="BZ23" s="37"/>
      <c r="CA23" s="33"/>
      <c r="CB23" s="34"/>
      <c r="CC23" s="35" t="str">
        <f t="shared" si="30"/>
        <v/>
      </c>
      <c r="CD23" s="36" t="str">
        <f t="shared" si="31"/>
        <v/>
      </c>
      <c r="CE23" s="37"/>
      <c r="CF23" s="33"/>
      <c r="CG23" s="34"/>
      <c r="CH23" s="35" t="str">
        <f t="shared" si="32"/>
        <v/>
      </c>
      <c r="CI23" s="36" t="str">
        <f t="shared" si="33"/>
        <v/>
      </c>
      <c r="CJ23" s="37"/>
      <c r="CK23" s="33"/>
      <c r="CL23" s="34"/>
      <c r="CM23" s="35" t="str">
        <f t="shared" si="34"/>
        <v/>
      </c>
      <c r="CN23" s="36" t="str">
        <f t="shared" si="35"/>
        <v/>
      </c>
      <c r="CO23" s="37"/>
      <c r="CP23" s="33"/>
      <c r="CQ23" s="34"/>
      <c r="CR23" s="35" t="str">
        <f t="shared" si="36"/>
        <v/>
      </c>
      <c r="CS23" s="36" t="str">
        <f t="shared" si="37"/>
        <v/>
      </c>
      <c r="CT23" s="37"/>
      <c r="CU23" s="33"/>
      <c r="CV23" s="34"/>
      <c r="CW23" s="35" t="str">
        <f t="shared" si="38"/>
        <v/>
      </c>
      <c r="CX23" s="36" t="str">
        <f t="shared" si="39"/>
        <v/>
      </c>
      <c r="CY23" s="37"/>
      <c r="CZ23" s="33"/>
      <c r="DA23" s="34"/>
      <c r="DB23" s="35" t="str">
        <f t="shared" si="40"/>
        <v/>
      </c>
      <c r="DC23" s="36" t="str">
        <f t="shared" si="41"/>
        <v/>
      </c>
      <c r="DD23" s="37"/>
      <c r="DE23" s="33"/>
      <c r="DF23" s="34"/>
      <c r="DG23" s="35" t="str">
        <f t="shared" si="42"/>
        <v/>
      </c>
      <c r="DH23" s="36" t="str">
        <f t="shared" si="43"/>
        <v/>
      </c>
      <c r="DI23" s="37"/>
      <c r="DJ23" s="33"/>
      <c r="DK23" s="34"/>
      <c r="DL23" s="35" t="str">
        <f t="shared" si="44"/>
        <v/>
      </c>
      <c r="DM23" s="36" t="str">
        <f t="shared" si="45"/>
        <v/>
      </c>
      <c r="DN23" s="37"/>
      <c r="DO23" s="33"/>
      <c r="DP23" s="34"/>
      <c r="DQ23" s="35" t="str">
        <f t="shared" si="46"/>
        <v/>
      </c>
      <c r="DR23" s="36" t="str">
        <f t="shared" si="47"/>
        <v/>
      </c>
      <c r="DS23" s="37"/>
      <c r="DT23" s="33"/>
      <c r="DU23" s="34"/>
      <c r="DV23" s="35" t="str">
        <f t="shared" si="48"/>
        <v/>
      </c>
      <c r="DW23" s="36" t="str">
        <f t="shared" si="49"/>
        <v/>
      </c>
      <c r="DX23" s="37"/>
      <c r="DY23" s="33"/>
      <c r="DZ23" s="34"/>
      <c r="EA23" s="35" t="str">
        <f t="shared" si="50"/>
        <v/>
      </c>
      <c r="EB23" s="36" t="str">
        <f t="shared" si="51"/>
        <v/>
      </c>
      <c r="EC23" s="37"/>
      <c r="ED23" s="33"/>
      <c r="EE23" s="34"/>
      <c r="EF23" s="35" t="str">
        <f t="shared" si="52"/>
        <v/>
      </c>
      <c r="EG23" s="36" t="str">
        <f t="shared" si="53"/>
        <v/>
      </c>
      <c r="EH23" s="37"/>
      <c r="EI23" s="33"/>
      <c r="EJ23" s="34"/>
      <c r="EK23" s="35" t="str">
        <f t="shared" si="54"/>
        <v/>
      </c>
      <c r="EL23" s="36" t="str">
        <f t="shared" si="55"/>
        <v/>
      </c>
      <c r="EM23" s="37"/>
      <c r="EN23" s="33"/>
      <c r="EO23" s="34"/>
      <c r="EP23" s="35" t="str">
        <f t="shared" si="56"/>
        <v/>
      </c>
      <c r="EQ23" s="36" t="str">
        <f t="shared" si="57"/>
        <v/>
      </c>
      <c r="ER23" s="37"/>
      <c r="ES23" s="33"/>
      <c r="ET23" s="34"/>
      <c r="EU23" s="35" t="str">
        <f t="shared" si="58"/>
        <v/>
      </c>
      <c r="EV23" s="36" t="str">
        <f t="shared" si="59"/>
        <v/>
      </c>
      <c r="EW23" s="37"/>
    </row>
    <row r="24" spans="1:153" ht="19.5" customHeight="1">
      <c r="A24" s="32">
        <f>IF(DAY(DATE(対象年度,4,21))&lt;&gt;21,"",21)</f>
        <v>21</v>
      </c>
      <c r="B24" s="32" t="str">
        <f>IF(DAY(DATE(対象年度,4,21))&lt;&gt;21,"",CHOOSE(WEEKDAY(DATE(対象年度,4,21),2),"月","火","水","木","金","土","日"))</f>
        <v>火</v>
      </c>
      <c r="C24" s="32" t="str">
        <f>IF(DAY(DATE(対象年度,4,21))&lt;&gt;21,"",IF(ISNUMBER(MATCH(DATE(対象年度,4,21),祝日リスト,0)),"祝",""))</f>
        <v/>
      </c>
      <c r="D24" s="38" t="s">
        <v>104</v>
      </c>
      <c r="E24" s="34"/>
      <c r="F24" s="35" t="str">
        <f t="shared" si="0"/>
        <v>○</v>
      </c>
      <c r="G24" s="36" t="str">
        <f t="shared" si="1"/>
        <v/>
      </c>
      <c r="H24" s="37"/>
      <c r="I24" s="33"/>
      <c r="J24" s="34"/>
      <c r="K24" s="35" t="str">
        <f t="shared" si="2"/>
        <v/>
      </c>
      <c r="L24" s="36" t="str">
        <f t="shared" si="3"/>
        <v/>
      </c>
      <c r="M24" s="37"/>
      <c r="N24" s="33"/>
      <c r="O24" s="34"/>
      <c r="P24" s="35" t="str">
        <f t="shared" si="4"/>
        <v/>
      </c>
      <c r="Q24" s="36" t="str">
        <f t="shared" si="5"/>
        <v/>
      </c>
      <c r="R24" s="37"/>
      <c r="S24" s="33"/>
      <c r="T24" s="34"/>
      <c r="U24" s="35" t="str">
        <f t="shared" si="6"/>
        <v/>
      </c>
      <c r="V24" s="36" t="str">
        <f t="shared" si="7"/>
        <v/>
      </c>
      <c r="W24" s="37"/>
      <c r="X24" s="33"/>
      <c r="Y24" s="34"/>
      <c r="Z24" s="35" t="str">
        <f t="shared" si="8"/>
        <v/>
      </c>
      <c r="AA24" s="36" t="str">
        <f t="shared" si="9"/>
        <v/>
      </c>
      <c r="AB24" s="37"/>
      <c r="AC24" s="33"/>
      <c r="AD24" s="34"/>
      <c r="AE24" s="35" t="str">
        <f t="shared" si="10"/>
        <v/>
      </c>
      <c r="AF24" s="36" t="str">
        <f t="shared" si="11"/>
        <v/>
      </c>
      <c r="AG24" s="37"/>
      <c r="AH24" s="33"/>
      <c r="AI24" s="34"/>
      <c r="AJ24" s="35" t="str">
        <f t="shared" si="12"/>
        <v/>
      </c>
      <c r="AK24" s="36" t="str">
        <f t="shared" si="13"/>
        <v/>
      </c>
      <c r="AL24" s="37"/>
      <c r="AM24" s="33"/>
      <c r="AN24" s="34"/>
      <c r="AO24" s="35" t="str">
        <f t="shared" si="14"/>
        <v/>
      </c>
      <c r="AP24" s="36" t="str">
        <f t="shared" si="15"/>
        <v/>
      </c>
      <c r="AQ24" s="37"/>
      <c r="AR24" s="33"/>
      <c r="AS24" s="34"/>
      <c r="AT24" s="35" t="str">
        <f t="shared" si="16"/>
        <v/>
      </c>
      <c r="AU24" s="36" t="str">
        <f t="shared" si="17"/>
        <v/>
      </c>
      <c r="AV24" s="37"/>
      <c r="AW24" s="33"/>
      <c r="AX24" s="34"/>
      <c r="AY24" s="35" t="str">
        <f t="shared" si="18"/>
        <v/>
      </c>
      <c r="AZ24" s="36" t="str">
        <f t="shared" si="19"/>
        <v/>
      </c>
      <c r="BA24" s="37"/>
      <c r="BB24" s="38" t="s">
        <v>104</v>
      </c>
      <c r="BC24" s="34"/>
      <c r="BD24" s="35" t="str">
        <f t="shared" si="20"/>
        <v>○</v>
      </c>
      <c r="BE24" s="36" t="str">
        <f t="shared" si="21"/>
        <v/>
      </c>
      <c r="BF24" s="37"/>
      <c r="BG24" s="33"/>
      <c r="BH24" s="34"/>
      <c r="BI24" s="35" t="str">
        <f t="shared" si="22"/>
        <v/>
      </c>
      <c r="BJ24" s="36" t="str">
        <f t="shared" si="23"/>
        <v/>
      </c>
      <c r="BK24" s="37"/>
      <c r="BL24" s="33"/>
      <c r="BM24" s="34"/>
      <c r="BN24" s="35" t="str">
        <f t="shared" si="24"/>
        <v/>
      </c>
      <c r="BO24" s="36" t="str">
        <f t="shared" si="25"/>
        <v/>
      </c>
      <c r="BP24" s="37"/>
      <c r="BQ24" s="33"/>
      <c r="BR24" s="34"/>
      <c r="BS24" s="35" t="str">
        <f t="shared" si="26"/>
        <v/>
      </c>
      <c r="BT24" s="36" t="str">
        <f t="shared" si="27"/>
        <v/>
      </c>
      <c r="BU24" s="37"/>
      <c r="BV24" s="33"/>
      <c r="BW24" s="34"/>
      <c r="BX24" s="35" t="str">
        <f t="shared" si="28"/>
        <v/>
      </c>
      <c r="BY24" s="36" t="str">
        <f t="shared" si="29"/>
        <v/>
      </c>
      <c r="BZ24" s="37"/>
      <c r="CA24" s="33"/>
      <c r="CB24" s="34"/>
      <c r="CC24" s="35" t="str">
        <f t="shared" si="30"/>
        <v/>
      </c>
      <c r="CD24" s="36" t="str">
        <f t="shared" si="31"/>
        <v/>
      </c>
      <c r="CE24" s="37"/>
      <c r="CF24" s="33"/>
      <c r="CG24" s="34"/>
      <c r="CH24" s="35" t="str">
        <f t="shared" si="32"/>
        <v/>
      </c>
      <c r="CI24" s="36" t="str">
        <f t="shared" si="33"/>
        <v/>
      </c>
      <c r="CJ24" s="37"/>
      <c r="CK24" s="33"/>
      <c r="CL24" s="34"/>
      <c r="CM24" s="35" t="str">
        <f t="shared" si="34"/>
        <v/>
      </c>
      <c r="CN24" s="36" t="str">
        <f t="shared" si="35"/>
        <v/>
      </c>
      <c r="CO24" s="37"/>
      <c r="CP24" s="33"/>
      <c r="CQ24" s="34"/>
      <c r="CR24" s="35" t="str">
        <f t="shared" si="36"/>
        <v/>
      </c>
      <c r="CS24" s="36" t="str">
        <f t="shared" si="37"/>
        <v/>
      </c>
      <c r="CT24" s="37"/>
      <c r="CU24" s="33"/>
      <c r="CV24" s="34"/>
      <c r="CW24" s="35" t="str">
        <f t="shared" si="38"/>
        <v/>
      </c>
      <c r="CX24" s="36" t="str">
        <f t="shared" si="39"/>
        <v/>
      </c>
      <c r="CY24" s="37"/>
      <c r="CZ24" s="33"/>
      <c r="DA24" s="34"/>
      <c r="DB24" s="35" t="str">
        <f t="shared" si="40"/>
        <v/>
      </c>
      <c r="DC24" s="36" t="str">
        <f t="shared" si="41"/>
        <v/>
      </c>
      <c r="DD24" s="37"/>
      <c r="DE24" s="33"/>
      <c r="DF24" s="34"/>
      <c r="DG24" s="35" t="str">
        <f t="shared" si="42"/>
        <v/>
      </c>
      <c r="DH24" s="36" t="str">
        <f t="shared" si="43"/>
        <v/>
      </c>
      <c r="DI24" s="37"/>
      <c r="DJ24" s="33"/>
      <c r="DK24" s="34"/>
      <c r="DL24" s="35" t="str">
        <f t="shared" si="44"/>
        <v/>
      </c>
      <c r="DM24" s="36" t="str">
        <f t="shared" si="45"/>
        <v/>
      </c>
      <c r="DN24" s="37"/>
      <c r="DO24" s="33"/>
      <c r="DP24" s="34"/>
      <c r="DQ24" s="35" t="str">
        <f t="shared" si="46"/>
        <v/>
      </c>
      <c r="DR24" s="36" t="str">
        <f t="shared" si="47"/>
        <v/>
      </c>
      <c r="DS24" s="37"/>
      <c r="DT24" s="33"/>
      <c r="DU24" s="34"/>
      <c r="DV24" s="35" t="str">
        <f t="shared" si="48"/>
        <v/>
      </c>
      <c r="DW24" s="36" t="str">
        <f t="shared" si="49"/>
        <v/>
      </c>
      <c r="DX24" s="37"/>
      <c r="DY24" s="33"/>
      <c r="DZ24" s="34"/>
      <c r="EA24" s="35" t="str">
        <f t="shared" si="50"/>
        <v/>
      </c>
      <c r="EB24" s="36" t="str">
        <f t="shared" si="51"/>
        <v/>
      </c>
      <c r="EC24" s="37"/>
      <c r="ED24" s="33"/>
      <c r="EE24" s="34"/>
      <c r="EF24" s="35" t="str">
        <f t="shared" si="52"/>
        <v/>
      </c>
      <c r="EG24" s="36" t="str">
        <f t="shared" si="53"/>
        <v/>
      </c>
      <c r="EH24" s="37"/>
      <c r="EI24" s="33"/>
      <c r="EJ24" s="34"/>
      <c r="EK24" s="35" t="str">
        <f t="shared" si="54"/>
        <v/>
      </c>
      <c r="EL24" s="36" t="str">
        <f t="shared" si="55"/>
        <v/>
      </c>
      <c r="EM24" s="37"/>
      <c r="EN24" s="33"/>
      <c r="EO24" s="34"/>
      <c r="EP24" s="35" t="str">
        <f t="shared" si="56"/>
        <v/>
      </c>
      <c r="EQ24" s="36" t="str">
        <f t="shared" si="57"/>
        <v/>
      </c>
      <c r="ER24" s="37"/>
      <c r="ES24" s="33"/>
      <c r="ET24" s="34"/>
      <c r="EU24" s="35" t="str">
        <f t="shared" si="58"/>
        <v/>
      </c>
      <c r="EV24" s="36" t="str">
        <f t="shared" si="59"/>
        <v/>
      </c>
      <c r="EW24" s="37"/>
    </row>
    <row r="25" spans="1:153" ht="19.5" customHeight="1">
      <c r="A25" s="32">
        <f>IF(DAY(DATE(対象年度,4,22))&lt;&gt;22,"",22)</f>
        <v>22</v>
      </c>
      <c r="B25" s="32" t="str">
        <f>IF(DAY(DATE(対象年度,4,22))&lt;&gt;22,"",CHOOSE(WEEKDAY(DATE(対象年度,4,22),2),"月","火","水","木","金","土","日"))</f>
        <v>水</v>
      </c>
      <c r="C25" s="32" t="str">
        <f>IF(DAY(DATE(対象年度,4,22))&lt;&gt;22,"",IF(ISNUMBER(MATCH(DATE(対象年度,4,22),祝日リスト,0)),"祝",""))</f>
        <v/>
      </c>
      <c r="D25" s="38" t="s">
        <v>104</v>
      </c>
      <c r="E25" s="34"/>
      <c r="F25" s="35" t="str">
        <f t="shared" si="0"/>
        <v>○</v>
      </c>
      <c r="G25" s="36" t="str">
        <f t="shared" si="1"/>
        <v/>
      </c>
      <c r="H25" s="37"/>
      <c r="I25" s="33"/>
      <c r="J25" s="34"/>
      <c r="K25" s="35" t="str">
        <f t="shared" si="2"/>
        <v/>
      </c>
      <c r="L25" s="36" t="str">
        <f t="shared" si="3"/>
        <v/>
      </c>
      <c r="M25" s="37"/>
      <c r="N25" s="33"/>
      <c r="O25" s="34"/>
      <c r="P25" s="35" t="str">
        <f t="shared" si="4"/>
        <v/>
      </c>
      <c r="Q25" s="36" t="str">
        <f t="shared" si="5"/>
        <v/>
      </c>
      <c r="R25" s="37"/>
      <c r="S25" s="33"/>
      <c r="T25" s="34"/>
      <c r="U25" s="35" t="str">
        <f t="shared" si="6"/>
        <v/>
      </c>
      <c r="V25" s="36" t="str">
        <f t="shared" si="7"/>
        <v/>
      </c>
      <c r="W25" s="37"/>
      <c r="X25" s="33"/>
      <c r="Y25" s="34"/>
      <c r="Z25" s="35" t="str">
        <f t="shared" si="8"/>
        <v/>
      </c>
      <c r="AA25" s="36" t="str">
        <f t="shared" si="9"/>
        <v/>
      </c>
      <c r="AB25" s="37"/>
      <c r="AC25" s="33"/>
      <c r="AD25" s="34"/>
      <c r="AE25" s="35" t="str">
        <f t="shared" si="10"/>
        <v/>
      </c>
      <c r="AF25" s="36" t="str">
        <f t="shared" si="11"/>
        <v/>
      </c>
      <c r="AG25" s="37"/>
      <c r="AH25" s="33"/>
      <c r="AI25" s="34"/>
      <c r="AJ25" s="35" t="str">
        <f t="shared" si="12"/>
        <v/>
      </c>
      <c r="AK25" s="36" t="str">
        <f t="shared" si="13"/>
        <v/>
      </c>
      <c r="AL25" s="37"/>
      <c r="AM25" s="33"/>
      <c r="AN25" s="34"/>
      <c r="AO25" s="35" t="str">
        <f t="shared" si="14"/>
        <v/>
      </c>
      <c r="AP25" s="36" t="str">
        <f t="shared" si="15"/>
        <v/>
      </c>
      <c r="AQ25" s="37"/>
      <c r="AR25" s="33"/>
      <c r="AS25" s="34"/>
      <c r="AT25" s="35" t="str">
        <f t="shared" si="16"/>
        <v/>
      </c>
      <c r="AU25" s="36" t="str">
        <f t="shared" si="17"/>
        <v/>
      </c>
      <c r="AV25" s="37"/>
      <c r="AW25" s="33"/>
      <c r="AX25" s="34"/>
      <c r="AY25" s="35" t="str">
        <f t="shared" si="18"/>
        <v/>
      </c>
      <c r="AZ25" s="36" t="str">
        <f t="shared" si="19"/>
        <v/>
      </c>
      <c r="BA25" s="37"/>
      <c r="BB25" s="38" t="s">
        <v>104</v>
      </c>
      <c r="BC25" s="34"/>
      <c r="BD25" s="35" t="str">
        <f t="shared" si="20"/>
        <v>○</v>
      </c>
      <c r="BE25" s="36" t="str">
        <f t="shared" si="21"/>
        <v/>
      </c>
      <c r="BF25" s="37"/>
      <c r="BG25" s="33"/>
      <c r="BH25" s="34"/>
      <c r="BI25" s="35" t="str">
        <f t="shared" si="22"/>
        <v/>
      </c>
      <c r="BJ25" s="36" t="str">
        <f t="shared" si="23"/>
        <v/>
      </c>
      <c r="BK25" s="37"/>
      <c r="BL25" s="33"/>
      <c r="BM25" s="34"/>
      <c r="BN25" s="35" t="str">
        <f t="shared" si="24"/>
        <v/>
      </c>
      <c r="BO25" s="36" t="str">
        <f t="shared" si="25"/>
        <v/>
      </c>
      <c r="BP25" s="37"/>
      <c r="BQ25" s="33"/>
      <c r="BR25" s="34"/>
      <c r="BS25" s="35" t="str">
        <f t="shared" si="26"/>
        <v/>
      </c>
      <c r="BT25" s="36" t="str">
        <f t="shared" si="27"/>
        <v/>
      </c>
      <c r="BU25" s="37"/>
      <c r="BV25" s="33"/>
      <c r="BW25" s="34"/>
      <c r="BX25" s="35" t="str">
        <f t="shared" si="28"/>
        <v/>
      </c>
      <c r="BY25" s="36" t="str">
        <f t="shared" si="29"/>
        <v/>
      </c>
      <c r="BZ25" s="37"/>
      <c r="CA25" s="33"/>
      <c r="CB25" s="34"/>
      <c r="CC25" s="35" t="str">
        <f t="shared" si="30"/>
        <v/>
      </c>
      <c r="CD25" s="36" t="str">
        <f t="shared" si="31"/>
        <v/>
      </c>
      <c r="CE25" s="37"/>
      <c r="CF25" s="33"/>
      <c r="CG25" s="34"/>
      <c r="CH25" s="35" t="str">
        <f t="shared" si="32"/>
        <v/>
      </c>
      <c r="CI25" s="36" t="str">
        <f t="shared" si="33"/>
        <v/>
      </c>
      <c r="CJ25" s="37"/>
      <c r="CK25" s="33"/>
      <c r="CL25" s="34"/>
      <c r="CM25" s="35" t="str">
        <f t="shared" si="34"/>
        <v/>
      </c>
      <c r="CN25" s="36" t="str">
        <f t="shared" si="35"/>
        <v/>
      </c>
      <c r="CO25" s="37"/>
      <c r="CP25" s="33"/>
      <c r="CQ25" s="34"/>
      <c r="CR25" s="35" t="str">
        <f t="shared" si="36"/>
        <v/>
      </c>
      <c r="CS25" s="36" t="str">
        <f t="shared" si="37"/>
        <v/>
      </c>
      <c r="CT25" s="37"/>
      <c r="CU25" s="33"/>
      <c r="CV25" s="34"/>
      <c r="CW25" s="35" t="str">
        <f t="shared" si="38"/>
        <v/>
      </c>
      <c r="CX25" s="36" t="str">
        <f t="shared" si="39"/>
        <v/>
      </c>
      <c r="CY25" s="37"/>
      <c r="CZ25" s="33"/>
      <c r="DA25" s="34"/>
      <c r="DB25" s="35" t="str">
        <f t="shared" si="40"/>
        <v/>
      </c>
      <c r="DC25" s="36" t="str">
        <f t="shared" si="41"/>
        <v/>
      </c>
      <c r="DD25" s="37"/>
      <c r="DE25" s="33"/>
      <c r="DF25" s="34"/>
      <c r="DG25" s="35" t="str">
        <f t="shared" si="42"/>
        <v/>
      </c>
      <c r="DH25" s="36" t="str">
        <f t="shared" si="43"/>
        <v/>
      </c>
      <c r="DI25" s="37"/>
      <c r="DJ25" s="33"/>
      <c r="DK25" s="34"/>
      <c r="DL25" s="35" t="str">
        <f t="shared" si="44"/>
        <v/>
      </c>
      <c r="DM25" s="36" t="str">
        <f t="shared" si="45"/>
        <v/>
      </c>
      <c r="DN25" s="37"/>
      <c r="DO25" s="33"/>
      <c r="DP25" s="34"/>
      <c r="DQ25" s="35" t="str">
        <f t="shared" si="46"/>
        <v/>
      </c>
      <c r="DR25" s="36" t="str">
        <f t="shared" si="47"/>
        <v/>
      </c>
      <c r="DS25" s="37"/>
      <c r="DT25" s="33"/>
      <c r="DU25" s="34"/>
      <c r="DV25" s="35" t="str">
        <f t="shared" si="48"/>
        <v/>
      </c>
      <c r="DW25" s="36" t="str">
        <f t="shared" si="49"/>
        <v/>
      </c>
      <c r="DX25" s="37"/>
      <c r="DY25" s="33"/>
      <c r="DZ25" s="34"/>
      <c r="EA25" s="35" t="str">
        <f t="shared" si="50"/>
        <v/>
      </c>
      <c r="EB25" s="36" t="str">
        <f t="shared" si="51"/>
        <v/>
      </c>
      <c r="EC25" s="37"/>
      <c r="ED25" s="33"/>
      <c r="EE25" s="34"/>
      <c r="EF25" s="35" t="str">
        <f t="shared" si="52"/>
        <v/>
      </c>
      <c r="EG25" s="36" t="str">
        <f t="shared" si="53"/>
        <v/>
      </c>
      <c r="EH25" s="37"/>
      <c r="EI25" s="33"/>
      <c r="EJ25" s="34"/>
      <c r="EK25" s="35" t="str">
        <f t="shared" si="54"/>
        <v/>
      </c>
      <c r="EL25" s="36" t="str">
        <f t="shared" si="55"/>
        <v/>
      </c>
      <c r="EM25" s="37"/>
      <c r="EN25" s="33"/>
      <c r="EO25" s="34"/>
      <c r="EP25" s="35" t="str">
        <f t="shared" si="56"/>
        <v/>
      </c>
      <c r="EQ25" s="36" t="str">
        <f t="shared" si="57"/>
        <v/>
      </c>
      <c r="ER25" s="37"/>
      <c r="ES25" s="33"/>
      <c r="ET25" s="34"/>
      <c r="EU25" s="35" t="str">
        <f t="shared" si="58"/>
        <v/>
      </c>
      <c r="EV25" s="36" t="str">
        <f t="shared" si="59"/>
        <v/>
      </c>
      <c r="EW25" s="37"/>
    </row>
    <row r="26" spans="1:153" ht="19.5" customHeight="1">
      <c r="A26" s="32">
        <f>IF(DAY(DATE(対象年度,4,23))&lt;&gt;23,"",23)</f>
        <v>23</v>
      </c>
      <c r="B26" s="32" t="str">
        <f>IF(DAY(DATE(対象年度,4,23))&lt;&gt;23,"",CHOOSE(WEEKDAY(DATE(対象年度,4,23),2),"月","火","水","木","金","土","日"))</f>
        <v>木</v>
      </c>
      <c r="C26" s="32" t="str">
        <f>IF(DAY(DATE(対象年度,4,23))&lt;&gt;23,"",IF(ISNUMBER(MATCH(DATE(対象年度,4,23),祝日リスト,0)),"祝",""))</f>
        <v/>
      </c>
      <c r="D26" s="38" t="s">
        <v>104</v>
      </c>
      <c r="E26" s="34"/>
      <c r="F26" s="35" t="str">
        <f t="shared" si="0"/>
        <v>○</v>
      </c>
      <c r="G26" s="36" t="str">
        <f t="shared" si="1"/>
        <v/>
      </c>
      <c r="H26" s="37"/>
      <c r="I26" s="33"/>
      <c r="J26" s="34"/>
      <c r="K26" s="35" t="str">
        <f t="shared" si="2"/>
        <v/>
      </c>
      <c r="L26" s="36" t="str">
        <f t="shared" si="3"/>
        <v/>
      </c>
      <c r="M26" s="37"/>
      <c r="N26" s="33"/>
      <c r="O26" s="34"/>
      <c r="P26" s="35" t="str">
        <f t="shared" si="4"/>
        <v/>
      </c>
      <c r="Q26" s="36" t="str">
        <f t="shared" si="5"/>
        <v/>
      </c>
      <c r="R26" s="37"/>
      <c r="S26" s="33"/>
      <c r="T26" s="34"/>
      <c r="U26" s="35" t="str">
        <f t="shared" si="6"/>
        <v/>
      </c>
      <c r="V26" s="36" t="str">
        <f t="shared" si="7"/>
        <v/>
      </c>
      <c r="W26" s="37"/>
      <c r="X26" s="33"/>
      <c r="Y26" s="34"/>
      <c r="Z26" s="35" t="str">
        <f t="shared" si="8"/>
        <v/>
      </c>
      <c r="AA26" s="36" t="str">
        <f t="shared" si="9"/>
        <v/>
      </c>
      <c r="AB26" s="37"/>
      <c r="AC26" s="33"/>
      <c r="AD26" s="34"/>
      <c r="AE26" s="35" t="str">
        <f t="shared" si="10"/>
        <v/>
      </c>
      <c r="AF26" s="36" t="str">
        <f t="shared" si="11"/>
        <v/>
      </c>
      <c r="AG26" s="37"/>
      <c r="AH26" s="33"/>
      <c r="AI26" s="34"/>
      <c r="AJ26" s="35" t="str">
        <f t="shared" si="12"/>
        <v/>
      </c>
      <c r="AK26" s="36" t="str">
        <f t="shared" si="13"/>
        <v/>
      </c>
      <c r="AL26" s="37"/>
      <c r="AM26" s="33"/>
      <c r="AN26" s="34"/>
      <c r="AO26" s="35" t="str">
        <f t="shared" si="14"/>
        <v/>
      </c>
      <c r="AP26" s="36" t="str">
        <f t="shared" si="15"/>
        <v/>
      </c>
      <c r="AQ26" s="37"/>
      <c r="AR26" s="33"/>
      <c r="AS26" s="34"/>
      <c r="AT26" s="35" t="str">
        <f t="shared" si="16"/>
        <v/>
      </c>
      <c r="AU26" s="36" t="str">
        <f t="shared" si="17"/>
        <v/>
      </c>
      <c r="AV26" s="37"/>
      <c r="AW26" s="33"/>
      <c r="AX26" s="34"/>
      <c r="AY26" s="35" t="str">
        <f t="shared" si="18"/>
        <v/>
      </c>
      <c r="AZ26" s="36" t="str">
        <f t="shared" si="19"/>
        <v/>
      </c>
      <c r="BA26" s="37"/>
      <c r="BB26" s="38" t="s">
        <v>104</v>
      </c>
      <c r="BC26" s="34"/>
      <c r="BD26" s="35" t="str">
        <f t="shared" si="20"/>
        <v>○</v>
      </c>
      <c r="BE26" s="36" t="str">
        <f t="shared" si="21"/>
        <v/>
      </c>
      <c r="BF26" s="37"/>
      <c r="BG26" s="33"/>
      <c r="BH26" s="34"/>
      <c r="BI26" s="35" t="str">
        <f t="shared" si="22"/>
        <v/>
      </c>
      <c r="BJ26" s="36" t="str">
        <f t="shared" si="23"/>
        <v/>
      </c>
      <c r="BK26" s="37"/>
      <c r="BL26" s="33"/>
      <c r="BM26" s="34"/>
      <c r="BN26" s="35" t="str">
        <f t="shared" si="24"/>
        <v/>
      </c>
      <c r="BO26" s="36" t="str">
        <f t="shared" si="25"/>
        <v/>
      </c>
      <c r="BP26" s="37"/>
      <c r="BQ26" s="33"/>
      <c r="BR26" s="34"/>
      <c r="BS26" s="35" t="str">
        <f t="shared" si="26"/>
        <v/>
      </c>
      <c r="BT26" s="36" t="str">
        <f t="shared" si="27"/>
        <v/>
      </c>
      <c r="BU26" s="37"/>
      <c r="BV26" s="33"/>
      <c r="BW26" s="34"/>
      <c r="BX26" s="35" t="str">
        <f t="shared" si="28"/>
        <v/>
      </c>
      <c r="BY26" s="36" t="str">
        <f t="shared" si="29"/>
        <v/>
      </c>
      <c r="BZ26" s="37"/>
      <c r="CA26" s="33"/>
      <c r="CB26" s="34"/>
      <c r="CC26" s="35" t="str">
        <f t="shared" si="30"/>
        <v/>
      </c>
      <c r="CD26" s="36" t="str">
        <f t="shared" si="31"/>
        <v/>
      </c>
      <c r="CE26" s="37"/>
      <c r="CF26" s="33"/>
      <c r="CG26" s="34"/>
      <c r="CH26" s="35" t="str">
        <f t="shared" si="32"/>
        <v/>
      </c>
      <c r="CI26" s="36" t="str">
        <f t="shared" si="33"/>
        <v/>
      </c>
      <c r="CJ26" s="37"/>
      <c r="CK26" s="33"/>
      <c r="CL26" s="34"/>
      <c r="CM26" s="35" t="str">
        <f t="shared" si="34"/>
        <v/>
      </c>
      <c r="CN26" s="36" t="str">
        <f t="shared" si="35"/>
        <v/>
      </c>
      <c r="CO26" s="37"/>
      <c r="CP26" s="33"/>
      <c r="CQ26" s="34"/>
      <c r="CR26" s="35" t="str">
        <f t="shared" si="36"/>
        <v/>
      </c>
      <c r="CS26" s="36" t="str">
        <f t="shared" si="37"/>
        <v/>
      </c>
      <c r="CT26" s="37"/>
      <c r="CU26" s="33"/>
      <c r="CV26" s="34"/>
      <c r="CW26" s="35" t="str">
        <f t="shared" si="38"/>
        <v/>
      </c>
      <c r="CX26" s="36" t="str">
        <f t="shared" si="39"/>
        <v/>
      </c>
      <c r="CY26" s="37"/>
      <c r="CZ26" s="33"/>
      <c r="DA26" s="34"/>
      <c r="DB26" s="35" t="str">
        <f t="shared" si="40"/>
        <v/>
      </c>
      <c r="DC26" s="36" t="str">
        <f t="shared" si="41"/>
        <v/>
      </c>
      <c r="DD26" s="37"/>
      <c r="DE26" s="33"/>
      <c r="DF26" s="34"/>
      <c r="DG26" s="35" t="str">
        <f t="shared" si="42"/>
        <v/>
      </c>
      <c r="DH26" s="36" t="str">
        <f t="shared" si="43"/>
        <v/>
      </c>
      <c r="DI26" s="37"/>
      <c r="DJ26" s="33"/>
      <c r="DK26" s="34"/>
      <c r="DL26" s="35" t="str">
        <f t="shared" si="44"/>
        <v/>
      </c>
      <c r="DM26" s="36" t="str">
        <f t="shared" si="45"/>
        <v/>
      </c>
      <c r="DN26" s="37"/>
      <c r="DO26" s="33"/>
      <c r="DP26" s="34"/>
      <c r="DQ26" s="35" t="str">
        <f t="shared" si="46"/>
        <v/>
      </c>
      <c r="DR26" s="36" t="str">
        <f t="shared" si="47"/>
        <v/>
      </c>
      <c r="DS26" s="37"/>
      <c r="DT26" s="33"/>
      <c r="DU26" s="34"/>
      <c r="DV26" s="35" t="str">
        <f t="shared" si="48"/>
        <v/>
      </c>
      <c r="DW26" s="36" t="str">
        <f t="shared" si="49"/>
        <v/>
      </c>
      <c r="DX26" s="37"/>
      <c r="DY26" s="33"/>
      <c r="DZ26" s="34"/>
      <c r="EA26" s="35" t="str">
        <f t="shared" si="50"/>
        <v/>
      </c>
      <c r="EB26" s="36" t="str">
        <f t="shared" si="51"/>
        <v/>
      </c>
      <c r="EC26" s="37"/>
      <c r="ED26" s="33"/>
      <c r="EE26" s="34"/>
      <c r="EF26" s="35" t="str">
        <f t="shared" si="52"/>
        <v/>
      </c>
      <c r="EG26" s="36" t="str">
        <f t="shared" si="53"/>
        <v/>
      </c>
      <c r="EH26" s="37"/>
      <c r="EI26" s="33"/>
      <c r="EJ26" s="34"/>
      <c r="EK26" s="35" t="str">
        <f t="shared" si="54"/>
        <v/>
      </c>
      <c r="EL26" s="36" t="str">
        <f t="shared" si="55"/>
        <v/>
      </c>
      <c r="EM26" s="37"/>
      <c r="EN26" s="33"/>
      <c r="EO26" s="34"/>
      <c r="EP26" s="35" t="str">
        <f t="shared" si="56"/>
        <v/>
      </c>
      <c r="EQ26" s="36" t="str">
        <f t="shared" si="57"/>
        <v/>
      </c>
      <c r="ER26" s="37"/>
      <c r="ES26" s="33"/>
      <c r="ET26" s="34"/>
      <c r="EU26" s="35" t="str">
        <f t="shared" si="58"/>
        <v/>
      </c>
      <c r="EV26" s="36" t="str">
        <f t="shared" si="59"/>
        <v/>
      </c>
      <c r="EW26" s="37"/>
    </row>
    <row r="27" spans="1:153" ht="19.5" customHeight="1">
      <c r="A27" s="32">
        <f>IF(DAY(DATE(対象年度,4,24))&lt;&gt;24,"",24)</f>
        <v>24</v>
      </c>
      <c r="B27" s="32" t="str">
        <f>IF(DAY(DATE(対象年度,4,24))&lt;&gt;24,"",CHOOSE(WEEKDAY(DATE(対象年度,4,24),2),"月","火","水","木","金","土","日"))</f>
        <v>金</v>
      </c>
      <c r="C27" s="32" t="str">
        <f>IF(DAY(DATE(対象年度,4,24))&lt;&gt;24,"",IF(ISNUMBER(MATCH(DATE(対象年度,4,24),祝日リスト,0)),"祝",""))</f>
        <v/>
      </c>
      <c r="D27" s="38" t="s">
        <v>104</v>
      </c>
      <c r="E27" s="34"/>
      <c r="F27" s="35" t="str">
        <f t="shared" si="0"/>
        <v>○</v>
      </c>
      <c r="G27" s="36" t="str">
        <f t="shared" si="1"/>
        <v/>
      </c>
      <c r="H27" s="37"/>
      <c r="I27" s="33"/>
      <c r="J27" s="34"/>
      <c r="K27" s="35" t="str">
        <f t="shared" si="2"/>
        <v/>
      </c>
      <c r="L27" s="36" t="str">
        <f t="shared" si="3"/>
        <v/>
      </c>
      <c r="M27" s="37"/>
      <c r="N27" s="33"/>
      <c r="O27" s="34"/>
      <c r="P27" s="35" t="str">
        <f t="shared" si="4"/>
        <v/>
      </c>
      <c r="Q27" s="36" t="str">
        <f t="shared" si="5"/>
        <v/>
      </c>
      <c r="R27" s="37"/>
      <c r="S27" s="33"/>
      <c r="T27" s="34"/>
      <c r="U27" s="35" t="str">
        <f t="shared" si="6"/>
        <v/>
      </c>
      <c r="V27" s="36" t="str">
        <f t="shared" si="7"/>
        <v/>
      </c>
      <c r="W27" s="37"/>
      <c r="X27" s="33"/>
      <c r="Y27" s="34"/>
      <c r="Z27" s="35" t="str">
        <f t="shared" si="8"/>
        <v/>
      </c>
      <c r="AA27" s="36" t="str">
        <f t="shared" si="9"/>
        <v/>
      </c>
      <c r="AB27" s="37"/>
      <c r="AC27" s="33"/>
      <c r="AD27" s="34"/>
      <c r="AE27" s="35" t="str">
        <f t="shared" si="10"/>
        <v/>
      </c>
      <c r="AF27" s="36" t="str">
        <f t="shared" si="11"/>
        <v/>
      </c>
      <c r="AG27" s="37"/>
      <c r="AH27" s="33"/>
      <c r="AI27" s="34"/>
      <c r="AJ27" s="35" t="str">
        <f t="shared" si="12"/>
        <v/>
      </c>
      <c r="AK27" s="36" t="str">
        <f t="shared" si="13"/>
        <v/>
      </c>
      <c r="AL27" s="37"/>
      <c r="AM27" s="33"/>
      <c r="AN27" s="34"/>
      <c r="AO27" s="35" t="str">
        <f t="shared" si="14"/>
        <v/>
      </c>
      <c r="AP27" s="36" t="str">
        <f t="shared" si="15"/>
        <v/>
      </c>
      <c r="AQ27" s="37"/>
      <c r="AR27" s="33"/>
      <c r="AS27" s="34"/>
      <c r="AT27" s="35" t="str">
        <f t="shared" si="16"/>
        <v/>
      </c>
      <c r="AU27" s="36" t="str">
        <f t="shared" si="17"/>
        <v/>
      </c>
      <c r="AV27" s="37"/>
      <c r="AW27" s="33"/>
      <c r="AX27" s="34"/>
      <c r="AY27" s="35" t="str">
        <f t="shared" si="18"/>
        <v/>
      </c>
      <c r="AZ27" s="36" t="str">
        <f t="shared" si="19"/>
        <v/>
      </c>
      <c r="BA27" s="37"/>
      <c r="BB27" s="38" t="s">
        <v>104</v>
      </c>
      <c r="BC27" s="34"/>
      <c r="BD27" s="35" t="str">
        <f t="shared" si="20"/>
        <v>○</v>
      </c>
      <c r="BE27" s="36" t="str">
        <f t="shared" si="21"/>
        <v/>
      </c>
      <c r="BF27" s="37"/>
      <c r="BG27" s="33"/>
      <c r="BH27" s="34"/>
      <c r="BI27" s="35" t="str">
        <f t="shared" si="22"/>
        <v/>
      </c>
      <c r="BJ27" s="36" t="str">
        <f t="shared" si="23"/>
        <v/>
      </c>
      <c r="BK27" s="37"/>
      <c r="BL27" s="33"/>
      <c r="BM27" s="34"/>
      <c r="BN27" s="35" t="str">
        <f t="shared" si="24"/>
        <v/>
      </c>
      <c r="BO27" s="36" t="str">
        <f t="shared" si="25"/>
        <v/>
      </c>
      <c r="BP27" s="37"/>
      <c r="BQ27" s="33"/>
      <c r="BR27" s="34"/>
      <c r="BS27" s="35" t="str">
        <f t="shared" si="26"/>
        <v/>
      </c>
      <c r="BT27" s="36" t="str">
        <f t="shared" si="27"/>
        <v/>
      </c>
      <c r="BU27" s="37"/>
      <c r="BV27" s="33"/>
      <c r="BW27" s="34"/>
      <c r="BX27" s="35" t="str">
        <f t="shared" si="28"/>
        <v/>
      </c>
      <c r="BY27" s="36" t="str">
        <f t="shared" si="29"/>
        <v/>
      </c>
      <c r="BZ27" s="37"/>
      <c r="CA27" s="33"/>
      <c r="CB27" s="34"/>
      <c r="CC27" s="35" t="str">
        <f t="shared" si="30"/>
        <v/>
      </c>
      <c r="CD27" s="36" t="str">
        <f t="shared" si="31"/>
        <v/>
      </c>
      <c r="CE27" s="37"/>
      <c r="CF27" s="33"/>
      <c r="CG27" s="34"/>
      <c r="CH27" s="35" t="str">
        <f t="shared" si="32"/>
        <v/>
      </c>
      <c r="CI27" s="36" t="str">
        <f t="shared" si="33"/>
        <v/>
      </c>
      <c r="CJ27" s="37"/>
      <c r="CK27" s="33"/>
      <c r="CL27" s="34"/>
      <c r="CM27" s="35" t="str">
        <f t="shared" si="34"/>
        <v/>
      </c>
      <c r="CN27" s="36" t="str">
        <f t="shared" si="35"/>
        <v/>
      </c>
      <c r="CO27" s="37"/>
      <c r="CP27" s="33"/>
      <c r="CQ27" s="34"/>
      <c r="CR27" s="35" t="str">
        <f t="shared" si="36"/>
        <v/>
      </c>
      <c r="CS27" s="36" t="str">
        <f t="shared" si="37"/>
        <v/>
      </c>
      <c r="CT27" s="37"/>
      <c r="CU27" s="33"/>
      <c r="CV27" s="34"/>
      <c r="CW27" s="35" t="str">
        <f t="shared" si="38"/>
        <v/>
      </c>
      <c r="CX27" s="36" t="str">
        <f t="shared" si="39"/>
        <v/>
      </c>
      <c r="CY27" s="37"/>
      <c r="CZ27" s="33"/>
      <c r="DA27" s="34"/>
      <c r="DB27" s="35" t="str">
        <f t="shared" si="40"/>
        <v/>
      </c>
      <c r="DC27" s="36" t="str">
        <f t="shared" si="41"/>
        <v/>
      </c>
      <c r="DD27" s="37"/>
      <c r="DE27" s="33"/>
      <c r="DF27" s="34"/>
      <c r="DG27" s="35" t="str">
        <f t="shared" si="42"/>
        <v/>
      </c>
      <c r="DH27" s="36" t="str">
        <f t="shared" si="43"/>
        <v/>
      </c>
      <c r="DI27" s="37"/>
      <c r="DJ27" s="33"/>
      <c r="DK27" s="34"/>
      <c r="DL27" s="35" t="str">
        <f t="shared" si="44"/>
        <v/>
      </c>
      <c r="DM27" s="36" t="str">
        <f t="shared" si="45"/>
        <v/>
      </c>
      <c r="DN27" s="37"/>
      <c r="DO27" s="33"/>
      <c r="DP27" s="34"/>
      <c r="DQ27" s="35" t="str">
        <f t="shared" si="46"/>
        <v/>
      </c>
      <c r="DR27" s="36" t="str">
        <f t="shared" si="47"/>
        <v/>
      </c>
      <c r="DS27" s="37"/>
      <c r="DT27" s="33"/>
      <c r="DU27" s="34"/>
      <c r="DV27" s="35" t="str">
        <f t="shared" si="48"/>
        <v/>
      </c>
      <c r="DW27" s="36" t="str">
        <f t="shared" si="49"/>
        <v/>
      </c>
      <c r="DX27" s="37"/>
      <c r="DY27" s="33"/>
      <c r="DZ27" s="34"/>
      <c r="EA27" s="35" t="str">
        <f t="shared" si="50"/>
        <v/>
      </c>
      <c r="EB27" s="36" t="str">
        <f t="shared" si="51"/>
        <v/>
      </c>
      <c r="EC27" s="37"/>
      <c r="ED27" s="33"/>
      <c r="EE27" s="34"/>
      <c r="EF27" s="35" t="str">
        <f t="shared" si="52"/>
        <v/>
      </c>
      <c r="EG27" s="36" t="str">
        <f t="shared" si="53"/>
        <v/>
      </c>
      <c r="EH27" s="37"/>
      <c r="EI27" s="33"/>
      <c r="EJ27" s="34"/>
      <c r="EK27" s="35" t="str">
        <f t="shared" si="54"/>
        <v/>
      </c>
      <c r="EL27" s="36" t="str">
        <f t="shared" si="55"/>
        <v/>
      </c>
      <c r="EM27" s="37"/>
      <c r="EN27" s="33"/>
      <c r="EO27" s="34"/>
      <c r="EP27" s="35" t="str">
        <f t="shared" si="56"/>
        <v/>
      </c>
      <c r="EQ27" s="36" t="str">
        <f t="shared" si="57"/>
        <v/>
      </c>
      <c r="ER27" s="37"/>
      <c r="ES27" s="33"/>
      <c r="ET27" s="34"/>
      <c r="EU27" s="35" t="str">
        <f t="shared" si="58"/>
        <v/>
      </c>
      <c r="EV27" s="36" t="str">
        <f t="shared" si="59"/>
        <v/>
      </c>
      <c r="EW27" s="37"/>
    </row>
    <row r="28" spans="1:153" ht="19.5" customHeight="1">
      <c r="A28" s="32">
        <f>IF(DAY(DATE(対象年度,4,25))&lt;&gt;25,"",25)</f>
        <v>25</v>
      </c>
      <c r="B28" s="32" t="str">
        <f>IF(DAY(DATE(対象年度,4,25))&lt;&gt;25,"",CHOOSE(WEEKDAY(DATE(対象年度,4,25),2),"月","火","水","木","金","土","日"))</f>
        <v>土</v>
      </c>
      <c r="C28" s="32" t="str">
        <f>IF(DAY(DATE(対象年度,4,25))&lt;&gt;25,"",IF(ISNUMBER(MATCH(DATE(対象年度,4,25),祝日リスト,0)),"祝",""))</f>
        <v/>
      </c>
      <c r="D28" s="33"/>
      <c r="E28" s="34"/>
      <c r="F28" s="35" t="str">
        <f t="shared" si="0"/>
        <v/>
      </c>
      <c r="G28" s="36" t="str">
        <f t="shared" si="1"/>
        <v/>
      </c>
      <c r="H28" s="37"/>
      <c r="I28" s="33"/>
      <c r="J28" s="34"/>
      <c r="K28" s="35" t="str">
        <f t="shared" si="2"/>
        <v/>
      </c>
      <c r="L28" s="36" t="str">
        <f t="shared" si="3"/>
        <v/>
      </c>
      <c r="M28" s="37"/>
      <c r="N28" s="33"/>
      <c r="O28" s="34"/>
      <c r="P28" s="35" t="str">
        <f t="shared" si="4"/>
        <v/>
      </c>
      <c r="Q28" s="36" t="str">
        <f t="shared" si="5"/>
        <v/>
      </c>
      <c r="R28" s="37"/>
      <c r="S28" s="33"/>
      <c r="T28" s="34"/>
      <c r="U28" s="35" t="str">
        <f t="shared" si="6"/>
        <v/>
      </c>
      <c r="V28" s="36" t="str">
        <f t="shared" si="7"/>
        <v/>
      </c>
      <c r="W28" s="37"/>
      <c r="X28" s="33"/>
      <c r="Y28" s="34"/>
      <c r="Z28" s="35" t="str">
        <f t="shared" si="8"/>
        <v/>
      </c>
      <c r="AA28" s="36" t="str">
        <f t="shared" si="9"/>
        <v/>
      </c>
      <c r="AB28" s="37"/>
      <c r="AC28" s="33"/>
      <c r="AD28" s="34"/>
      <c r="AE28" s="35" t="str">
        <f t="shared" si="10"/>
        <v/>
      </c>
      <c r="AF28" s="36" t="str">
        <f t="shared" si="11"/>
        <v/>
      </c>
      <c r="AG28" s="37"/>
      <c r="AH28" s="33"/>
      <c r="AI28" s="34"/>
      <c r="AJ28" s="35" t="str">
        <f t="shared" si="12"/>
        <v/>
      </c>
      <c r="AK28" s="36" t="str">
        <f t="shared" si="13"/>
        <v/>
      </c>
      <c r="AL28" s="37"/>
      <c r="AM28" s="33"/>
      <c r="AN28" s="34"/>
      <c r="AO28" s="35" t="str">
        <f t="shared" si="14"/>
        <v/>
      </c>
      <c r="AP28" s="36" t="str">
        <f t="shared" si="15"/>
        <v/>
      </c>
      <c r="AQ28" s="37"/>
      <c r="AR28" s="33"/>
      <c r="AS28" s="34"/>
      <c r="AT28" s="35" t="str">
        <f t="shared" si="16"/>
        <v/>
      </c>
      <c r="AU28" s="36" t="str">
        <f t="shared" si="17"/>
        <v/>
      </c>
      <c r="AV28" s="37"/>
      <c r="AW28" s="33"/>
      <c r="AX28" s="34"/>
      <c r="AY28" s="35" t="str">
        <f t="shared" si="18"/>
        <v/>
      </c>
      <c r="AZ28" s="36" t="str">
        <f t="shared" si="19"/>
        <v/>
      </c>
      <c r="BA28" s="37"/>
      <c r="BB28" s="33"/>
      <c r="BC28" s="34"/>
      <c r="BD28" s="35" t="str">
        <f t="shared" si="20"/>
        <v/>
      </c>
      <c r="BE28" s="36" t="str">
        <f t="shared" si="21"/>
        <v/>
      </c>
      <c r="BF28" s="37"/>
      <c r="BG28" s="33"/>
      <c r="BH28" s="34"/>
      <c r="BI28" s="35" t="str">
        <f t="shared" si="22"/>
        <v/>
      </c>
      <c r="BJ28" s="36" t="str">
        <f t="shared" si="23"/>
        <v/>
      </c>
      <c r="BK28" s="37"/>
      <c r="BL28" s="33"/>
      <c r="BM28" s="34"/>
      <c r="BN28" s="35" t="str">
        <f t="shared" si="24"/>
        <v/>
      </c>
      <c r="BO28" s="36" t="str">
        <f t="shared" si="25"/>
        <v/>
      </c>
      <c r="BP28" s="37"/>
      <c r="BQ28" s="33"/>
      <c r="BR28" s="34"/>
      <c r="BS28" s="35" t="str">
        <f t="shared" si="26"/>
        <v/>
      </c>
      <c r="BT28" s="36" t="str">
        <f t="shared" si="27"/>
        <v/>
      </c>
      <c r="BU28" s="37"/>
      <c r="BV28" s="33"/>
      <c r="BW28" s="34"/>
      <c r="BX28" s="35" t="str">
        <f t="shared" si="28"/>
        <v/>
      </c>
      <c r="BY28" s="36" t="str">
        <f t="shared" si="29"/>
        <v/>
      </c>
      <c r="BZ28" s="37"/>
      <c r="CA28" s="33"/>
      <c r="CB28" s="34"/>
      <c r="CC28" s="35" t="str">
        <f t="shared" si="30"/>
        <v/>
      </c>
      <c r="CD28" s="36" t="str">
        <f t="shared" si="31"/>
        <v/>
      </c>
      <c r="CE28" s="37"/>
      <c r="CF28" s="33"/>
      <c r="CG28" s="34"/>
      <c r="CH28" s="35" t="str">
        <f t="shared" si="32"/>
        <v/>
      </c>
      <c r="CI28" s="36" t="str">
        <f t="shared" si="33"/>
        <v/>
      </c>
      <c r="CJ28" s="37"/>
      <c r="CK28" s="33"/>
      <c r="CL28" s="34"/>
      <c r="CM28" s="35" t="str">
        <f t="shared" si="34"/>
        <v/>
      </c>
      <c r="CN28" s="36" t="str">
        <f t="shared" si="35"/>
        <v/>
      </c>
      <c r="CO28" s="37"/>
      <c r="CP28" s="33"/>
      <c r="CQ28" s="34"/>
      <c r="CR28" s="35" t="str">
        <f t="shared" si="36"/>
        <v/>
      </c>
      <c r="CS28" s="36" t="str">
        <f t="shared" si="37"/>
        <v/>
      </c>
      <c r="CT28" s="37"/>
      <c r="CU28" s="33"/>
      <c r="CV28" s="34"/>
      <c r="CW28" s="35" t="str">
        <f t="shared" si="38"/>
        <v/>
      </c>
      <c r="CX28" s="36" t="str">
        <f t="shared" si="39"/>
        <v/>
      </c>
      <c r="CY28" s="37"/>
      <c r="CZ28" s="33"/>
      <c r="DA28" s="34"/>
      <c r="DB28" s="35" t="str">
        <f t="shared" si="40"/>
        <v/>
      </c>
      <c r="DC28" s="36" t="str">
        <f t="shared" si="41"/>
        <v/>
      </c>
      <c r="DD28" s="37"/>
      <c r="DE28" s="33"/>
      <c r="DF28" s="34"/>
      <c r="DG28" s="35" t="str">
        <f t="shared" si="42"/>
        <v/>
      </c>
      <c r="DH28" s="36" t="str">
        <f t="shared" si="43"/>
        <v/>
      </c>
      <c r="DI28" s="37"/>
      <c r="DJ28" s="33"/>
      <c r="DK28" s="34"/>
      <c r="DL28" s="35" t="str">
        <f t="shared" si="44"/>
        <v/>
      </c>
      <c r="DM28" s="36" t="str">
        <f t="shared" si="45"/>
        <v/>
      </c>
      <c r="DN28" s="37"/>
      <c r="DO28" s="33"/>
      <c r="DP28" s="34"/>
      <c r="DQ28" s="35" t="str">
        <f t="shared" si="46"/>
        <v/>
      </c>
      <c r="DR28" s="36" t="str">
        <f t="shared" si="47"/>
        <v/>
      </c>
      <c r="DS28" s="37"/>
      <c r="DT28" s="33"/>
      <c r="DU28" s="34"/>
      <c r="DV28" s="35" t="str">
        <f t="shared" si="48"/>
        <v/>
      </c>
      <c r="DW28" s="36" t="str">
        <f t="shared" si="49"/>
        <v/>
      </c>
      <c r="DX28" s="37"/>
      <c r="DY28" s="33"/>
      <c r="DZ28" s="34"/>
      <c r="EA28" s="35" t="str">
        <f t="shared" si="50"/>
        <v/>
      </c>
      <c r="EB28" s="36" t="str">
        <f t="shared" si="51"/>
        <v/>
      </c>
      <c r="EC28" s="37"/>
      <c r="ED28" s="33"/>
      <c r="EE28" s="34"/>
      <c r="EF28" s="35" t="str">
        <f t="shared" si="52"/>
        <v/>
      </c>
      <c r="EG28" s="36" t="str">
        <f t="shared" si="53"/>
        <v/>
      </c>
      <c r="EH28" s="37"/>
      <c r="EI28" s="33"/>
      <c r="EJ28" s="34"/>
      <c r="EK28" s="35" t="str">
        <f t="shared" si="54"/>
        <v/>
      </c>
      <c r="EL28" s="36" t="str">
        <f t="shared" si="55"/>
        <v/>
      </c>
      <c r="EM28" s="37"/>
      <c r="EN28" s="33"/>
      <c r="EO28" s="34"/>
      <c r="EP28" s="35" t="str">
        <f t="shared" si="56"/>
        <v/>
      </c>
      <c r="EQ28" s="36" t="str">
        <f t="shared" si="57"/>
        <v/>
      </c>
      <c r="ER28" s="37"/>
      <c r="ES28" s="33"/>
      <c r="ET28" s="34"/>
      <c r="EU28" s="35" t="str">
        <f t="shared" si="58"/>
        <v/>
      </c>
      <c r="EV28" s="36" t="str">
        <f t="shared" si="59"/>
        <v/>
      </c>
      <c r="EW28" s="37"/>
    </row>
    <row r="29" spans="1:153" ht="19.5" customHeight="1">
      <c r="A29" s="32">
        <f>IF(DAY(DATE(対象年度,4,26))&lt;&gt;26,"",26)</f>
        <v>26</v>
      </c>
      <c r="B29" s="32" t="str">
        <f>IF(DAY(DATE(対象年度,4,26))&lt;&gt;26,"",CHOOSE(WEEKDAY(DATE(対象年度,4,26),2),"月","火","水","木","金","土","日"))</f>
        <v>日</v>
      </c>
      <c r="C29" s="32" t="str">
        <f>IF(DAY(DATE(対象年度,4,26))&lt;&gt;26,"",IF(ISNUMBER(MATCH(DATE(対象年度,4,26),祝日リスト,0)),"祝",""))</f>
        <v/>
      </c>
      <c r="D29" s="33"/>
      <c r="E29" s="34"/>
      <c r="F29" s="35" t="str">
        <f t="shared" si="0"/>
        <v/>
      </c>
      <c r="G29" s="36" t="str">
        <f t="shared" si="1"/>
        <v/>
      </c>
      <c r="H29" s="37"/>
      <c r="I29" s="33"/>
      <c r="J29" s="34"/>
      <c r="K29" s="35" t="str">
        <f t="shared" si="2"/>
        <v/>
      </c>
      <c r="L29" s="36" t="str">
        <f t="shared" si="3"/>
        <v/>
      </c>
      <c r="M29" s="37"/>
      <c r="N29" s="33"/>
      <c r="O29" s="34"/>
      <c r="P29" s="35" t="str">
        <f t="shared" si="4"/>
        <v/>
      </c>
      <c r="Q29" s="36" t="str">
        <f t="shared" si="5"/>
        <v/>
      </c>
      <c r="R29" s="37"/>
      <c r="S29" s="33"/>
      <c r="T29" s="34"/>
      <c r="U29" s="35" t="str">
        <f t="shared" si="6"/>
        <v/>
      </c>
      <c r="V29" s="36" t="str">
        <f t="shared" si="7"/>
        <v/>
      </c>
      <c r="W29" s="37"/>
      <c r="X29" s="33"/>
      <c r="Y29" s="34"/>
      <c r="Z29" s="35" t="str">
        <f t="shared" si="8"/>
        <v/>
      </c>
      <c r="AA29" s="36" t="str">
        <f t="shared" si="9"/>
        <v/>
      </c>
      <c r="AB29" s="37"/>
      <c r="AC29" s="33"/>
      <c r="AD29" s="34"/>
      <c r="AE29" s="35" t="str">
        <f t="shared" si="10"/>
        <v/>
      </c>
      <c r="AF29" s="36" t="str">
        <f t="shared" si="11"/>
        <v/>
      </c>
      <c r="AG29" s="37"/>
      <c r="AH29" s="33"/>
      <c r="AI29" s="34"/>
      <c r="AJ29" s="35" t="str">
        <f t="shared" si="12"/>
        <v/>
      </c>
      <c r="AK29" s="36" t="str">
        <f t="shared" si="13"/>
        <v/>
      </c>
      <c r="AL29" s="37"/>
      <c r="AM29" s="33"/>
      <c r="AN29" s="34"/>
      <c r="AO29" s="35" t="str">
        <f t="shared" si="14"/>
        <v/>
      </c>
      <c r="AP29" s="36" t="str">
        <f t="shared" si="15"/>
        <v/>
      </c>
      <c r="AQ29" s="37"/>
      <c r="AR29" s="33"/>
      <c r="AS29" s="34"/>
      <c r="AT29" s="35" t="str">
        <f t="shared" si="16"/>
        <v/>
      </c>
      <c r="AU29" s="36" t="str">
        <f t="shared" si="17"/>
        <v/>
      </c>
      <c r="AV29" s="37"/>
      <c r="AW29" s="33"/>
      <c r="AX29" s="34"/>
      <c r="AY29" s="35" t="str">
        <f t="shared" si="18"/>
        <v/>
      </c>
      <c r="AZ29" s="36" t="str">
        <f t="shared" si="19"/>
        <v/>
      </c>
      <c r="BA29" s="37"/>
      <c r="BB29" s="33"/>
      <c r="BC29" s="34"/>
      <c r="BD29" s="35" t="str">
        <f t="shared" si="20"/>
        <v/>
      </c>
      <c r="BE29" s="36" t="str">
        <f t="shared" si="21"/>
        <v/>
      </c>
      <c r="BF29" s="37"/>
      <c r="BG29" s="33"/>
      <c r="BH29" s="34"/>
      <c r="BI29" s="35" t="str">
        <f t="shared" si="22"/>
        <v/>
      </c>
      <c r="BJ29" s="36" t="str">
        <f t="shared" si="23"/>
        <v/>
      </c>
      <c r="BK29" s="37"/>
      <c r="BL29" s="33"/>
      <c r="BM29" s="34"/>
      <c r="BN29" s="35" t="str">
        <f t="shared" si="24"/>
        <v/>
      </c>
      <c r="BO29" s="36" t="str">
        <f t="shared" si="25"/>
        <v/>
      </c>
      <c r="BP29" s="37"/>
      <c r="BQ29" s="33"/>
      <c r="BR29" s="34"/>
      <c r="BS29" s="35" t="str">
        <f t="shared" si="26"/>
        <v/>
      </c>
      <c r="BT29" s="36" t="str">
        <f t="shared" si="27"/>
        <v/>
      </c>
      <c r="BU29" s="37"/>
      <c r="BV29" s="33"/>
      <c r="BW29" s="34"/>
      <c r="BX29" s="35" t="str">
        <f t="shared" si="28"/>
        <v/>
      </c>
      <c r="BY29" s="36" t="str">
        <f t="shared" si="29"/>
        <v/>
      </c>
      <c r="BZ29" s="37"/>
      <c r="CA29" s="33"/>
      <c r="CB29" s="34"/>
      <c r="CC29" s="35" t="str">
        <f t="shared" si="30"/>
        <v/>
      </c>
      <c r="CD29" s="36" t="str">
        <f t="shared" si="31"/>
        <v/>
      </c>
      <c r="CE29" s="37"/>
      <c r="CF29" s="33"/>
      <c r="CG29" s="34"/>
      <c r="CH29" s="35" t="str">
        <f t="shared" si="32"/>
        <v/>
      </c>
      <c r="CI29" s="36" t="str">
        <f t="shared" si="33"/>
        <v/>
      </c>
      <c r="CJ29" s="37"/>
      <c r="CK29" s="33"/>
      <c r="CL29" s="34"/>
      <c r="CM29" s="35" t="str">
        <f t="shared" si="34"/>
        <v/>
      </c>
      <c r="CN29" s="36" t="str">
        <f t="shared" si="35"/>
        <v/>
      </c>
      <c r="CO29" s="37"/>
      <c r="CP29" s="33"/>
      <c r="CQ29" s="34"/>
      <c r="CR29" s="35" t="str">
        <f t="shared" si="36"/>
        <v/>
      </c>
      <c r="CS29" s="36" t="str">
        <f t="shared" si="37"/>
        <v/>
      </c>
      <c r="CT29" s="37"/>
      <c r="CU29" s="33"/>
      <c r="CV29" s="34"/>
      <c r="CW29" s="35" t="str">
        <f t="shared" si="38"/>
        <v/>
      </c>
      <c r="CX29" s="36" t="str">
        <f t="shared" si="39"/>
        <v/>
      </c>
      <c r="CY29" s="37"/>
      <c r="CZ29" s="33"/>
      <c r="DA29" s="34"/>
      <c r="DB29" s="35" t="str">
        <f t="shared" si="40"/>
        <v/>
      </c>
      <c r="DC29" s="36" t="str">
        <f t="shared" si="41"/>
        <v/>
      </c>
      <c r="DD29" s="37"/>
      <c r="DE29" s="33"/>
      <c r="DF29" s="34"/>
      <c r="DG29" s="35" t="str">
        <f t="shared" si="42"/>
        <v/>
      </c>
      <c r="DH29" s="36" t="str">
        <f t="shared" si="43"/>
        <v/>
      </c>
      <c r="DI29" s="37"/>
      <c r="DJ29" s="33"/>
      <c r="DK29" s="34"/>
      <c r="DL29" s="35" t="str">
        <f t="shared" si="44"/>
        <v/>
      </c>
      <c r="DM29" s="36" t="str">
        <f t="shared" si="45"/>
        <v/>
      </c>
      <c r="DN29" s="37"/>
      <c r="DO29" s="33"/>
      <c r="DP29" s="34"/>
      <c r="DQ29" s="35" t="str">
        <f t="shared" si="46"/>
        <v/>
      </c>
      <c r="DR29" s="36" t="str">
        <f t="shared" si="47"/>
        <v/>
      </c>
      <c r="DS29" s="37"/>
      <c r="DT29" s="33"/>
      <c r="DU29" s="34"/>
      <c r="DV29" s="35" t="str">
        <f t="shared" si="48"/>
        <v/>
      </c>
      <c r="DW29" s="36" t="str">
        <f t="shared" si="49"/>
        <v/>
      </c>
      <c r="DX29" s="37"/>
      <c r="DY29" s="33"/>
      <c r="DZ29" s="34"/>
      <c r="EA29" s="35" t="str">
        <f t="shared" si="50"/>
        <v/>
      </c>
      <c r="EB29" s="36" t="str">
        <f t="shared" si="51"/>
        <v/>
      </c>
      <c r="EC29" s="37"/>
      <c r="ED29" s="33"/>
      <c r="EE29" s="34"/>
      <c r="EF29" s="35" t="str">
        <f t="shared" si="52"/>
        <v/>
      </c>
      <c r="EG29" s="36" t="str">
        <f t="shared" si="53"/>
        <v/>
      </c>
      <c r="EH29" s="37"/>
      <c r="EI29" s="33"/>
      <c r="EJ29" s="34"/>
      <c r="EK29" s="35" t="str">
        <f t="shared" si="54"/>
        <v/>
      </c>
      <c r="EL29" s="36" t="str">
        <f t="shared" si="55"/>
        <v/>
      </c>
      <c r="EM29" s="37"/>
      <c r="EN29" s="33"/>
      <c r="EO29" s="34"/>
      <c r="EP29" s="35" t="str">
        <f t="shared" si="56"/>
        <v/>
      </c>
      <c r="EQ29" s="36" t="str">
        <f t="shared" si="57"/>
        <v/>
      </c>
      <c r="ER29" s="37"/>
      <c r="ES29" s="33"/>
      <c r="ET29" s="34"/>
      <c r="EU29" s="35" t="str">
        <f t="shared" si="58"/>
        <v/>
      </c>
      <c r="EV29" s="36" t="str">
        <f t="shared" si="59"/>
        <v/>
      </c>
      <c r="EW29" s="37"/>
    </row>
    <row r="30" spans="1:153" ht="19.5" customHeight="1">
      <c r="A30" s="32">
        <f>IF(DAY(DATE(対象年度,4,27))&lt;&gt;27,"",27)</f>
        <v>27</v>
      </c>
      <c r="B30" s="32" t="str">
        <f>IF(DAY(DATE(対象年度,4,27))&lt;&gt;27,"",CHOOSE(WEEKDAY(DATE(対象年度,4,27),2),"月","火","水","木","金","土","日"))</f>
        <v>月</v>
      </c>
      <c r="C30" s="32" t="str">
        <f>IF(DAY(DATE(対象年度,4,27))&lt;&gt;27,"",IF(ISNUMBER(MATCH(DATE(対象年度,4,27),祝日リスト,0)),"祝",""))</f>
        <v/>
      </c>
      <c r="D30" s="38" t="s">
        <v>104</v>
      </c>
      <c r="E30" s="34"/>
      <c r="F30" s="35" t="str">
        <f t="shared" si="0"/>
        <v>○</v>
      </c>
      <c r="G30" s="36" t="str">
        <f t="shared" si="1"/>
        <v/>
      </c>
      <c r="H30" s="37"/>
      <c r="I30" s="33"/>
      <c r="J30" s="34"/>
      <c r="K30" s="35" t="str">
        <f t="shared" si="2"/>
        <v/>
      </c>
      <c r="L30" s="36" t="str">
        <f t="shared" si="3"/>
        <v/>
      </c>
      <c r="M30" s="37"/>
      <c r="N30" s="33"/>
      <c r="O30" s="34"/>
      <c r="P30" s="35" t="str">
        <f t="shared" si="4"/>
        <v/>
      </c>
      <c r="Q30" s="36" t="str">
        <f t="shared" si="5"/>
        <v/>
      </c>
      <c r="R30" s="37"/>
      <c r="S30" s="33"/>
      <c r="T30" s="34"/>
      <c r="U30" s="35" t="str">
        <f t="shared" si="6"/>
        <v/>
      </c>
      <c r="V30" s="36" t="str">
        <f t="shared" si="7"/>
        <v/>
      </c>
      <c r="W30" s="37"/>
      <c r="X30" s="33"/>
      <c r="Y30" s="34"/>
      <c r="Z30" s="35" t="str">
        <f t="shared" si="8"/>
        <v/>
      </c>
      <c r="AA30" s="36" t="str">
        <f t="shared" si="9"/>
        <v/>
      </c>
      <c r="AB30" s="37"/>
      <c r="AC30" s="33"/>
      <c r="AD30" s="34"/>
      <c r="AE30" s="35" t="str">
        <f t="shared" si="10"/>
        <v/>
      </c>
      <c r="AF30" s="36" t="str">
        <f t="shared" si="11"/>
        <v/>
      </c>
      <c r="AG30" s="37"/>
      <c r="AH30" s="33"/>
      <c r="AI30" s="34"/>
      <c r="AJ30" s="35" t="str">
        <f t="shared" si="12"/>
        <v/>
      </c>
      <c r="AK30" s="36" t="str">
        <f t="shared" si="13"/>
        <v/>
      </c>
      <c r="AL30" s="37"/>
      <c r="AM30" s="33"/>
      <c r="AN30" s="34"/>
      <c r="AO30" s="35" t="str">
        <f t="shared" si="14"/>
        <v/>
      </c>
      <c r="AP30" s="36" t="str">
        <f t="shared" si="15"/>
        <v/>
      </c>
      <c r="AQ30" s="37"/>
      <c r="AR30" s="33"/>
      <c r="AS30" s="34"/>
      <c r="AT30" s="35" t="str">
        <f t="shared" si="16"/>
        <v/>
      </c>
      <c r="AU30" s="36" t="str">
        <f t="shared" si="17"/>
        <v/>
      </c>
      <c r="AV30" s="37"/>
      <c r="AW30" s="33"/>
      <c r="AX30" s="34"/>
      <c r="AY30" s="35" t="str">
        <f t="shared" si="18"/>
        <v/>
      </c>
      <c r="AZ30" s="36" t="str">
        <f t="shared" si="19"/>
        <v/>
      </c>
      <c r="BA30" s="37"/>
      <c r="BB30" s="38" t="s">
        <v>104</v>
      </c>
      <c r="BC30" s="34"/>
      <c r="BD30" s="35" t="str">
        <f t="shared" si="20"/>
        <v>○</v>
      </c>
      <c r="BE30" s="36" t="str">
        <f t="shared" si="21"/>
        <v/>
      </c>
      <c r="BF30" s="37"/>
      <c r="BG30" s="33"/>
      <c r="BH30" s="34"/>
      <c r="BI30" s="35" t="str">
        <f t="shared" si="22"/>
        <v/>
      </c>
      <c r="BJ30" s="36" t="str">
        <f t="shared" si="23"/>
        <v/>
      </c>
      <c r="BK30" s="37"/>
      <c r="BL30" s="33"/>
      <c r="BM30" s="34"/>
      <c r="BN30" s="35" t="str">
        <f t="shared" si="24"/>
        <v/>
      </c>
      <c r="BO30" s="36" t="str">
        <f t="shared" si="25"/>
        <v/>
      </c>
      <c r="BP30" s="37"/>
      <c r="BQ30" s="33"/>
      <c r="BR30" s="34"/>
      <c r="BS30" s="35" t="str">
        <f t="shared" si="26"/>
        <v/>
      </c>
      <c r="BT30" s="36" t="str">
        <f t="shared" si="27"/>
        <v/>
      </c>
      <c r="BU30" s="37"/>
      <c r="BV30" s="33"/>
      <c r="BW30" s="34"/>
      <c r="BX30" s="35" t="str">
        <f t="shared" si="28"/>
        <v/>
      </c>
      <c r="BY30" s="36" t="str">
        <f t="shared" si="29"/>
        <v/>
      </c>
      <c r="BZ30" s="37"/>
      <c r="CA30" s="33"/>
      <c r="CB30" s="34"/>
      <c r="CC30" s="35" t="str">
        <f t="shared" si="30"/>
        <v/>
      </c>
      <c r="CD30" s="36" t="str">
        <f t="shared" si="31"/>
        <v/>
      </c>
      <c r="CE30" s="37"/>
      <c r="CF30" s="33"/>
      <c r="CG30" s="34"/>
      <c r="CH30" s="35" t="str">
        <f t="shared" si="32"/>
        <v/>
      </c>
      <c r="CI30" s="36" t="str">
        <f t="shared" si="33"/>
        <v/>
      </c>
      <c r="CJ30" s="37"/>
      <c r="CK30" s="33"/>
      <c r="CL30" s="34"/>
      <c r="CM30" s="35" t="str">
        <f t="shared" si="34"/>
        <v/>
      </c>
      <c r="CN30" s="36" t="str">
        <f t="shared" si="35"/>
        <v/>
      </c>
      <c r="CO30" s="37"/>
      <c r="CP30" s="33"/>
      <c r="CQ30" s="34"/>
      <c r="CR30" s="35" t="str">
        <f t="shared" si="36"/>
        <v/>
      </c>
      <c r="CS30" s="36" t="str">
        <f t="shared" si="37"/>
        <v/>
      </c>
      <c r="CT30" s="37"/>
      <c r="CU30" s="33"/>
      <c r="CV30" s="34"/>
      <c r="CW30" s="35" t="str">
        <f t="shared" si="38"/>
        <v/>
      </c>
      <c r="CX30" s="36" t="str">
        <f t="shared" si="39"/>
        <v/>
      </c>
      <c r="CY30" s="37"/>
      <c r="CZ30" s="33"/>
      <c r="DA30" s="34"/>
      <c r="DB30" s="35" t="str">
        <f t="shared" si="40"/>
        <v/>
      </c>
      <c r="DC30" s="36" t="str">
        <f t="shared" si="41"/>
        <v/>
      </c>
      <c r="DD30" s="37"/>
      <c r="DE30" s="33"/>
      <c r="DF30" s="34"/>
      <c r="DG30" s="35" t="str">
        <f t="shared" si="42"/>
        <v/>
      </c>
      <c r="DH30" s="36" t="str">
        <f t="shared" si="43"/>
        <v/>
      </c>
      <c r="DI30" s="37"/>
      <c r="DJ30" s="33"/>
      <c r="DK30" s="34"/>
      <c r="DL30" s="35" t="str">
        <f t="shared" si="44"/>
        <v/>
      </c>
      <c r="DM30" s="36" t="str">
        <f t="shared" si="45"/>
        <v/>
      </c>
      <c r="DN30" s="37"/>
      <c r="DO30" s="33"/>
      <c r="DP30" s="34"/>
      <c r="DQ30" s="35" t="str">
        <f t="shared" si="46"/>
        <v/>
      </c>
      <c r="DR30" s="36" t="str">
        <f t="shared" si="47"/>
        <v/>
      </c>
      <c r="DS30" s="37"/>
      <c r="DT30" s="33"/>
      <c r="DU30" s="34"/>
      <c r="DV30" s="35" t="str">
        <f t="shared" si="48"/>
        <v/>
      </c>
      <c r="DW30" s="36" t="str">
        <f t="shared" si="49"/>
        <v/>
      </c>
      <c r="DX30" s="37"/>
      <c r="DY30" s="33"/>
      <c r="DZ30" s="34"/>
      <c r="EA30" s="35" t="str">
        <f t="shared" si="50"/>
        <v/>
      </c>
      <c r="EB30" s="36" t="str">
        <f t="shared" si="51"/>
        <v/>
      </c>
      <c r="EC30" s="37"/>
      <c r="ED30" s="33"/>
      <c r="EE30" s="34"/>
      <c r="EF30" s="35" t="str">
        <f t="shared" si="52"/>
        <v/>
      </c>
      <c r="EG30" s="36" t="str">
        <f t="shared" si="53"/>
        <v/>
      </c>
      <c r="EH30" s="37"/>
      <c r="EI30" s="33"/>
      <c r="EJ30" s="34"/>
      <c r="EK30" s="35" t="str">
        <f t="shared" si="54"/>
        <v/>
      </c>
      <c r="EL30" s="36" t="str">
        <f t="shared" si="55"/>
        <v/>
      </c>
      <c r="EM30" s="37"/>
      <c r="EN30" s="33"/>
      <c r="EO30" s="34"/>
      <c r="EP30" s="35" t="str">
        <f t="shared" si="56"/>
        <v/>
      </c>
      <c r="EQ30" s="36" t="str">
        <f t="shared" si="57"/>
        <v/>
      </c>
      <c r="ER30" s="37"/>
      <c r="ES30" s="33"/>
      <c r="ET30" s="34"/>
      <c r="EU30" s="35" t="str">
        <f t="shared" si="58"/>
        <v/>
      </c>
      <c r="EV30" s="36" t="str">
        <f t="shared" si="59"/>
        <v/>
      </c>
      <c r="EW30" s="37"/>
    </row>
    <row r="31" spans="1:153" ht="19.5" customHeight="1">
      <c r="A31" s="32">
        <f>IF(DAY(DATE(対象年度,4,28))&lt;&gt;28,"",28)</f>
        <v>28</v>
      </c>
      <c r="B31" s="32" t="str">
        <f>IF(DAY(DATE(対象年度,4,28))&lt;&gt;28,"",CHOOSE(WEEKDAY(DATE(対象年度,4,28),2),"月","火","水","木","金","土","日"))</f>
        <v>火</v>
      </c>
      <c r="C31" s="32" t="str">
        <f>IF(DAY(DATE(対象年度,4,28))&lt;&gt;28,"",IF(ISNUMBER(MATCH(DATE(対象年度,4,28),祝日リスト,0)),"祝",""))</f>
        <v/>
      </c>
      <c r="D31" s="38" t="s">
        <v>104</v>
      </c>
      <c r="E31" s="34"/>
      <c r="F31" s="35" t="str">
        <f t="shared" si="0"/>
        <v>○</v>
      </c>
      <c r="G31" s="36" t="str">
        <f t="shared" si="1"/>
        <v/>
      </c>
      <c r="H31" s="37"/>
      <c r="I31" s="33"/>
      <c r="J31" s="34"/>
      <c r="K31" s="35" t="str">
        <f t="shared" si="2"/>
        <v/>
      </c>
      <c r="L31" s="36" t="str">
        <f t="shared" si="3"/>
        <v/>
      </c>
      <c r="M31" s="37"/>
      <c r="N31" s="33"/>
      <c r="O31" s="34"/>
      <c r="P31" s="35" t="str">
        <f t="shared" si="4"/>
        <v/>
      </c>
      <c r="Q31" s="36" t="str">
        <f t="shared" si="5"/>
        <v/>
      </c>
      <c r="R31" s="37"/>
      <c r="S31" s="33"/>
      <c r="T31" s="34"/>
      <c r="U31" s="35" t="str">
        <f t="shared" si="6"/>
        <v/>
      </c>
      <c r="V31" s="36" t="str">
        <f t="shared" si="7"/>
        <v/>
      </c>
      <c r="W31" s="37"/>
      <c r="X31" s="33"/>
      <c r="Y31" s="34"/>
      <c r="Z31" s="35" t="str">
        <f t="shared" si="8"/>
        <v/>
      </c>
      <c r="AA31" s="36" t="str">
        <f t="shared" si="9"/>
        <v/>
      </c>
      <c r="AB31" s="37"/>
      <c r="AC31" s="33"/>
      <c r="AD31" s="34"/>
      <c r="AE31" s="35" t="str">
        <f t="shared" si="10"/>
        <v/>
      </c>
      <c r="AF31" s="36" t="str">
        <f t="shared" si="11"/>
        <v/>
      </c>
      <c r="AG31" s="37"/>
      <c r="AH31" s="33"/>
      <c r="AI31" s="34"/>
      <c r="AJ31" s="35" t="str">
        <f t="shared" si="12"/>
        <v/>
      </c>
      <c r="AK31" s="36" t="str">
        <f t="shared" si="13"/>
        <v/>
      </c>
      <c r="AL31" s="37"/>
      <c r="AM31" s="33"/>
      <c r="AN31" s="34"/>
      <c r="AO31" s="35" t="str">
        <f t="shared" si="14"/>
        <v/>
      </c>
      <c r="AP31" s="36" t="str">
        <f t="shared" si="15"/>
        <v/>
      </c>
      <c r="AQ31" s="37"/>
      <c r="AR31" s="33"/>
      <c r="AS31" s="34"/>
      <c r="AT31" s="35" t="str">
        <f t="shared" si="16"/>
        <v/>
      </c>
      <c r="AU31" s="36" t="str">
        <f t="shared" si="17"/>
        <v/>
      </c>
      <c r="AV31" s="37"/>
      <c r="AW31" s="33"/>
      <c r="AX31" s="34"/>
      <c r="AY31" s="35" t="str">
        <f t="shared" si="18"/>
        <v/>
      </c>
      <c r="AZ31" s="36" t="str">
        <f t="shared" si="19"/>
        <v/>
      </c>
      <c r="BA31" s="37"/>
      <c r="BB31" s="38" t="s">
        <v>104</v>
      </c>
      <c r="BC31" s="34"/>
      <c r="BD31" s="35" t="str">
        <f t="shared" si="20"/>
        <v>○</v>
      </c>
      <c r="BE31" s="36" t="str">
        <f t="shared" si="21"/>
        <v/>
      </c>
      <c r="BF31" s="37"/>
      <c r="BG31" s="33"/>
      <c r="BH31" s="34"/>
      <c r="BI31" s="35" t="str">
        <f t="shared" si="22"/>
        <v/>
      </c>
      <c r="BJ31" s="36" t="str">
        <f t="shared" si="23"/>
        <v/>
      </c>
      <c r="BK31" s="37"/>
      <c r="BL31" s="33"/>
      <c r="BM31" s="34"/>
      <c r="BN31" s="35" t="str">
        <f t="shared" si="24"/>
        <v/>
      </c>
      <c r="BO31" s="36" t="str">
        <f t="shared" si="25"/>
        <v/>
      </c>
      <c r="BP31" s="37"/>
      <c r="BQ31" s="33"/>
      <c r="BR31" s="34"/>
      <c r="BS31" s="35" t="str">
        <f t="shared" si="26"/>
        <v/>
      </c>
      <c r="BT31" s="36" t="str">
        <f t="shared" si="27"/>
        <v/>
      </c>
      <c r="BU31" s="37"/>
      <c r="BV31" s="33"/>
      <c r="BW31" s="34"/>
      <c r="BX31" s="35" t="str">
        <f t="shared" si="28"/>
        <v/>
      </c>
      <c r="BY31" s="36" t="str">
        <f t="shared" si="29"/>
        <v/>
      </c>
      <c r="BZ31" s="37"/>
      <c r="CA31" s="33"/>
      <c r="CB31" s="34"/>
      <c r="CC31" s="35" t="str">
        <f t="shared" si="30"/>
        <v/>
      </c>
      <c r="CD31" s="36" t="str">
        <f t="shared" si="31"/>
        <v/>
      </c>
      <c r="CE31" s="37"/>
      <c r="CF31" s="33"/>
      <c r="CG31" s="34"/>
      <c r="CH31" s="35" t="str">
        <f t="shared" si="32"/>
        <v/>
      </c>
      <c r="CI31" s="36" t="str">
        <f t="shared" si="33"/>
        <v/>
      </c>
      <c r="CJ31" s="37"/>
      <c r="CK31" s="33"/>
      <c r="CL31" s="34"/>
      <c r="CM31" s="35" t="str">
        <f t="shared" si="34"/>
        <v/>
      </c>
      <c r="CN31" s="36" t="str">
        <f t="shared" si="35"/>
        <v/>
      </c>
      <c r="CO31" s="37"/>
      <c r="CP31" s="33"/>
      <c r="CQ31" s="34"/>
      <c r="CR31" s="35" t="str">
        <f t="shared" si="36"/>
        <v/>
      </c>
      <c r="CS31" s="36" t="str">
        <f t="shared" si="37"/>
        <v/>
      </c>
      <c r="CT31" s="37"/>
      <c r="CU31" s="33"/>
      <c r="CV31" s="34"/>
      <c r="CW31" s="35" t="str">
        <f t="shared" si="38"/>
        <v/>
      </c>
      <c r="CX31" s="36" t="str">
        <f t="shared" si="39"/>
        <v/>
      </c>
      <c r="CY31" s="37"/>
      <c r="CZ31" s="33"/>
      <c r="DA31" s="34"/>
      <c r="DB31" s="35" t="str">
        <f t="shared" si="40"/>
        <v/>
      </c>
      <c r="DC31" s="36" t="str">
        <f t="shared" si="41"/>
        <v/>
      </c>
      <c r="DD31" s="37"/>
      <c r="DE31" s="33"/>
      <c r="DF31" s="34"/>
      <c r="DG31" s="35" t="str">
        <f t="shared" si="42"/>
        <v/>
      </c>
      <c r="DH31" s="36" t="str">
        <f t="shared" si="43"/>
        <v/>
      </c>
      <c r="DI31" s="37"/>
      <c r="DJ31" s="33"/>
      <c r="DK31" s="34"/>
      <c r="DL31" s="35" t="str">
        <f t="shared" si="44"/>
        <v/>
      </c>
      <c r="DM31" s="36" t="str">
        <f t="shared" si="45"/>
        <v/>
      </c>
      <c r="DN31" s="37"/>
      <c r="DO31" s="33"/>
      <c r="DP31" s="34"/>
      <c r="DQ31" s="35" t="str">
        <f t="shared" si="46"/>
        <v/>
      </c>
      <c r="DR31" s="36" t="str">
        <f t="shared" si="47"/>
        <v/>
      </c>
      <c r="DS31" s="37"/>
      <c r="DT31" s="33"/>
      <c r="DU31" s="34"/>
      <c r="DV31" s="35" t="str">
        <f t="shared" si="48"/>
        <v/>
      </c>
      <c r="DW31" s="36" t="str">
        <f t="shared" si="49"/>
        <v/>
      </c>
      <c r="DX31" s="37"/>
      <c r="DY31" s="33"/>
      <c r="DZ31" s="34"/>
      <c r="EA31" s="35" t="str">
        <f t="shared" si="50"/>
        <v/>
      </c>
      <c r="EB31" s="36" t="str">
        <f t="shared" si="51"/>
        <v/>
      </c>
      <c r="EC31" s="37"/>
      <c r="ED31" s="33"/>
      <c r="EE31" s="34"/>
      <c r="EF31" s="35" t="str">
        <f t="shared" si="52"/>
        <v/>
      </c>
      <c r="EG31" s="36" t="str">
        <f t="shared" si="53"/>
        <v/>
      </c>
      <c r="EH31" s="37"/>
      <c r="EI31" s="33"/>
      <c r="EJ31" s="34"/>
      <c r="EK31" s="35" t="str">
        <f t="shared" si="54"/>
        <v/>
      </c>
      <c r="EL31" s="36" t="str">
        <f t="shared" si="55"/>
        <v/>
      </c>
      <c r="EM31" s="37"/>
      <c r="EN31" s="33"/>
      <c r="EO31" s="34"/>
      <c r="EP31" s="35" t="str">
        <f t="shared" si="56"/>
        <v/>
      </c>
      <c r="EQ31" s="36" t="str">
        <f t="shared" si="57"/>
        <v/>
      </c>
      <c r="ER31" s="37"/>
      <c r="ES31" s="33"/>
      <c r="ET31" s="34"/>
      <c r="EU31" s="35" t="str">
        <f t="shared" si="58"/>
        <v/>
      </c>
      <c r="EV31" s="36" t="str">
        <f t="shared" si="59"/>
        <v/>
      </c>
      <c r="EW31" s="37"/>
    </row>
    <row r="32" spans="1:153" ht="19.5" customHeight="1">
      <c r="A32" s="32">
        <f>IF(DAY(DATE(対象年度,4,29))&lt;&gt;29,"",29)</f>
        <v>29</v>
      </c>
      <c r="B32" s="32" t="str">
        <f>IF(DAY(DATE(対象年度,4,29))&lt;&gt;29,"",CHOOSE(WEEKDAY(DATE(対象年度,4,29),2),"月","火","水","木","金","土","日"))</f>
        <v>水</v>
      </c>
      <c r="C32" s="32" t="str">
        <f>IF(DAY(DATE(対象年度,4,29))&lt;&gt;29,"",IF(ISNUMBER(MATCH(DATE(対象年度,4,29),祝日リスト,0)),"祝",""))</f>
        <v>祝</v>
      </c>
      <c r="D32" s="33"/>
      <c r="E32" s="34"/>
      <c r="F32" s="35" t="str">
        <f t="shared" si="0"/>
        <v/>
      </c>
      <c r="G32" s="36" t="str">
        <f t="shared" si="1"/>
        <v/>
      </c>
      <c r="H32" s="37"/>
      <c r="I32" s="33"/>
      <c r="J32" s="34"/>
      <c r="K32" s="35" t="str">
        <f t="shared" si="2"/>
        <v/>
      </c>
      <c r="L32" s="36" t="str">
        <f t="shared" si="3"/>
        <v/>
      </c>
      <c r="M32" s="37"/>
      <c r="N32" s="33"/>
      <c r="O32" s="34"/>
      <c r="P32" s="35" t="str">
        <f t="shared" si="4"/>
        <v/>
      </c>
      <c r="Q32" s="36" t="str">
        <f t="shared" si="5"/>
        <v/>
      </c>
      <c r="R32" s="37"/>
      <c r="S32" s="33"/>
      <c r="T32" s="34"/>
      <c r="U32" s="35" t="str">
        <f t="shared" si="6"/>
        <v/>
      </c>
      <c r="V32" s="36" t="str">
        <f t="shared" si="7"/>
        <v/>
      </c>
      <c r="W32" s="37"/>
      <c r="X32" s="33"/>
      <c r="Y32" s="34"/>
      <c r="Z32" s="35" t="str">
        <f t="shared" si="8"/>
        <v/>
      </c>
      <c r="AA32" s="36" t="str">
        <f t="shared" si="9"/>
        <v/>
      </c>
      <c r="AB32" s="37"/>
      <c r="AC32" s="33"/>
      <c r="AD32" s="34"/>
      <c r="AE32" s="35" t="str">
        <f t="shared" si="10"/>
        <v/>
      </c>
      <c r="AF32" s="36" t="str">
        <f t="shared" si="11"/>
        <v/>
      </c>
      <c r="AG32" s="37"/>
      <c r="AH32" s="33"/>
      <c r="AI32" s="34"/>
      <c r="AJ32" s="35" t="str">
        <f t="shared" si="12"/>
        <v/>
      </c>
      <c r="AK32" s="36" t="str">
        <f t="shared" si="13"/>
        <v/>
      </c>
      <c r="AL32" s="37"/>
      <c r="AM32" s="33"/>
      <c r="AN32" s="34"/>
      <c r="AO32" s="35" t="str">
        <f t="shared" si="14"/>
        <v/>
      </c>
      <c r="AP32" s="36" t="str">
        <f t="shared" si="15"/>
        <v/>
      </c>
      <c r="AQ32" s="37"/>
      <c r="AR32" s="33"/>
      <c r="AS32" s="34"/>
      <c r="AT32" s="35" t="str">
        <f t="shared" si="16"/>
        <v/>
      </c>
      <c r="AU32" s="36" t="str">
        <f t="shared" si="17"/>
        <v/>
      </c>
      <c r="AV32" s="37"/>
      <c r="AW32" s="33"/>
      <c r="AX32" s="34"/>
      <c r="AY32" s="35" t="str">
        <f t="shared" si="18"/>
        <v/>
      </c>
      <c r="AZ32" s="36" t="str">
        <f t="shared" si="19"/>
        <v/>
      </c>
      <c r="BA32" s="37"/>
      <c r="BB32" s="33"/>
      <c r="BC32" s="34"/>
      <c r="BD32" s="35" t="str">
        <f t="shared" si="20"/>
        <v/>
      </c>
      <c r="BE32" s="36" t="str">
        <f t="shared" si="21"/>
        <v/>
      </c>
      <c r="BF32" s="37"/>
      <c r="BG32" s="33"/>
      <c r="BH32" s="34"/>
      <c r="BI32" s="35" t="str">
        <f t="shared" si="22"/>
        <v/>
      </c>
      <c r="BJ32" s="36" t="str">
        <f t="shared" si="23"/>
        <v/>
      </c>
      <c r="BK32" s="37"/>
      <c r="BL32" s="33"/>
      <c r="BM32" s="34"/>
      <c r="BN32" s="35" t="str">
        <f t="shared" si="24"/>
        <v/>
      </c>
      <c r="BO32" s="36" t="str">
        <f t="shared" si="25"/>
        <v/>
      </c>
      <c r="BP32" s="37"/>
      <c r="BQ32" s="33"/>
      <c r="BR32" s="34"/>
      <c r="BS32" s="35" t="str">
        <f t="shared" si="26"/>
        <v/>
      </c>
      <c r="BT32" s="36" t="str">
        <f t="shared" si="27"/>
        <v/>
      </c>
      <c r="BU32" s="37"/>
      <c r="BV32" s="33"/>
      <c r="BW32" s="34"/>
      <c r="BX32" s="35" t="str">
        <f t="shared" si="28"/>
        <v/>
      </c>
      <c r="BY32" s="36" t="str">
        <f t="shared" si="29"/>
        <v/>
      </c>
      <c r="BZ32" s="37"/>
      <c r="CA32" s="33"/>
      <c r="CB32" s="34"/>
      <c r="CC32" s="35" t="str">
        <f t="shared" si="30"/>
        <v/>
      </c>
      <c r="CD32" s="36" t="str">
        <f t="shared" si="31"/>
        <v/>
      </c>
      <c r="CE32" s="37"/>
      <c r="CF32" s="33"/>
      <c r="CG32" s="34"/>
      <c r="CH32" s="35" t="str">
        <f t="shared" si="32"/>
        <v/>
      </c>
      <c r="CI32" s="36" t="str">
        <f t="shared" si="33"/>
        <v/>
      </c>
      <c r="CJ32" s="37"/>
      <c r="CK32" s="33"/>
      <c r="CL32" s="34"/>
      <c r="CM32" s="35" t="str">
        <f t="shared" si="34"/>
        <v/>
      </c>
      <c r="CN32" s="36" t="str">
        <f t="shared" si="35"/>
        <v/>
      </c>
      <c r="CO32" s="37"/>
      <c r="CP32" s="33"/>
      <c r="CQ32" s="34"/>
      <c r="CR32" s="35" t="str">
        <f t="shared" si="36"/>
        <v/>
      </c>
      <c r="CS32" s="36" t="str">
        <f t="shared" si="37"/>
        <v/>
      </c>
      <c r="CT32" s="37"/>
      <c r="CU32" s="33"/>
      <c r="CV32" s="34"/>
      <c r="CW32" s="35" t="str">
        <f t="shared" si="38"/>
        <v/>
      </c>
      <c r="CX32" s="36" t="str">
        <f t="shared" si="39"/>
        <v/>
      </c>
      <c r="CY32" s="37"/>
      <c r="CZ32" s="33"/>
      <c r="DA32" s="34"/>
      <c r="DB32" s="35" t="str">
        <f t="shared" si="40"/>
        <v/>
      </c>
      <c r="DC32" s="36" t="str">
        <f t="shared" si="41"/>
        <v/>
      </c>
      <c r="DD32" s="37"/>
      <c r="DE32" s="33"/>
      <c r="DF32" s="34"/>
      <c r="DG32" s="35" t="str">
        <f t="shared" si="42"/>
        <v/>
      </c>
      <c r="DH32" s="36" t="str">
        <f t="shared" si="43"/>
        <v/>
      </c>
      <c r="DI32" s="37"/>
      <c r="DJ32" s="33"/>
      <c r="DK32" s="34"/>
      <c r="DL32" s="35" t="str">
        <f t="shared" si="44"/>
        <v/>
      </c>
      <c r="DM32" s="36" t="str">
        <f t="shared" si="45"/>
        <v/>
      </c>
      <c r="DN32" s="37"/>
      <c r="DO32" s="33"/>
      <c r="DP32" s="34"/>
      <c r="DQ32" s="35" t="str">
        <f t="shared" si="46"/>
        <v/>
      </c>
      <c r="DR32" s="36" t="str">
        <f t="shared" si="47"/>
        <v/>
      </c>
      <c r="DS32" s="37"/>
      <c r="DT32" s="33"/>
      <c r="DU32" s="34"/>
      <c r="DV32" s="35" t="str">
        <f t="shared" si="48"/>
        <v/>
      </c>
      <c r="DW32" s="36" t="str">
        <f t="shared" si="49"/>
        <v/>
      </c>
      <c r="DX32" s="37"/>
      <c r="DY32" s="33"/>
      <c r="DZ32" s="34"/>
      <c r="EA32" s="35" t="str">
        <f t="shared" si="50"/>
        <v/>
      </c>
      <c r="EB32" s="36" t="str">
        <f t="shared" si="51"/>
        <v/>
      </c>
      <c r="EC32" s="37"/>
      <c r="ED32" s="33"/>
      <c r="EE32" s="34"/>
      <c r="EF32" s="35" t="str">
        <f t="shared" si="52"/>
        <v/>
      </c>
      <c r="EG32" s="36" t="str">
        <f t="shared" si="53"/>
        <v/>
      </c>
      <c r="EH32" s="37"/>
      <c r="EI32" s="33"/>
      <c r="EJ32" s="34"/>
      <c r="EK32" s="35" t="str">
        <f t="shared" si="54"/>
        <v/>
      </c>
      <c r="EL32" s="36" t="str">
        <f t="shared" si="55"/>
        <v/>
      </c>
      <c r="EM32" s="37"/>
      <c r="EN32" s="33"/>
      <c r="EO32" s="34"/>
      <c r="EP32" s="35" t="str">
        <f t="shared" si="56"/>
        <v/>
      </c>
      <c r="EQ32" s="36" t="str">
        <f t="shared" si="57"/>
        <v/>
      </c>
      <c r="ER32" s="37"/>
      <c r="ES32" s="33"/>
      <c r="ET32" s="34"/>
      <c r="EU32" s="35" t="str">
        <f t="shared" si="58"/>
        <v/>
      </c>
      <c r="EV32" s="36" t="str">
        <f t="shared" si="59"/>
        <v/>
      </c>
      <c r="EW32" s="37"/>
    </row>
    <row r="33" spans="1:153" ht="19.5" customHeight="1">
      <c r="A33" s="32">
        <f>IF(DAY(DATE(対象年度,4,30))&lt;&gt;30,"",30)</f>
        <v>30</v>
      </c>
      <c r="B33" s="32" t="str">
        <f>IF(DAY(DATE(対象年度,4,30))&lt;&gt;30,"",CHOOSE(WEEKDAY(DATE(対象年度,4,30),2),"月","火","水","木","金","土","日"))</f>
        <v>木</v>
      </c>
      <c r="C33" s="32" t="str">
        <f>IF(DAY(DATE(対象年度,4,30))&lt;&gt;30,"",IF(ISNUMBER(MATCH(DATE(対象年度,4,30),祝日リスト,0)),"祝",""))</f>
        <v/>
      </c>
      <c r="D33" s="38" t="s">
        <v>104</v>
      </c>
      <c r="E33" s="34"/>
      <c r="F33" s="35" t="str">
        <f t="shared" si="0"/>
        <v>○</v>
      </c>
      <c r="G33" s="36" t="str">
        <f t="shared" si="1"/>
        <v/>
      </c>
      <c r="H33" s="37"/>
      <c r="I33" s="33"/>
      <c r="J33" s="34"/>
      <c r="K33" s="35" t="str">
        <f t="shared" si="2"/>
        <v/>
      </c>
      <c r="L33" s="36" t="str">
        <f t="shared" si="3"/>
        <v/>
      </c>
      <c r="M33" s="37"/>
      <c r="N33" s="33"/>
      <c r="O33" s="34"/>
      <c r="P33" s="35" t="str">
        <f t="shared" si="4"/>
        <v/>
      </c>
      <c r="Q33" s="36" t="str">
        <f t="shared" si="5"/>
        <v/>
      </c>
      <c r="R33" s="37"/>
      <c r="S33" s="33"/>
      <c r="T33" s="34"/>
      <c r="U33" s="35" t="str">
        <f t="shared" si="6"/>
        <v/>
      </c>
      <c r="V33" s="36" t="str">
        <f t="shared" si="7"/>
        <v/>
      </c>
      <c r="W33" s="37"/>
      <c r="X33" s="33"/>
      <c r="Y33" s="34"/>
      <c r="Z33" s="35" t="str">
        <f t="shared" si="8"/>
        <v/>
      </c>
      <c r="AA33" s="36" t="str">
        <f t="shared" si="9"/>
        <v/>
      </c>
      <c r="AB33" s="37"/>
      <c r="AC33" s="33"/>
      <c r="AD33" s="34"/>
      <c r="AE33" s="35" t="str">
        <f t="shared" si="10"/>
        <v/>
      </c>
      <c r="AF33" s="36" t="str">
        <f t="shared" si="11"/>
        <v/>
      </c>
      <c r="AG33" s="37"/>
      <c r="AH33" s="33"/>
      <c r="AI33" s="34"/>
      <c r="AJ33" s="35" t="str">
        <f t="shared" si="12"/>
        <v/>
      </c>
      <c r="AK33" s="36" t="str">
        <f t="shared" si="13"/>
        <v/>
      </c>
      <c r="AL33" s="37"/>
      <c r="AM33" s="33"/>
      <c r="AN33" s="34"/>
      <c r="AO33" s="35" t="str">
        <f t="shared" si="14"/>
        <v/>
      </c>
      <c r="AP33" s="36" t="str">
        <f t="shared" si="15"/>
        <v/>
      </c>
      <c r="AQ33" s="37"/>
      <c r="AR33" s="33"/>
      <c r="AS33" s="34"/>
      <c r="AT33" s="35" t="str">
        <f t="shared" si="16"/>
        <v/>
      </c>
      <c r="AU33" s="36" t="str">
        <f t="shared" si="17"/>
        <v/>
      </c>
      <c r="AV33" s="37"/>
      <c r="AW33" s="33"/>
      <c r="AX33" s="34"/>
      <c r="AY33" s="35" t="str">
        <f t="shared" si="18"/>
        <v/>
      </c>
      <c r="AZ33" s="36" t="str">
        <f t="shared" si="19"/>
        <v/>
      </c>
      <c r="BA33" s="37"/>
      <c r="BB33" s="38" t="s">
        <v>104</v>
      </c>
      <c r="BC33" s="34"/>
      <c r="BD33" s="35" t="str">
        <f t="shared" si="20"/>
        <v>○</v>
      </c>
      <c r="BE33" s="36" t="str">
        <f t="shared" si="21"/>
        <v/>
      </c>
      <c r="BF33" s="37"/>
      <c r="BG33" s="33"/>
      <c r="BH33" s="34"/>
      <c r="BI33" s="35" t="str">
        <f t="shared" si="22"/>
        <v/>
      </c>
      <c r="BJ33" s="36" t="str">
        <f t="shared" si="23"/>
        <v/>
      </c>
      <c r="BK33" s="37"/>
      <c r="BL33" s="33"/>
      <c r="BM33" s="34"/>
      <c r="BN33" s="35" t="str">
        <f t="shared" si="24"/>
        <v/>
      </c>
      <c r="BO33" s="36" t="str">
        <f t="shared" si="25"/>
        <v/>
      </c>
      <c r="BP33" s="37"/>
      <c r="BQ33" s="33"/>
      <c r="BR33" s="34"/>
      <c r="BS33" s="35" t="str">
        <f t="shared" si="26"/>
        <v/>
      </c>
      <c r="BT33" s="36" t="str">
        <f t="shared" si="27"/>
        <v/>
      </c>
      <c r="BU33" s="37"/>
      <c r="BV33" s="33"/>
      <c r="BW33" s="34"/>
      <c r="BX33" s="35" t="str">
        <f t="shared" si="28"/>
        <v/>
      </c>
      <c r="BY33" s="36" t="str">
        <f t="shared" si="29"/>
        <v/>
      </c>
      <c r="BZ33" s="37"/>
      <c r="CA33" s="33"/>
      <c r="CB33" s="34"/>
      <c r="CC33" s="35" t="str">
        <f t="shared" si="30"/>
        <v/>
      </c>
      <c r="CD33" s="36" t="str">
        <f t="shared" si="31"/>
        <v/>
      </c>
      <c r="CE33" s="37"/>
      <c r="CF33" s="33"/>
      <c r="CG33" s="34"/>
      <c r="CH33" s="35" t="str">
        <f t="shared" si="32"/>
        <v/>
      </c>
      <c r="CI33" s="36" t="str">
        <f t="shared" si="33"/>
        <v/>
      </c>
      <c r="CJ33" s="37"/>
      <c r="CK33" s="33"/>
      <c r="CL33" s="34"/>
      <c r="CM33" s="35" t="str">
        <f t="shared" si="34"/>
        <v/>
      </c>
      <c r="CN33" s="36" t="str">
        <f t="shared" si="35"/>
        <v/>
      </c>
      <c r="CO33" s="37"/>
      <c r="CP33" s="33"/>
      <c r="CQ33" s="34"/>
      <c r="CR33" s="35" t="str">
        <f t="shared" si="36"/>
        <v/>
      </c>
      <c r="CS33" s="36" t="str">
        <f t="shared" si="37"/>
        <v/>
      </c>
      <c r="CT33" s="37"/>
      <c r="CU33" s="33"/>
      <c r="CV33" s="34"/>
      <c r="CW33" s="35" t="str">
        <f t="shared" si="38"/>
        <v/>
      </c>
      <c r="CX33" s="36" t="str">
        <f t="shared" si="39"/>
        <v/>
      </c>
      <c r="CY33" s="37"/>
      <c r="CZ33" s="33"/>
      <c r="DA33" s="34"/>
      <c r="DB33" s="35" t="str">
        <f t="shared" si="40"/>
        <v/>
      </c>
      <c r="DC33" s="36" t="str">
        <f t="shared" si="41"/>
        <v/>
      </c>
      <c r="DD33" s="37"/>
      <c r="DE33" s="33"/>
      <c r="DF33" s="34"/>
      <c r="DG33" s="35" t="str">
        <f t="shared" si="42"/>
        <v/>
      </c>
      <c r="DH33" s="36" t="str">
        <f t="shared" si="43"/>
        <v/>
      </c>
      <c r="DI33" s="37"/>
      <c r="DJ33" s="33"/>
      <c r="DK33" s="34"/>
      <c r="DL33" s="35" t="str">
        <f t="shared" si="44"/>
        <v/>
      </c>
      <c r="DM33" s="36" t="str">
        <f t="shared" si="45"/>
        <v/>
      </c>
      <c r="DN33" s="37"/>
      <c r="DO33" s="33"/>
      <c r="DP33" s="34"/>
      <c r="DQ33" s="35" t="str">
        <f t="shared" si="46"/>
        <v/>
      </c>
      <c r="DR33" s="36" t="str">
        <f t="shared" si="47"/>
        <v/>
      </c>
      <c r="DS33" s="37"/>
      <c r="DT33" s="33"/>
      <c r="DU33" s="34"/>
      <c r="DV33" s="35" t="str">
        <f t="shared" si="48"/>
        <v/>
      </c>
      <c r="DW33" s="36" t="str">
        <f t="shared" si="49"/>
        <v/>
      </c>
      <c r="DX33" s="37"/>
      <c r="DY33" s="33"/>
      <c r="DZ33" s="34"/>
      <c r="EA33" s="35" t="str">
        <f t="shared" si="50"/>
        <v/>
      </c>
      <c r="EB33" s="36" t="str">
        <f t="shared" si="51"/>
        <v/>
      </c>
      <c r="EC33" s="37"/>
      <c r="ED33" s="33"/>
      <c r="EE33" s="34"/>
      <c r="EF33" s="35" t="str">
        <f t="shared" si="52"/>
        <v/>
      </c>
      <c r="EG33" s="36" t="str">
        <f t="shared" si="53"/>
        <v/>
      </c>
      <c r="EH33" s="37"/>
      <c r="EI33" s="33"/>
      <c r="EJ33" s="34"/>
      <c r="EK33" s="35" t="str">
        <f t="shared" si="54"/>
        <v/>
      </c>
      <c r="EL33" s="36" t="str">
        <f t="shared" si="55"/>
        <v/>
      </c>
      <c r="EM33" s="37"/>
      <c r="EN33" s="33"/>
      <c r="EO33" s="34"/>
      <c r="EP33" s="35" t="str">
        <f t="shared" si="56"/>
        <v/>
      </c>
      <c r="EQ33" s="36" t="str">
        <f t="shared" si="57"/>
        <v/>
      </c>
      <c r="ER33" s="37"/>
      <c r="ES33" s="33"/>
      <c r="ET33" s="34"/>
      <c r="EU33" s="35" t="str">
        <f t="shared" si="58"/>
        <v/>
      </c>
      <c r="EV33" s="36" t="str">
        <f t="shared" si="59"/>
        <v/>
      </c>
      <c r="EW33" s="37"/>
    </row>
    <row r="34" spans="1:153" ht="19.5" customHeight="1">
      <c r="A34" s="39" t="str">
        <f>IF(DAY(DATE(対象年度,4,31))&lt;&gt;31,"",31)</f>
        <v/>
      </c>
      <c r="B34" s="39" t="str">
        <f>IF(DAY(DATE(対象年度,4,31))&lt;&gt;31,"",CHOOSE(WEEKDAY(DATE(対象年度,4,31),2),"月","火","水","木","金","土","日"))</f>
        <v/>
      </c>
      <c r="C34" s="39" t="str">
        <f>IF(DAY(DATE(対象年度,4,31))&lt;&gt;31,"",IF(ISNUMBER(MATCH(DATE(対象年度,4,31),祝日リスト,0)),"祝",""))</f>
        <v/>
      </c>
      <c r="D34" s="40"/>
      <c r="E34" s="41"/>
      <c r="F34" s="42" t="str">
        <f t="shared" si="0"/>
        <v/>
      </c>
      <c r="G34" s="43" t="str">
        <f t="shared" si="1"/>
        <v/>
      </c>
      <c r="H34" s="44"/>
      <c r="I34" s="40"/>
      <c r="J34" s="41"/>
      <c r="K34" s="42" t="str">
        <f t="shared" si="2"/>
        <v/>
      </c>
      <c r="L34" s="43" t="str">
        <f t="shared" si="3"/>
        <v/>
      </c>
      <c r="M34" s="44"/>
      <c r="N34" s="40"/>
      <c r="O34" s="41"/>
      <c r="P34" s="42" t="str">
        <f t="shared" si="4"/>
        <v/>
      </c>
      <c r="Q34" s="43" t="str">
        <f t="shared" si="5"/>
        <v/>
      </c>
      <c r="R34" s="44"/>
      <c r="S34" s="40"/>
      <c r="T34" s="41"/>
      <c r="U34" s="42" t="str">
        <f t="shared" si="6"/>
        <v/>
      </c>
      <c r="V34" s="43" t="str">
        <f t="shared" si="7"/>
        <v/>
      </c>
      <c r="W34" s="44"/>
      <c r="X34" s="40"/>
      <c r="Y34" s="41"/>
      <c r="Z34" s="42" t="str">
        <f t="shared" si="8"/>
        <v/>
      </c>
      <c r="AA34" s="43" t="str">
        <f t="shared" si="9"/>
        <v/>
      </c>
      <c r="AB34" s="44"/>
      <c r="AC34" s="40"/>
      <c r="AD34" s="41"/>
      <c r="AE34" s="42" t="str">
        <f t="shared" si="10"/>
        <v/>
      </c>
      <c r="AF34" s="43" t="str">
        <f t="shared" si="11"/>
        <v/>
      </c>
      <c r="AG34" s="44"/>
      <c r="AH34" s="40"/>
      <c r="AI34" s="41"/>
      <c r="AJ34" s="42" t="str">
        <f t="shared" si="12"/>
        <v/>
      </c>
      <c r="AK34" s="43" t="str">
        <f t="shared" si="13"/>
        <v/>
      </c>
      <c r="AL34" s="44"/>
      <c r="AM34" s="40"/>
      <c r="AN34" s="41"/>
      <c r="AO34" s="42" t="str">
        <f t="shared" si="14"/>
        <v/>
      </c>
      <c r="AP34" s="43" t="str">
        <f t="shared" si="15"/>
        <v/>
      </c>
      <c r="AQ34" s="44"/>
      <c r="AR34" s="40"/>
      <c r="AS34" s="41"/>
      <c r="AT34" s="42" t="str">
        <f t="shared" si="16"/>
        <v/>
      </c>
      <c r="AU34" s="43" t="str">
        <f t="shared" si="17"/>
        <v/>
      </c>
      <c r="AV34" s="44"/>
      <c r="AW34" s="40"/>
      <c r="AX34" s="41"/>
      <c r="AY34" s="42" t="str">
        <f t="shared" si="18"/>
        <v/>
      </c>
      <c r="AZ34" s="43" t="str">
        <f t="shared" si="19"/>
        <v/>
      </c>
      <c r="BA34" s="44"/>
      <c r="BB34" s="40"/>
      <c r="BC34" s="41"/>
      <c r="BD34" s="42" t="str">
        <f t="shared" si="20"/>
        <v/>
      </c>
      <c r="BE34" s="43" t="str">
        <f t="shared" si="21"/>
        <v/>
      </c>
      <c r="BF34" s="44"/>
      <c r="BG34" s="40"/>
      <c r="BH34" s="41"/>
      <c r="BI34" s="42" t="str">
        <f t="shared" si="22"/>
        <v/>
      </c>
      <c r="BJ34" s="43" t="str">
        <f t="shared" si="23"/>
        <v/>
      </c>
      <c r="BK34" s="44"/>
      <c r="BL34" s="40"/>
      <c r="BM34" s="41"/>
      <c r="BN34" s="42" t="str">
        <f t="shared" si="24"/>
        <v/>
      </c>
      <c r="BO34" s="43" t="str">
        <f t="shared" si="25"/>
        <v/>
      </c>
      <c r="BP34" s="44"/>
      <c r="BQ34" s="40"/>
      <c r="BR34" s="41"/>
      <c r="BS34" s="42" t="str">
        <f t="shared" si="26"/>
        <v/>
      </c>
      <c r="BT34" s="43" t="str">
        <f t="shared" si="27"/>
        <v/>
      </c>
      <c r="BU34" s="44"/>
      <c r="BV34" s="40"/>
      <c r="BW34" s="41"/>
      <c r="BX34" s="42" t="str">
        <f t="shared" si="28"/>
        <v/>
      </c>
      <c r="BY34" s="43" t="str">
        <f t="shared" si="29"/>
        <v/>
      </c>
      <c r="BZ34" s="44"/>
      <c r="CA34" s="40"/>
      <c r="CB34" s="41"/>
      <c r="CC34" s="42" t="str">
        <f t="shared" si="30"/>
        <v/>
      </c>
      <c r="CD34" s="43" t="str">
        <f t="shared" si="31"/>
        <v/>
      </c>
      <c r="CE34" s="44"/>
      <c r="CF34" s="40"/>
      <c r="CG34" s="41"/>
      <c r="CH34" s="42" t="str">
        <f t="shared" si="32"/>
        <v/>
      </c>
      <c r="CI34" s="43" t="str">
        <f t="shared" si="33"/>
        <v/>
      </c>
      <c r="CJ34" s="44"/>
      <c r="CK34" s="40"/>
      <c r="CL34" s="41"/>
      <c r="CM34" s="42" t="str">
        <f t="shared" si="34"/>
        <v/>
      </c>
      <c r="CN34" s="43" t="str">
        <f t="shared" si="35"/>
        <v/>
      </c>
      <c r="CO34" s="44"/>
      <c r="CP34" s="40"/>
      <c r="CQ34" s="41"/>
      <c r="CR34" s="42" t="str">
        <f t="shared" si="36"/>
        <v/>
      </c>
      <c r="CS34" s="43" t="str">
        <f t="shared" si="37"/>
        <v/>
      </c>
      <c r="CT34" s="44"/>
      <c r="CU34" s="40"/>
      <c r="CV34" s="41"/>
      <c r="CW34" s="42" t="str">
        <f t="shared" si="38"/>
        <v/>
      </c>
      <c r="CX34" s="43" t="str">
        <f t="shared" si="39"/>
        <v/>
      </c>
      <c r="CY34" s="44"/>
      <c r="CZ34" s="40"/>
      <c r="DA34" s="41"/>
      <c r="DB34" s="42" t="str">
        <f t="shared" si="40"/>
        <v/>
      </c>
      <c r="DC34" s="43" t="str">
        <f t="shared" si="41"/>
        <v/>
      </c>
      <c r="DD34" s="44"/>
      <c r="DE34" s="40"/>
      <c r="DF34" s="41"/>
      <c r="DG34" s="42" t="str">
        <f t="shared" si="42"/>
        <v/>
      </c>
      <c r="DH34" s="43" t="str">
        <f t="shared" si="43"/>
        <v/>
      </c>
      <c r="DI34" s="44"/>
      <c r="DJ34" s="40"/>
      <c r="DK34" s="41"/>
      <c r="DL34" s="42" t="str">
        <f t="shared" si="44"/>
        <v/>
      </c>
      <c r="DM34" s="43" t="str">
        <f t="shared" si="45"/>
        <v/>
      </c>
      <c r="DN34" s="44"/>
      <c r="DO34" s="40"/>
      <c r="DP34" s="41"/>
      <c r="DQ34" s="42" t="str">
        <f t="shared" si="46"/>
        <v/>
      </c>
      <c r="DR34" s="43" t="str">
        <f t="shared" si="47"/>
        <v/>
      </c>
      <c r="DS34" s="44"/>
      <c r="DT34" s="40"/>
      <c r="DU34" s="41"/>
      <c r="DV34" s="42" t="str">
        <f t="shared" si="48"/>
        <v/>
      </c>
      <c r="DW34" s="43" t="str">
        <f t="shared" si="49"/>
        <v/>
      </c>
      <c r="DX34" s="44"/>
      <c r="DY34" s="40"/>
      <c r="DZ34" s="41"/>
      <c r="EA34" s="42" t="str">
        <f t="shared" si="50"/>
        <v/>
      </c>
      <c r="EB34" s="43" t="str">
        <f t="shared" si="51"/>
        <v/>
      </c>
      <c r="EC34" s="44"/>
      <c r="ED34" s="40"/>
      <c r="EE34" s="41"/>
      <c r="EF34" s="42" t="str">
        <f t="shared" si="52"/>
        <v/>
      </c>
      <c r="EG34" s="43" t="str">
        <f t="shared" si="53"/>
        <v/>
      </c>
      <c r="EH34" s="44"/>
      <c r="EI34" s="40"/>
      <c r="EJ34" s="41"/>
      <c r="EK34" s="42" t="str">
        <f t="shared" si="54"/>
        <v/>
      </c>
      <c r="EL34" s="43" t="str">
        <f t="shared" si="55"/>
        <v/>
      </c>
      <c r="EM34" s="44"/>
      <c r="EN34" s="40"/>
      <c r="EO34" s="41"/>
      <c r="EP34" s="42" t="str">
        <f t="shared" si="56"/>
        <v/>
      </c>
      <c r="EQ34" s="43" t="str">
        <f t="shared" si="57"/>
        <v/>
      </c>
      <c r="ER34" s="44"/>
      <c r="ES34" s="40"/>
      <c r="ET34" s="41"/>
      <c r="EU34" s="42" t="str">
        <f t="shared" si="58"/>
        <v/>
      </c>
      <c r="EV34" s="43" t="str">
        <f t="shared" si="59"/>
        <v/>
      </c>
      <c r="EW34" s="44"/>
    </row>
    <row r="35" spans="1:153" ht="21.75" customHeight="1">
      <c r="A35" s="98" t="s">
        <v>120</v>
      </c>
      <c r="B35" s="98"/>
      <c r="C35" s="98"/>
      <c r="D35" s="99">
        <f>COUNTIF(F4:F34,"○")</f>
        <v>21</v>
      </c>
      <c r="E35" s="99"/>
      <c r="F35" s="99"/>
      <c r="G35" s="99"/>
      <c r="H35" s="99"/>
      <c r="I35" s="99">
        <f>COUNTIF(K4:K34,"○")</f>
        <v>11</v>
      </c>
      <c r="J35" s="99"/>
      <c r="K35" s="99"/>
      <c r="L35" s="99"/>
      <c r="M35" s="99"/>
      <c r="N35" s="99">
        <f>COUNTIF(P4:P34,"○")</f>
        <v>16</v>
      </c>
      <c r="O35" s="99"/>
      <c r="P35" s="99"/>
      <c r="Q35" s="99"/>
      <c r="R35" s="99"/>
      <c r="S35" s="99">
        <f>COUNTIF(U4:U34,"○")</f>
        <v>14</v>
      </c>
      <c r="T35" s="99"/>
      <c r="U35" s="99"/>
      <c r="V35" s="99"/>
      <c r="W35" s="99"/>
      <c r="X35" s="99">
        <f>COUNTIF(Z4:Z34,"○")</f>
        <v>17</v>
      </c>
      <c r="Y35" s="99"/>
      <c r="Z35" s="99"/>
      <c r="AA35" s="99"/>
      <c r="AB35" s="99"/>
      <c r="AC35" s="99">
        <f>COUNTIF(AE4:AE34,"○")</f>
        <v>11</v>
      </c>
      <c r="AD35" s="99"/>
      <c r="AE35" s="99"/>
      <c r="AF35" s="99"/>
      <c r="AG35" s="99"/>
      <c r="AH35" s="99">
        <f>COUNTIF(AJ4:AJ34,"○")</f>
        <v>12</v>
      </c>
      <c r="AI35" s="99"/>
      <c r="AJ35" s="99"/>
      <c r="AK35" s="99"/>
      <c r="AL35" s="99"/>
      <c r="AM35" s="99">
        <f>COUNTIF(AO4:AO34,"○")</f>
        <v>11</v>
      </c>
      <c r="AN35" s="99"/>
      <c r="AO35" s="99"/>
      <c r="AP35" s="99"/>
      <c r="AQ35" s="99"/>
      <c r="AR35" s="99">
        <f>COUNTIF(AT4:AT34,"○")</f>
        <v>16</v>
      </c>
      <c r="AS35" s="99"/>
      <c r="AT35" s="99"/>
      <c r="AU35" s="99"/>
      <c r="AV35" s="99"/>
      <c r="AW35" s="99">
        <f>COUNTIF(AY4:AY34,"○")</f>
        <v>14</v>
      </c>
      <c r="AX35" s="99"/>
      <c r="AY35" s="99"/>
      <c r="AZ35" s="99"/>
      <c r="BA35" s="99"/>
      <c r="BB35" s="99">
        <f>COUNTIF(BD4:BD34,"○")</f>
        <v>21</v>
      </c>
      <c r="BC35" s="99"/>
      <c r="BD35" s="99"/>
      <c r="BE35" s="99"/>
      <c r="BF35" s="99"/>
      <c r="BG35" s="99">
        <f>COUNTIF(BI4:BI34,"○")</f>
        <v>0</v>
      </c>
      <c r="BH35" s="99"/>
      <c r="BI35" s="99"/>
      <c r="BJ35" s="99"/>
      <c r="BK35" s="99"/>
      <c r="BL35" s="99">
        <f>COUNTIF(BN4:BN34,"○")</f>
        <v>0</v>
      </c>
      <c r="BM35" s="99"/>
      <c r="BN35" s="99"/>
      <c r="BO35" s="99"/>
      <c r="BP35" s="99"/>
      <c r="BQ35" s="99">
        <f>COUNTIF(BS4:BS34,"○")</f>
        <v>0</v>
      </c>
      <c r="BR35" s="99"/>
      <c r="BS35" s="99"/>
      <c r="BT35" s="99"/>
      <c r="BU35" s="99"/>
      <c r="BV35" s="99">
        <f>COUNTIF(BX4:BX34,"○")</f>
        <v>0</v>
      </c>
      <c r="BW35" s="99"/>
      <c r="BX35" s="99"/>
      <c r="BY35" s="99"/>
      <c r="BZ35" s="99"/>
      <c r="CA35" s="99">
        <f>COUNTIF(CC4:CC34,"○")</f>
        <v>0</v>
      </c>
      <c r="CB35" s="99"/>
      <c r="CC35" s="99"/>
      <c r="CD35" s="99"/>
      <c r="CE35" s="99"/>
      <c r="CF35" s="99">
        <f>COUNTIF(CH4:CH34,"○")</f>
        <v>0</v>
      </c>
      <c r="CG35" s="99"/>
      <c r="CH35" s="99"/>
      <c r="CI35" s="99"/>
      <c r="CJ35" s="99"/>
      <c r="CK35" s="99">
        <f>COUNTIF(CM4:CM34,"○")</f>
        <v>0</v>
      </c>
      <c r="CL35" s="99"/>
      <c r="CM35" s="99"/>
      <c r="CN35" s="99"/>
      <c r="CO35" s="99"/>
      <c r="CP35" s="99">
        <f>COUNTIF(CR4:CR34,"○")</f>
        <v>0</v>
      </c>
      <c r="CQ35" s="99"/>
      <c r="CR35" s="99"/>
      <c r="CS35" s="99"/>
      <c r="CT35" s="99"/>
      <c r="CU35" s="99">
        <f>COUNTIF(CW4:CW34,"○")</f>
        <v>0</v>
      </c>
      <c r="CV35" s="99"/>
      <c r="CW35" s="99"/>
      <c r="CX35" s="99"/>
      <c r="CY35" s="99"/>
      <c r="CZ35" s="99">
        <f>COUNTIF(DB4:DB34,"○")</f>
        <v>0</v>
      </c>
      <c r="DA35" s="99"/>
      <c r="DB35" s="99"/>
      <c r="DC35" s="99"/>
      <c r="DD35" s="99"/>
      <c r="DE35" s="99">
        <f>COUNTIF(DG4:DG34,"○")</f>
        <v>0</v>
      </c>
      <c r="DF35" s="99"/>
      <c r="DG35" s="99"/>
      <c r="DH35" s="99"/>
      <c r="DI35" s="99"/>
      <c r="DJ35" s="99">
        <f>COUNTIF(DL4:DL34,"○")</f>
        <v>0</v>
      </c>
      <c r="DK35" s="99"/>
      <c r="DL35" s="99"/>
      <c r="DM35" s="99"/>
      <c r="DN35" s="99"/>
      <c r="DO35" s="99">
        <f>COUNTIF(DQ4:DQ34,"○")</f>
        <v>0</v>
      </c>
      <c r="DP35" s="99"/>
      <c r="DQ35" s="99"/>
      <c r="DR35" s="99"/>
      <c r="DS35" s="99"/>
      <c r="DT35" s="99">
        <f>COUNTIF(DV4:DV34,"○")</f>
        <v>0</v>
      </c>
      <c r="DU35" s="99"/>
      <c r="DV35" s="99"/>
      <c r="DW35" s="99"/>
      <c r="DX35" s="99"/>
      <c r="DY35" s="99">
        <f>COUNTIF(EA4:EA34,"○")</f>
        <v>0</v>
      </c>
      <c r="DZ35" s="99"/>
      <c r="EA35" s="99"/>
      <c r="EB35" s="99"/>
      <c r="EC35" s="99"/>
      <c r="ED35" s="99">
        <f>COUNTIF(EF4:EF34,"○")</f>
        <v>0</v>
      </c>
      <c r="EE35" s="99"/>
      <c r="EF35" s="99"/>
      <c r="EG35" s="99"/>
      <c r="EH35" s="99"/>
      <c r="EI35" s="99">
        <f>COUNTIF(EK4:EK34,"○")</f>
        <v>0</v>
      </c>
      <c r="EJ35" s="99"/>
      <c r="EK35" s="99"/>
      <c r="EL35" s="99"/>
      <c r="EM35" s="99"/>
      <c r="EN35" s="99">
        <f>COUNTIF(EP4:EP34,"○")</f>
        <v>0</v>
      </c>
      <c r="EO35" s="99"/>
      <c r="EP35" s="99"/>
      <c r="EQ35" s="99"/>
      <c r="ER35" s="99"/>
      <c r="ES35" s="99">
        <f>COUNTIF(EU4:EU34,"○")</f>
        <v>0</v>
      </c>
      <c r="ET35" s="99"/>
      <c r="EU35" s="99"/>
      <c r="EV35" s="99"/>
      <c r="EW35" s="99"/>
    </row>
    <row r="36" spans="1:153" ht="21.75" customHeight="1">
      <c r="A36" s="100" t="s">
        <v>121</v>
      </c>
      <c r="B36" s="100"/>
      <c r="C36" s="100"/>
      <c r="D36" s="101">
        <f>COUNTIF(G4:G34,"○")</f>
        <v>0</v>
      </c>
      <c r="E36" s="101"/>
      <c r="F36" s="101"/>
      <c r="G36" s="101"/>
      <c r="H36" s="101"/>
      <c r="I36" s="101">
        <f>COUNTIF(L4:L34,"○")</f>
        <v>2</v>
      </c>
      <c r="J36" s="101"/>
      <c r="K36" s="101"/>
      <c r="L36" s="101"/>
      <c r="M36" s="101"/>
      <c r="N36" s="101">
        <f>COUNTIF(Q4:Q34,"○")</f>
        <v>0</v>
      </c>
      <c r="O36" s="101"/>
      <c r="P36" s="101"/>
      <c r="Q36" s="101"/>
      <c r="R36" s="101"/>
      <c r="S36" s="101">
        <f>COUNTIF(V4:V34,"○")</f>
        <v>0</v>
      </c>
      <c r="T36" s="101"/>
      <c r="U36" s="101"/>
      <c r="V36" s="101"/>
      <c r="W36" s="101"/>
      <c r="X36" s="101">
        <f>COUNTIF(AA4:AA34,"○")</f>
        <v>0</v>
      </c>
      <c r="Y36" s="101"/>
      <c r="Z36" s="101"/>
      <c r="AA36" s="101"/>
      <c r="AB36" s="101"/>
      <c r="AC36" s="101">
        <f>COUNTIF(AF4:AF34,"○")</f>
        <v>2</v>
      </c>
      <c r="AD36" s="101"/>
      <c r="AE36" s="101"/>
      <c r="AF36" s="101"/>
      <c r="AG36" s="101"/>
      <c r="AH36" s="101">
        <f>COUNTIF(AK4:AK34,"○")</f>
        <v>0</v>
      </c>
      <c r="AI36" s="101"/>
      <c r="AJ36" s="101"/>
      <c r="AK36" s="101"/>
      <c r="AL36" s="101"/>
      <c r="AM36" s="101">
        <f>COUNTIF(AP4:AP34,"○")</f>
        <v>2</v>
      </c>
      <c r="AN36" s="101"/>
      <c r="AO36" s="101"/>
      <c r="AP36" s="101"/>
      <c r="AQ36" s="101"/>
      <c r="AR36" s="101">
        <f>COUNTIF(AU4:AU34,"○")</f>
        <v>0</v>
      </c>
      <c r="AS36" s="101"/>
      <c r="AT36" s="101"/>
      <c r="AU36" s="101"/>
      <c r="AV36" s="101"/>
      <c r="AW36" s="101">
        <f>COUNTIF(AZ4:AZ34,"○")</f>
        <v>0</v>
      </c>
      <c r="AX36" s="101"/>
      <c r="AY36" s="101"/>
      <c r="AZ36" s="101"/>
      <c r="BA36" s="101"/>
      <c r="BB36" s="101">
        <f>COUNTIF(BE4:BE34,"○")</f>
        <v>0</v>
      </c>
      <c r="BC36" s="101"/>
      <c r="BD36" s="101"/>
      <c r="BE36" s="101"/>
      <c r="BF36" s="101"/>
      <c r="BG36" s="101">
        <f>COUNTIF(BJ4:BJ34,"○")</f>
        <v>0</v>
      </c>
      <c r="BH36" s="101"/>
      <c r="BI36" s="101"/>
      <c r="BJ36" s="101"/>
      <c r="BK36" s="101"/>
      <c r="BL36" s="101">
        <f>COUNTIF(BO4:BO34,"○")</f>
        <v>0</v>
      </c>
      <c r="BM36" s="101"/>
      <c r="BN36" s="101"/>
      <c r="BO36" s="101"/>
      <c r="BP36" s="101"/>
      <c r="BQ36" s="101">
        <f>COUNTIF(BT4:BT34,"○")</f>
        <v>0</v>
      </c>
      <c r="BR36" s="101"/>
      <c r="BS36" s="101"/>
      <c r="BT36" s="101"/>
      <c r="BU36" s="101"/>
      <c r="BV36" s="101">
        <f>COUNTIF(BY4:BY34,"○")</f>
        <v>0</v>
      </c>
      <c r="BW36" s="101"/>
      <c r="BX36" s="101"/>
      <c r="BY36" s="101"/>
      <c r="BZ36" s="101"/>
      <c r="CA36" s="101">
        <f>COUNTIF(CD4:CD34,"○")</f>
        <v>0</v>
      </c>
      <c r="CB36" s="101"/>
      <c r="CC36" s="101"/>
      <c r="CD36" s="101"/>
      <c r="CE36" s="101"/>
      <c r="CF36" s="101">
        <f>COUNTIF(CI4:CI34,"○")</f>
        <v>0</v>
      </c>
      <c r="CG36" s="101"/>
      <c r="CH36" s="101"/>
      <c r="CI36" s="101"/>
      <c r="CJ36" s="101"/>
      <c r="CK36" s="101">
        <f>COUNTIF(CN4:CN34,"○")</f>
        <v>0</v>
      </c>
      <c r="CL36" s="101"/>
      <c r="CM36" s="101"/>
      <c r="CN36" s="101"/>
      <c r="CO36" s="101"/>
      <c r="CP36" s="101">
        <f>COUNTIF(CS4:CS34,"○")</f>
        <v>0</v>
      </c>
      <c r="CQ36" s="101"/>
      <c r="CR36" s="101"/>
      <c r="CS36" s="101"/>
      <c r="CT36" s="101"/>
      <c r="CU36" s="101">
        <f>COUNTIF(CX4:CX34,"○")</f>
        <v>0</v>
      </c>
      <c r="CV36" s="101"/>
      <c r="CW36" s="101"/>
      <c r="CX36" s="101"/>
      <c r="CY36" s="101"/>
      <c r="CZ36" s="101">
        <f>COUNTIF(DC4:DC34,"○")</f>
        <v>0</v>
      </c>
      <c r="DA36" s="101"/>
      <c r="DB36" s="101"/>
      <c r="DC36" s="101"/>
      <c r="DD36" s="101"/>
      <c r="DE36" s="101">
        <f>COUNTIF(DH4:DH34,"○")</f>
        <v>0</v>
      </c>
      <c r="DF36" s="101"/>
      <c r="DG36" s="101"/>
      <c r="DH36" s="101"/>
      <c r="DI36" s="101"/>
      <c r="DJ36" s="101">
        <f>COUNTIF(DM4:DM34,"○")</f>
        <v>0</v>
      </c>
      <c r="DK36" s="101"/>
      <c r="DL36" s="101"/>
      <c r="DM36" s="101"/>
      <c r="DN36" s="101"/>
      <c r="DO36" s="101">
        <f>COUNTIF(DR4:DR34,"○")</f>
        <v>0</v>
      </c>
      <c r="DP36" s="101"/>
      <c r="DQ36" s="101"/>
      <c r="DR36" s="101"/>
      <c r="DS36" s="101"/>
      <c r="DT36" s="101">
        <f>COUNTIF(DW4:DW34,"○")</f>
        <v>0</v>
      </c>
      <c r="DU36" s="101"/>
      <c r="DV36" s="101"/>
      <c r="DW36" s="101"/>
      <c r="DX36" s="101"/>
      <c r="DY36" s="101">
        <f>COUNTIF(EB4:EB34,"○")</f>
        <v>0</v>
      </c>
      <c r="DZ36" s="101"/>
      <c r="EA36" s="101"/>
      <c r="EB36" s="101"/>
      <c r="EC36" s="101"/>
      <c r="ED36" s="101">
        <f>COUNTIF(EG4:EG34,"○")</f>
        <v>0</v>
      </c>
      <c r="EE36" s="101"/>
      <c r="EF36" s="101"/>
      <c r="EG36" s="101"/>
      <c r="EH36" s="101"/>
      <c r="EI36" s="101">
        <f>COUNTIF(EL4:EL34,"○")</f>
        <v>0</v>
      </c>
      <c r="EJ36" s="101"/>
      <c r="EK36" s="101"/>
      <c r="EL36" s="101"/>
      <c r="EM36" s="101"/>
      <c r="EN36" s="101">
        <f>COUNTIF(EQ4:EQ34,"○")</f>
        <v>0</v>
      </c>
      <c r="EO36" s="101"/>
      <c r="EP36" s="101"/>
      <c r="EQ36" s="101"/>
      <c r="ER36" s="101"/>
      <c r="ES36" s="101">
        <f>COUNTIF(EV4:EV34,"○")</f>
        <v>0</v>
      </c>
      <c r="ET36" s="101"/>
      <c r="EU36" s="101"/>
      <c r="EV36" s="101"/>
      <c r="EW36" s="101"/>
    </row>
    <row r="37" spans="1:153" ht="21.75" customHeight="1">
      <c r="A37" s="102" t="s">
        <v>122</v>
      </c>
      <c r="B37" s="102"/>
      <c r="C37" s="102"/>
      <c r="D37" s="103">
        <f>D35+D36</f>
        <v>21</v>
      </c>
      <c r="E37" s="103"/>
      <c r="F37" s="103"/>
      <c r="G37" s="103"/>
      <c r="H37" s="103"/>
      <c r="I37" s="103">
        <f>I35+I36</f>
        <v>13</v>
      </c>
      <c r="J37" s="103"/>
      <c r="K37" s="103"/>
      <c r="L37" s="103"/>
      <c r="M37" s="103"/>
      <c r="N37" s="103">
        <f>N35+N36</f>
        <v>16</v>
      </c>
      <c r="O37" s="103"/>
      <c r="P37" s="103"/>
      <c r="Q37" s="103"/>
      <c r="R37" s="103"/>
      <c r="S37" s="103">
        <f>S35+S36</f>
        <v>14</v>
      </c>
      <c r="T37" s="103"/>
      <c r="U37" s="103"/>
      <c r="V37" s="103"/>
      <c r="W37" s="103"/>
      <c r="X37" s="103">
        <f>X35+X36</f>
        <v>17</v>
      </c>
      <c r="Y37" s="103"/>
      <c r="Z37" s="103"/>
      <c r="AA37" s="103"/>
      <c r="AB37" s="103"/>
      <c r="AC37" s="103">
        <f>AC35+AC36</f>
        <v>13</v>
      </c>
      <c r="AD37" s="103"/>
      <c r="AE37" s="103"/>
      <c r="AF37" s="103"/>
      <c r="AG37" s="103"/>
      <c r="AH37" s="103">
        <f>AH35+AH36</f>
        <v>12</v>
      </c>
      <c r="AI37" s="103"/>
      <c r="AJ37" s="103"/>
      <c r="AK37" s="103"/>
      <c r="AL37" s="103"/>
      <c r="AM37" s="103">
        <f>AM35+AM36</f>
        <v>13</v>
      </c>
      <c r="AN37" s="103"/>
      <c r="AO37" s="103"/>
      <c r="AP37" s="103"/>
      <c r="AQ37" s="103"/>
      <c r="AR37" s="103">
        <f>AR35+AR36</f>
        <v>16</v>
      </c>
      <c r="AS37" s="103"/>
      <c r="AT37" s="103"/>
      <c r="AU37" s="103"/>
      <c r="AV37" s="103"/>
      <c r="AW37" s="103">
        <f>AW35+AW36</f>
        <v>14</v>
      </c>
      <c r="AX37" s="103"/>
      <c r="AY37" s="103"/>
      <c r="AZ37" s="103"/>
      <c r="BA37" s="103"/>
      <c r="BB37" s="103">
        <f>BB35+BB36</f>
        <v>21</v>
      </c>
      <c r="BC37" s="103"/>
      <c r="BD37" s="103"/>
      <c r="BE37" s="103"/>
      <c r="BF37" s="103"/>
      <c r="BG37" s="103">
        <f>BG35+BG36</f>
        <v>0</v>
      </c>
      <c r="BH37" s="103"/>
      <c r="BI37" s="103"/>
      <c r="BJ37" s="103"/>
      <c r="BK37" s="103"/>
      <c r="BL37" s="103">
        <f>BL35+BL36</f>
        <v>0</v>
      </c>
      <c r="BM37" s="103"/>
      <c r="BN37" s="103"/>
      <c r="BO37" s="103"/>
      <c r="BP37" s="103"/>
      <c r="BQ37" s="103">
        <f>BQ35+BQ36</f>
        <v>0</v>
      </c>
      <c r="BR37" s="103"/>
      <c r="BS37" s="103"/>
      <c r="BT37" s="103"/>
      <c r="BU37" s="103"/>
      <c r="BV37" s="103">
        <f>BV35+BV36</f>
        <v>0</v>
      </c>
      <c r="BW37" s="103"/>
      <c r="BX37" s="103"/>
      <c r="BY37" s="103"/>
      <c r="BZ37" s="103"/>
      <c r="CA37" s="103">
        <f>CA35+CA36</f>
        <v>0</v>
      </c>
      <c r="CB37" s="103"/>
      <c r="CC37" s="103"/>
      <c r="CD37" s="103"/>
      <c r="CE37" s="103"/>
      <c r="CF37" s="103">
        <f>CF35+CF36</f>
        <v>0</v>
      </c>
      <c r="CG37" s="103"/>
      <c r="CH37" s="103"/>
      <c r="CI37" s="103"/>
      <c r="CJ37" s="103"/>
      <c r="CK37" s="103">
        <f>CK35+CK36</f>
        <v>0</v>
      </c>
      <c r="CL37" s="103"/>
      <c r="CM37" s="103"/>
      <c r="CN37" s="103"/>
      <c r="CO37" s="103"/>
      <c r="CP37" s="103">
        <f>CP35+CP36</f>
        <v>0</v>
      </c>
      <c r="CQ37" s="103"/>
      <c r="CR37" s="103"/>
      <c r="CS37" s="103"/>
      <c r="CT37" s="103"/>
      <c r="CU37" s="103">
        <f>CU35+CU36</f>
        <v>0</v>
      </c>
      <c r="CV37" s="103"/>
      <c r="CW37" s="103"/>
      <c r="CX37" s="103"/>
      <c r="CY37" s="103"/>
      <c r="CZ37" s="103">
        <f>CZ35+CZ36</f>
        <v>0</v>
      </c>
      <c r="DA37" s="103"/>
      <c r="DB37" s="103"/>
      <c r="DC37" s="103"/>
      <c r="DD37" s="103"/>
      <c r="DE37" s="103">
        <f>DE35+DE36</f>
        <v>0</v>
      </c>
      <c r="DF37" s="103"/>
      <c r="DG37" s="103"/>
      <c r="DH37" s="103"/>
      <c r="DI37" s="103"/>
      <c r="DJ37" s="103">
        <f>DJ35+DJ36</f>
        <v>0</v>
      </c>
      <c r="DK37" s="103"/>
      <c r="DL37" s="103"/>
      <c r="DM37" s="103"/>
      <c r="DN37" s="103"/>
      <c r="DO37" s="103">
        <f>DO35+DO36</f>
        <v>0</v>
      </c>
      <c r="DP37" s="103"/>
      <c r="DQ37" s="103"/>
      <c r="DR37" s="103"/>
      <c r="DS37" s="103"/>
      <c r="DT37" s="103">
        <f>DT35+DT36</f>
        <v>0</v>
      </c>
      <c r="DU37" s="103"/>
      <c r="DV37" s="103"/>
      <c r="DW37" s="103"/>
      <c r="DX37" s="103"/>
      <c r="DY37" s="103">
        <f>DY35+DY36</f>
        <v>0</v>
      </c>
      <c r="DZ37" s="103"/>
      <c r="EA37" s="103"/>
      <c r="EB37" s="103"/>
      <c r="EC37" s="103"/>
      <c r="ED37" s="103">
        <f>ED35+ED36</f>
        <v>0</v>
      </c>
      <c r="EE37" s="103"/>
      <c r="EF37" s="103"/>
      <c r="EG37" s="103"/>
      <c r="EH37" s="103"/>
      <c r="EI37" s="103">
        <f>EI35+EI36</f>
        <v>0</v>
      </c>
      <c r="EJ37" s="103"/>
      <c r="EK37" s="103"/>
      <c r="EL37" s="103"/>
      <c r="EM37" s="103"/>
      <c r="EN37" s="103">
        <f>EN35+EN36</f>
        <v>0</v>
      </c>
      <c r="EO37" s="103"/>
      <c r="EP37" s="103"/>
      <c r="EQ37" s="103"/>
      <c r="ER37" s="103"/>
      <c r="ES37" s="103">
        <f>ES35+ES36</f>
        <v>0</v>
      </c>
      <c r="ET37" s="103"/>
      <c r="EU37" s="103"/>
      <c r="EV37" s="103"/>
      <c r="EW37" s="103"/>
    </row>
    <row r="38" spans="1:153" ht="21.75" customHeight="1">
      <c r="A38" s="104" t="s">
        <v>123</v>
      </c>
      <c r="B38" s="104"/>
      <c r="C38" s="104"/>
      <c r="D38" s="105">
        <f>SUM(H4:H34)</f>
        <v>0</v>
      </c>
      <c r="E38" s="105"/>
      <c r="F38" s="105"/>
      <c r="G38" s="105"/>
      <c r="H38" s="105"/>
      <c r="I38" s="105">
        <f>SUM(M4:M34)</f>
        <v>0</v>
      </c>
      <c r="J38" s="105"/>
      <c r="K38" s="105"/>
      <c r="L38" s="105"/>
      <c r="M38" s="105"/>
      <c r="N38" s="105">
        <f>SUM(R4:R34)</f>
        <v>0</v>
      </c>
      <c r="O38" s="105"/>
      <c r="P38" s="105"/>
      <c r="Q38" s="105"/>
      <c r="R38" s="105"/>
      <c r="S38" s="105">
        <f>SUM(W4:W34)</f>
        <v>0</v>
      </c>
      <c r="T38" s="105"/>
      <c r="U38" s="105"/>
      <c r="V38" s="105"/>
      <c r="W38" s="105"/>
      <c r="X38" s="105">
        <f>SUM(AB4:AB34)</f>
        <v>0</v>
      </c>
      <c r="Y38" s="105"/>
      <c r="Z38" s="105"/>
      <c r="AA38" s="105"/>
      <c r="AB38" s="105"/>
      <c r="AC38" s="105">
        <f>SUM(AG4:AG34)</f>
        <v>0</v>
      </c>
      <c r="AD38" s="105"/>
      <c r="AE38" s="105"/>
      <c r="AF38" s="105"/>
      <c r="AG38" s="105"/>
      <c r="AH38" s="105">
        <f>SUM(AL4:AL34)</f>
        <v>0</v>
      </c>
      <c r="AI38" s="105"/>
      <c r="AJ38" s="105"/>
      <c r="AK38" s="105"/>
      <c r="AL38" s="105"/>
      <c r="AM38" s="105">
        <f>SUM(AQ4:AQ34)</f>
        <v>0</v>
      </c>
      <c r="AN38" s="105"/>
      <c r="AO38" s="105"/>
      <c r="AP38" s="105"/>
      <c r="AQ38" s="105"/>
      <c r="AR38" s="105">
        <f>SUM(AV4:AV34)</f>
        <v>0</v>
      </c>
      <c r="AS38" s="105"/>
      <c r="AT38" s="105"/>
      <c r="AU38" s="105"/>
      <c r="AV38" s="105"/>
      <c r="AW38" s="105">
        <f>SUM(BA4:BA34)</f>
        <v>0</v>
      </c>
      <c r="AX38" s="105"/>
      <c r="AY38" s="105"/>
      <c r="AZ38" s="105"/>
      <c r="BA38" s="105"/>
      <c r="BB38" s="105">
        <f>SUM(BF4:BF34)</f>
        <v>0</v>
      </c>
      <c r="BC38" s="105"/>
      <c r="BD38" s="105"/>
      <c r="BE38" s="105"/>
      <c r="BF38" s="105"/>
      <c r="BG38" s="105">
        <f>SUM(BK4:BK34)</f>
        <v>0</v>
      </c>
      <c r="BH38" s="105"/>
      <c r="BI38" s="105"/>
      <c r="BJ38" s="105"/>
      <c r="BK38" s="105"/>
      <c r="BL38" s="105">
        <f>SUM(BP4:BP34)</f>
        <v>0</v>
      </c>
      <c r="BM38" s="105"/>
      <c r="BN38" s="105"/>
      <c r="BO38" s="105"/>
      <c r="BP38" s="105"/>
      <c r="BQ38" s="105">
        <f>SUM(BU4:BU34)</f>
        <v>0</v>
      </c>
      <c r="BR38" s="105"/>
      <c r="BS38" s="105"/>
      <c r="BT38" s="105"/>
      <c r="BU38" s="105"/>
      <c r="BV38" s="105">
        <f>SUM(BZ4:BZ34)</f>
        <v>0</v>
      </c>
      <c r="BW38" s="105"/>
      <c r="BX38" s="105"/>
      <c r="BY38" s="105"/>
      <c r="BZ38" s="105"/>
      <c r="CA38" s="105">
        <f>SUM(CE4:CE34)</f>
        <v>0</v>
      </c>
      <c r="CB38" s="105"/>
      <c r="CC38" s="105"/>
      <c r="CD38" s="105"/>
      <c r="CE38" s="105"/>
      <c r="CF38" s="105">
        <f>SUM(CJ4:CJ34)</f>
        <v>0</v>
      </c>
      <c r="CG38" s="105"/>
      <c r="CH38" s="105"/>
      <c r="CI38" s="105"/>
      <c r="CJ38" s="105"/>
      <c r="CK38" s="105">
        <f>SUM(CO4:CO34)</f>
        <v>0</v>
      </c>
      <c r="CL38" s="105"/>
      <c r="CM38" s="105"/>
      <c r="CN38" s="105"/>
      <c r="CO38" s="105"/>
      <c r="CP38" s="105">
        <f>SUM(CT4:CT34)</f>
        <v>0</v>
      </c>
      <c r="CQ38" s="105"/>
      <c r="CR38" s="105"/>
      <c r="CS38" s="105"/>
      <c r="CT38" s="105"/>
      <c r="CU38" s="105">
        <f>SUM(CY4:CY34)</f>
        <v>0</v>
      </c>
      <c r="CV38" s="105"/>
      <c r="CW38" s="105"/>
      <c r="CX38" s="105"/>
      <c r="CY38" s="105"/>
      <c r="CZ38" s="105">
        <f>SUM(DD4:DD34)</f>
        <v>0</v>
      </c>
      <c r="DA38" s="105"/>
      <c r="DB38" s="105"/>
      <c r="DC38" s="105"/>
      <c r="DD38" s="105"/>
      <c r="DE38" s="105">
        <f>SUM(DI4:DI34)</f>
        <v>0</v>
      </c>
      <c r="DF38" s="105"/>
      <c r="DG38" s="105"/>
      <c r="DH38" s="105"/>
      <c r="DI38" s="105"/>
      <c r="DJ38" s="105">
        <f>SUM(DN4:DN34)</f>
        <v>0</v>
      </c>
      <c r="DK38" s="105"/>
      <c r="DL38" s="105"/>
      <c r="DM38" s="105"/>
      <c r="DN38" s="105"/>
      <c r="DO38" s="105">
        <f>SUM(DS4:DS34)</f>
        <v>0</v>
      </c>
      <c r="DP38" s="105"/>
      <c r="DQ38" s="105"/>
      <c r="DR38" s="105"/>
      <c r="DS38" s="105"/>
      <c r="DT38" s="105">
        <f>SUM(DX4:DX34)</f>
        <v>0</v>
      </c>
      <c r="DU38" s="105"/>
      <c r="DV38" s="105"/>
      <c r="DW38" s="105"/>
      <c r="DX38" s="105"/>
      <c r="DY38" s="105">
        <f>SUM(EC4:EC34)</f>
        <v>0</v>
      </c>
      <c r="DZ38" s="105"/>
      <c r="EA38" s="105"/>
      <c r="EB38" s="105"/>
      <c r="EC38" s="105"/>
      <c r="ED38" s="105">
        <f>SUM(EH4:EH34)</f>
        <v>0</v>
      </c>
      <c r="EE38" s="105"/>
      <c r="EF38" s="105"/>
      <c r="EG38" s="105"/>
      <c r="EH38" s="105"/>
      <c r="EI38" s="105">
        <f>SUM(EM4:EM34)</f>
        <v>0</v>
      </c>
      <c r="EJ38" s="105"/>
      <c r="EK38" s="105"/>
      <c r="EL38" s="105"/>
      <c r="EM38" s="105"/>
      <c r="EN38" s="105">
        <f>SUM(ER4:ER34)</f>
        <v>0</v>
      </c>
      <c r="EO38" s="105"/>
      <c r="EP38" s="105"/>
      <c r="EQ38" s="105"/>
      <c r="ER38" s="105"/>
      <c r="ES38" s="105">
        <f>SUM(EW4:EW34)</f>
        <v>0</v>
      </c>
      <c r="ET38" s="105"/>
      <c r="EU38" s="105"/>
      <c r="EV38" s="105"/>
      <c r="EW38" s="105"/>
    </row>
    <row r="39" spans="1:153" ht="21.75" customHeight="1">
      <c r="A39" s="106" t="s">
        <v>105</v>
      </c>
      <c r="B39" s="106"/>
      <c r="C39" s="106"/>
      <c r="D39" s="107">
        <f>COUNTIF(D4:D34,"有給")</f>
        <v>0</v>
      </c>
      <c r="E39" s="107"/>
      <c r="F39" s="107"/>
      <c r="G39" s="107"/>
      <c r="H39" s="107"/>
      <c r="I39" s="107">
        <f>COUNTIF(I4:I34,"有給")</f>
        <v>0</v>
      </c>
      <c r="J39" s="107"/>
      <c r="K39" s="107"/>
      <c r="L39" s="107"/>
      <c r="M39" s="107"/>
      <c r="N39" s="107">
        <f>COUNTIF(N4:N34,"有給")</f>
        <v>0</v>
      </c>
      <c r="O39" s="107"/>
      <c r="P39" s="107"/>
      <c r="Q39" s="107"/>
      <c r="R39" s="107"/>
      <c r="S39" s="107">
        <f>COUNTIF(S4:S34,"有給")</f>
        <v>0</v>
      </c>
      <c r="T39" s="107"/>
      <c r="U39" s="107"/>
      <c r="V39" s="107"/>
      <c r="W39" s="107"/>
      <c r="X39" s="107">
        <f>COUNTIF(X4:X34,"有給")</f>
        <v>0</v>
      </c>
      <c r="Y39" s="107"/>
      <c r="Z39" s="107"/>
      <c r="AA39" s="107"/>
      <c r="AB39" s="107"/>
      <c r="AC39" s="107">
        <f>COUNTIF(AC4:AC34,"有給")</f>
        <v>0</v>
      </c>
      <c r="AD39" s="107"/>
      <c r="AE39" s="107"/>
      <c r="AF39" s="107"/>
      <c r="AG39" s="107"/>
      <c r="AH39" s="107">
        <f>COUNTIF(AH4:AH34,"有給")</f>
        <v>0</v>
      </c>
      <c r="AI39" s="107"/>
      <c r="AJ39" s="107"/>
      <c r="AK39" s="107"/>
      <c r="AL39" s="107"/>
      <c r="AM39" s="107">
        <f>COUNTIF(AM4:AM34,"有給")</f>
        <v>0</v>
      </c>
      <c r="AN39" s="107"/>
      <c r="AO39" s="107"/>
      <c r="AP39" s="107"/>
      <c r="AQ39" s="107"/>
      <c r="AR39" s="107">
        <f>COUNTIF(AR4:AR34,"有給")</f>
        <v>0</v>
      </c>
      <c r="AS39" s="107"/>
      <c r="AT39" s="107"/>
      <c r="AU39" s="107"/>
      <c r="AV39" s="107"/>
      <c r="AW39" s="107">
        <f>COUNTIF(AW4:AW34,"有給")</f>
        <v>0</v>
      </c>
      <c r="AX39" s="107"/>
      <c r="AY39" s="107"/>
      <c r="AZ39" s="107"/>
      <c r="BA39" s="107"/>
      <c r="BB39" s="107">
        <f>COUNTIF(BB4:BB34,"有給")</f>
        <v>0</v>
      </c>
      <c r="BC39" s="107"/>
      <c r="BD39" s="107"/>
      <c r="BE39" s="107"/>
      <c r="BF39" s="107"/>
      <c r="BG39" s="107">
        <f>COUNTIF(BG4:BG34,"有給")</f>
        <v>0</v>
      </c>
      <c r="BH39" s="107"/>
      <c r="BI39" s="107"/>
      <c r="BJ39" s="107"/>
      <c r="BK39" s="107"/>
      <c r="BL39" s="107">
        <f>COUNTIF(BL4:BL34,"有給")</f>
        <v>0</v>
      </c>
      <c r="BM39" s="107"/>
      <c r="BN39" s="107"/>
      <c r="BO39" s="107"/>
      <c r="BP39" s="107"/>
      <c r="BQ39" s="107">
        <f>COUNTIF(BQ4:BQ34,"有給")</f>
        <v>0</v>
      </c>
      <c r="BR39" s="107"/>
      <c r="BS39" s="107"/>
      <c r="BT39" s="107"/>
      <c r="BU39" s="107"/>
      <c r="BV39" s="107">
        <f>COUNTIF(BV4:BV34,"有給")</f>
        <v>0</v>
      </c>
      <c r="BW39" s="107"/>
      <c r="BX39" s="107"/>
      <c r="BY39" s="107"/>
      <c r="BZ39" s="107"/>
      <c r="CA39" s="107">
        <f>COUNTIF(CA4:CA34,"有給")</f>
        <v>0</v>
      </c>
      <c r="CB39" s="107"/>
      <c r="CC39" s="107"/>
      <c r="CD39" s="107"/>
      <c r="CE39" s="107"/>
      <c r="CF39" s="107">
        <f>COUNTIF(CF4:CF34,"有給")</f>
        <v>0</v>
      </c>
      <c r="CG39" s="107"/>
      <c r="CH39" s="107"/>
      <c r="CI39" s="107"/>
      <c r="CJ39" s="107"/>
      <c r="CK39" s="107">
        <f>COUNTIF(CK4:CK34,"有給")</f>
        <v>0</v>
      </c>
      <c r="CL39" s="107"/>
      <c r="CM39" s="107"/>
      <c r="CN39" s="107"/>
      <c r="CO39" s="107"/>
      <c r="CP39" s="107">
        <f>COUNTIF(CP4:CP34,"有給")</f>
        <v>0</v>
      </c>
      <c r="CQ39" s="107"/>
      <c r="CR39" s="107"/>
      <c r="CS39" s="107"/>
      <c r="CT39" s="107"/>
      <c r="CU39" s="107">
        <f>COUNTIF(CU4:CU34,"有給")</f>
        <v>0</v>
      </c>
      <c r="CV39" s="107"/>
      <c r="CW39" s="107"/>
      <c r="CX39" s="107"/>
      <c r="CY39" s="107"/>
      <c r="CZ39" s="107">
        <f>COUNTIF(CZ4:CZ34,"有給")</f>
        <v>0</v>
      </c>
      <c r="DA39" s="107"/>
      <c r="DB39" s="107"/>
      <c r="DC39" s="107"/>
      <c r="DD39" s="107"/>
      <c r="DE39" s="107">
        <f>COUNTIF(DE4:DE34,"有給")</f>
        <v>0</v>
      </c>
      <c r="DF39" s="107"/>
      <c r="DG39" s="107"/>
      <c r="DH39" s="107"/>
      <c r="DI39" s="107"/>
      <c r="DJ39" s="107">
        <f>COUNTIF(DJ4:DJ34,"有給")</f>
        <v>0</v>
      </c>
      <c r="DK39" s="107"/>
      <c r="DL39" s="107"/>
      <c r="DM39" s="107"/>
      <c r="DN39" s="107"/>
      <c r="DO39" s="107">
        <f>COUNTIF(DO4:DO34,"有給")</f>
        <v>0</v>
      </c>
      <c r="DP39" s="107"/>
      <c r="DQ39" s="107"/>
      <c r="DR39" s="107"/>
      <c r="DS39" s="107"/>
      <c r="DT39" s="107">
        <f>COUNTIF(DT4:DT34,"有給")</f>
        <v>0</v>
      </c>
      <c r="DU39" s="107"/>
      <c r="DV39" s="107"/>
      <c r="DW39" s="107"/>
      <c r="DX39" s="107"/>
      <c r="DY39" s="107">
        <f>COUNTIF(DY4:DY34,"有給")</f>
        <v>0</v>
      </c>
      <c r="DZ39" s="107"/>
      <c r="EA39" s="107"/>
      <c r="EB39" s="107"/>
      <c r="EC39" s="107"/>
      <c r="ED39" s="107">
        <f>COUNTIF(ED4:ED34,"有給")</f>
        <v>0</v>
      </c>
      <c r="EE39" s="107"/>
      <c r="EF39" s="107"/>
      <c r="EG39" s="107"/>
      <c r="EH39" s="107"/>
      <c r="EI39" s="107">
        <f>COUNTIF(EI4:EI34,"有給")</f>
        <v>0</v>
      </c>
      <c r="EJ39" s="107"/>
      <c r="EK39" s="107"/>
      <c r="EL39" s="107"/>
      <c r="EM39" s="107"/>
      <c r="EN39" s="107">
        <f>COUNTIF(EN4:EN34,"有給")</f>
        <v>0</v>
      </c>
      <c r="EO39" s="107"/>
      <c r="EP39" s="107"/>
      <c r="EQ39" s="107"/>
      <c r="ER39" s="107"/>
      <c r="ES39" s="107">
        <f>COUNTIF(ES4:ES34,"有給")</f>
        <v>0</v>
      </c>
      <c r="ET39" s="107"/>
      <c r="EU39" s="107"/>
      <c r="EV39" s="107"/>
      <c r="EW39" s="107"/>
    </row>
    <row r="40" spans="1:153" ht="21.75" customHeight="1">
      <c r="A40" s="108" t="s">
        <v>106</v>
      </c>
      <c r="B40" s="108"/>
      <c r="C40" s="108"/>
      <c r="D40" s="109">
        <f>COUNTIF(D4:D34,"休業")</f>
        <v>0</v>
      </c>
      <c r="E40" s="109"/>
      <c r="F40" s="109"/>
      <c r="G40" s="109"/>
      <c r="H40" s="109"/>
      <c r="I40" s="109">
        <f>COUNTIF(I4:I34,"休業")</f>
        <v>0</v>
      </c>
      <c r="J40" s="109"/>
      <c r="K40" s="109"/>
      <c r="L40" s="109"/>
      <c r="M40" s="109"/>
      <c r="N40" s="109">
        <f>COUNTIF(N4:N34,"休業")</f>
        <v>0</v>
      </c>
      <c r="O40" s="109"/>
      <c r="P40" s="109"/>
      <c r="Q40" s="109"/>
      <c r="R40" s="109"/>
      <c r="S40" s="109">
        <f>COUNTIF(S4:S34,"休業")</f>
        <v>0</v>
      </c>
      <c r="T40" s="109"/>
      <c r="U40" s="109"/>
      <c r="V40" s="109"/>
      <c r="W40" s="109"/>
      <c r="X40" s="109">
        <f>COUNTIF(X4:X34,"休業")</f>
        <v>0</v>
      </c>
      <c r="Y40" s="109"/>
      <c r="Z40" s="109"/>
      <c r="AA40" s="109"/>
      <c r="AB40" s="109"/>
      <c r="AC40" s="109">
        <f>COUNTIF(AC4:AC34,"休業")</f>
        <v>0</v>
      </c>
      <c r="AD40" s="109"/>
      <c r="AE40" s="109"/>
      <c r="AF40" s="109"/>
      <c r="AG40" s="109"/>
      <c r="AH40" s="109">
        <f>COUNTIF(AH4:AH34,"休業")</f>
        <v>0</v>
      </c>
      <c r="AI40" s="109"/>
      <c r="AJ40" s="109"/>
      <c r="AK40" s="109"/>
      <c r="AL40" s="109"/>
      <c r="AM40" s="109">
        <f>COUNTIF(AM4:AM34,"休業")</f>
        <v>0</v>
      </c>
      <c r="AN40" s="109"/>
      <c r="AO40" s="109"/>
      <c r="AP40" s="109"/>
      <c r="AQ40" s="109"/>
      <c r="AR40" s="109">
        <f>COUNTIF(AR4:AR34,"休業")</f>
        <v>0</v>
      </c>
      <c r="AS40" s="109"/>
      <c r="AT40" s="109"/>
      <c r="AU40" s="109"/>
      <c r="AV40" s="109"/>
      <c r="AW40" s="109">
        <f>COUNTIF(AW4:AW34,"休業")</f>
        <v>0</v>
      </c>
      <c r="AX40" s="109"/>
      <c r="AY40" s="109"/>
      <c r="AZ40" s="109"/>
      <c r="BA40" s="109"/>
      <c r="BB40" s="109">
        <f>COUNTIF(BB4:BB34,"休業")</f>
        <v>0</v>
      </c>
      <c r="BC40" s="109"/>
      <c r="BD40" s="109"/>
      <c r="BE40" s="109"/>
      <c r="BF40" s="109"/>
      <c r="BG40" s="109">
        <f>COUNTIF(BG4:BG34,"休業")</f>
        <v>0</v>
      </c>
      <c r="BH40" s="109"/>
      <c r="BI40" s="109"/>
      <c r="BJ40" s="109"/>
      <c r="BK40" s="109"/>
      <c r="BL40" s="109">
        <f>COUNTIF(BL4:BL34,"休業")</f>
        <v>0</v>
      </c>
      <c r="BM40" s="109"/>
      <c r="BN40" s="109"/>
      <c r="BO40" s="109"/>
      <c r="BP40" s="109"/>
      <c r="BQ40" s="109">
        <f>COUNTIF(BQ4:BQ34,"休業")</f>
        <v>0</v>
      </c>
      <c r="BR40" s="109"/>
      <c r="BS40" s="109"/>
      <c r="BT40" s="109"/>
      <c r="BU40" s="109"/>
      <c r="BV40" s="109">
        <f>COUNTIF(BV4:BV34,"休業")</f>
        <v>0</v>
      </c>
      <c r="BW40" s="109"/>
      <c r="BX40" s="109"/>
      <c r="BY40" s="109"/>
      <c r="BZ40" s="109"/>
      <c r="CA40" s="109">
        <f>COUNTIF(CA4:CA34,"休業")</f>
        <v>0</v>
      </c>
      <c r="CB40" s="109"/>
      <c r="CC40" s="109"/>
      <c r="CD40" s="109"/>
      <c r="CE40" s="109"/>
      <c r="CF40" s="109">
        <f>COUNTIF(CF4:CF34,"休業")</f>
        <v>0</v>
      </c>
      <c r="CG40" s="109"/>
      <c r="CH40" s="109"/>
      <c r="CI40" s="109"/>
      <c r="CJ40" s="109"/>
      <c r="CK40" s="109">
        <f>COUNTIF(CK4:CK34,"休業")</f>
        <v>0</v>
      </c>
      <c r="CL40" s="109"/>
      <c r="CM40" s="109"/>
      <c r="CN40" s="109"/>
      <c r="CO40" s="109"/>
      <c r="CP40" s="109">
        <f>COUNTIF(CP4:CP34,"休業")</f>
        <v>0</v>
      </c>
      <c r="CQ40" s="109"/>
      <c r="CR40" s="109"/>
      <c r="CS40" s="109"/>
      <c r="CT40" s="109"/>
      <c r="CU40" s="109">
        <f>COUNTIF(CU4:CU34,"休業")</f>
        <v>0</v>
      </c>
      <c r="CV40" s="109"/>
      <c r="CW40" s="109"/>
      <c r="CX40" s="109"/>
      <c r="CY40" s="109"/>
      <c r="CZ40" s="109">
        <f>COUNTIF(CZ4:CZ34,"休業")</f>
        <v>0</v>
      </c>
      <c r="DA40" s="109"/>
      <c r="DB40" s="109"/>
      <c r="DC40" s="109"/>
      <c r="DD40" s="109"/>
      <c r="DE40" s="109">
        <f>COUNTIF(DE4:DE34,"休業")</f>
        <v>0</v>
      </c>
      <c r="DF40" s="109"/>
      <c r="DG40" s="109"/>
      <c r="DH40" s="109"/>
      <c r="DI40" s="109"/>
      <c r="DJ40" s="109">
        <f>COUNTIF(DJ4:DJ34,"休業")</f>
        <v>0</v>
      </c>
      <c r="DK40" s="109"/>
      <c r="DL40" s="109"/>
      <c r="DM40" s="109"/>
      <c r="DN40" s="109"/>
      <c r="DO40" s="109">
        <f>COUNTIF(DO4:DO34,"休業")</f>
        <v>0</v>
      </c>
      <c r="DP40" s="109"/>
      <c r="DQ40" s="109"/>
      <c r="DR40" s="109"/>
      <c r="DS40" s="109"/>
      <c r="DT40" s="109">
        <f>COUNTIF(DT4:DT34,"休業")</f>
        <v>0</v>
      </c>
      <c r="DU40" s="109"/>
      <c r="DV40" s="109"/>
      <c r="DW40" s="109"/>
      <c r="DX40" s="109"/>
      <c r="DY40" s="109">
        <f>COUNTIF(DY4:DY34,"休業")</f>
        <v>0</v>
      </c>
      <c r="DZ40" s="109"/>
      <c r="EA40" s="109"/>
      <c r="EB40" s="109"/>
      <c r="EC40" s="109"/>
      <c r="ED40" s="109">
        <f>COUNTIF(ED4:ED34,"休業")</f>
        <v>0</v>
      </c>
      <c r="EE40" s="109"/>
      <c r="EF40" s="109"/>
      <c r="EG40" s="109"/>
      <c r="EH40" s="109"/>
      <c r="EI40" s="109">
        <f>COUNTIF(EI4:EI34,"休業")</f>
        <v>0</v>
      </c>
      <c r="EJ40" s="109"/>
      <c r="EK40" s="109"/>
      <c r="EL40" s="109"/>
      <c r="EM40" s="109"/>
      <c r="EN40" s="109">
        <f>COUNTIF(EN4:EN34,"休業")</f>
        <v>0</v>
      </c>
      <c r="EO40" s="109"/>
      <c r="EP40" s="109"/>
      <c r="EQ40" s="109"/>
      <c r="ER40" s="109"/>
      <c r="ES40" s="109">
        <f>COUNTIF(ES4:ES34,"休業")</f>
        <v>0</v>
      </c>
      <c r="ET40" s="109"/>
      <c r="EU40" s="109"/>
      <c r="EV40" s="109"/>
      <c r="EW40" s="109"/>
    </row>
  </sheetData>
  <mergeCells count="217">
    <mergeCell ref="ED40:EH40"/>
    <mergeCell ref="EI40:EM40"/>
    <mergeCell ref="EN40:ER40"/>
    <mergeCell ref="ES40:EW40"/>
    <mergeCell ref="CK40:CO40"/>
    <mergeCell ref="CP40:CT40"/>
    <mergeCell ref="CU40:CY40"/>
    <mergeCell ref="CZ40:DD40"/>
    <mergeCell ref="DE40:DI40"/>
    <mergeCell ref="DJ40:DN40"/>
    <mergeCell ref="DO40:DS40"/>
    <mergeCell ref="DT40:DX40"/>
    <mergeCell ref="DY40:EC40"/>
    <mergeCell ref="DT39:DX39"/>
    <mergeCell ref="DY39:EC39"/>
    <mergeCell ref="ED39:EH39"/>
    <mergeCell ref="EI39:EM39"/>
    <mergeCell ref="EN39:ER39"/>
    <mergeCell ref="ES39:EW39"/>
    <mergeCell ref="A40:C40"/>
    <mergeCell ref="D40:H40"/>
    <mergeCell ref="I40:M40"/>
    <mergeCell ref="N40:R40"/>
    <mergeCell ref="S40:W40"/>
    <mergeCell ref="X40:AB40"/>
    <mergeCell ref="AC40:AG40"/>
    <mergeCell ref="AH40:AL40"/>
    <mergeCell ref="AM40:AQ40"/>
    <mergeCell ref="AR40:AV40"/>
    <mergeCell ref="AW40:BA40"/>
    <mergeCell ref="BB40:BF40"/>
    <mergeCell ref="BG40:BK40"/>
    <mergeCell ref="BL40:BP40"/>
    <mergeCell ref="BQ40:BU40"/>
    <mergeCell ref="BV40:BZ40"/>
    <mergeCell ref="CA40:CE40"/>
    <mergeCell ref="CF40:CJ40"/>
    <mergeCell ref="CA39:CE39"/>
    <mergeCell ref="CF39:CJ39"/>
    <mergeCell ref="CK39:CO39"/>
    <mergeCell ref="CP39:CT39"/>
    <mergeCell ref="CU39:CY39"/>
    <mergeCell ref="CZ39:DD39"/>
    <mergeCell ref="DE39:DI39"/>
    <mergeCell ref="DJ39:DN39"/>
    <mergeCell ref="DO39:DS39"/>
    <mergeCell ref="DJ38:DN38"/>
    <mergeCell ref="DO38:DS38"/>
    <mergeCell ref="DT38:DX38"/>
    <mergeCell ref="DY38:EC38"/>
    <mergeCell ref="ED38:EH38"/>
    <mergeCell ref="EI38:EM38"/>
    <mergeCell ref="EN38:ER38"/>
    <mergeCell ref="ES38:EW38"/>
    <mergeCell ref="A39:C39"/>
    <mergeCell ref="D39:H39"/>
    <mergeCell ref="I39:M39"/>
    <mergeCell ref="N39:R39"/>
    <mergeCell ref="S39:W39"/>
    <mergeCell ref="X39:AB39"/>
    <mergeCell ref="AC39:AG39"/>
    <mergeCell ref="AH39:AL39"/>
    <mergeCell ref="AM39:AQ39"/>
    <mergeCell ref="AR39:AV39"/>
    <mergeCell ref="AW39:BA39"/>
    <mergeCell ref="BB39:BF39"/>
    <mergeCell ref="BG39:BK39"/>
    <mergeCell ref="BL39:BP39"/>
    <mergeCell ref="BQ39:BU39"/>
    <mergeCell ref="BV39:BZ39"/>
    <mergeCell ref="ES37:EW37"/>
    <mergeCell ref="A38:C38"/>
    <mergeCell ref="D38:H38"/>
    <mergeCell ref="I38:M38"/>
    <mergeCell ref="N38:R38"/>
    <mergeCell ref="S38:W38"/>
    <mergeCell ref="X38:AB38"/>
    <mergeCell ref="AC38:AG38"/>
    <mergeCell ref="AH38:AL38"/>
    <mergeCell ref="AM38:AQ38"/>
    <mergeCell ref="AR38:AV38"/>
    <mergeCell ref="AW38:BA38"/>
    <mergeCell ref="BB38:BF38"/>
    <mergeCell ref="BG38:BK38"/>
    <mergeCell ref="BL38:BP38"/>
    <mergeCell ref="BQ38:BU38"/>
    <mergeCell ref="BV38:BZ38"/>
    <mergeCell ref="CA38:CE38"/>
    <mergeCell ref="CF38:CJ38"/>
    <mergeCell ref="CK38:CO38"/>
    <mergeCell ref="CP38:CT38"/>
    <mergeCell ref="CU38:CY38"/>
    <mergeCell ref="CZ38:DD38"/>
    <mergeCell ref="DE38:DI38"/>
    <mergeCell ref="CZ37:DD37"/>
    <mergeCell ref="DE37:DI37"/>
    <mergeCell ref="DJ37:DN37"/>
    <mergeCell ref="DO37:DS37"/>
    <mergeCell ref="DT37:DX37"/>
    <mergeCell ref="DY37:EC37"/>
    <mergeCell ref="ED37:EH37"/>
    <mergeCell ref="EI37:EM37"/>
    <mergeCell ref="EN37:ER37"/>
    <mergeCell ref="EI36:EM36"/>
    <mergeCell ref="EN36:ER36"/>
    <mergeCell ref="ES36:EW36"/>
    <mergeCell ref="A37:C37"/>
    <mergeCell ref="D37:H37"/>
    <mergeCell ref="I37:M37"/>
    <mergeCell ref="N37:R37"/>
    <mergeCell ref="S37:W37"/>
    <mergeCell ref="X37:AB37"/>
    <mergeCell ref="AC37:AG37"/>
    <mergeCell ref="AH37:AL37"/>
    <mergeCell ref="AM37:AQ37"/>
    <mergeCell ref="AR37:AV37"/>
    <mergeCell ref="AW37:BA37"/>
    <mergeCell ref="BB37:BF37"/>
    <mergeCell ref="BG37:BK37"/>
    <mergeCell ref="BL37:BP37"/>
    <mergeCell ref="BQ37:BU37"/>
    <mergeCell ref="BV37:BZ37"/>
    <mergeCell ref="CA37:CE37"/>
    <mergeCell ref="CF37:CJ37"/>
    <mergeCell ref="CK37:CO37"/>
    <mergeCell ref="CP37:CT37"/>
    <mergeCell ref="CU37:CY37"/>
    <mergeCell ref="CP36:CT36"/>
    <mergeCell ref="CU36:CY36"/>
    <mergeCell ref="CZ36:DD36"/>
    <mergeCell ref="DE36:DI36"/>
    <mergeCell ref="DJ36:DN36"/>
    <mergeCell ref="DO36:DS36"/>
    <mergeCell ref="DT36:DX36"/>
    <mergeCell ref="DY36:EC36"/>
    <mergeCell ref="ED36:EH36"/>
    <mergeCell ref="DY35:EC35"/>
    <mergeCell ref="ED35:EH35"/>
    <mergeCell ref="EI35:EM35"/>
    <mergeCell ref="EN35:ER35"/>
    <mergeCell ref="ES35:EW35"/>
    <mergeCell ref="A36:C36"/>
    <mergeCell ref="D36:H36"/>
    <mergeCell ref="I36:M36"/>
    <mergeCell ref="N36:R36"/>
    <mergeCell ref="S36:W36"/>
    <mergeCell ref="X36:AB36"/>
    <mergeCell ref="AC36:AG36"/>
    <mergeCell ref="AH36:AL36"/>
    <mergeCell ref="AM36:AQ36"/>
    <mergeCell ref="AR36:AV36"/>
    <mergeCell ref="AW36:BA36"/>
    <mergeCell ref="BB36:BF36"/>
    <mergeCell ref="BG36:BK36"/>
    <mergeCell ref="BL36:BP36"/>
    <mergeCell ref="BQ36:BU36"/>
    <mergeCell ref="BV36:BZ36"/>
    <mergeCell ref="CA36:CE36"/>
    <mergeCell ref="CF36:CJ36"/>
    <mergeCell ref="CK36:CO36"/>
    <mergeCell ref="CF35:CJ35"/>
    <mergeCell ref="CK35:CO35"/>
    <mergeCell ref="CP35:CT35"/>
    <mergeCell ref="CU35:CY35"/>
    <mergeCell ref="CZ35:DD35"/>
    <mergeCell ref="DE35:DI35"/>
    <mergeCell ref="DJ35:DN35"/>
    <mergeCell ref="DO35:DS35"/>
    <mergeCell ref="DT35:DX35"/>
    <mergeCell ref="DO2:DS2"/>
    <mergeCell ref="DT2:DX2"/>
    <mergeCell ref="DY2:EC2"/>
    <mergeCell ref="ED2:EH2"/>
    <mergeCell ref="EI2:EM2"/>
    <mergeCell ref="EN2:ER2"/>
    <mergeCell ref="ES2:EW2"/>
    <mergeCell ref="A35:C35"/>
    <mergeCell ref="D35:H35"/>
    <mergeCell ref="I35:M35"/>
    <mergeCell ref="N35:R35"/>
    <mergeCell ref="S35:W35"/>
    <mergeCell ref="X35:AB35"/>
    <mergeCell ref="AC35:AG35"/>
    <mergeCell ref="AH35:AL35"/>
    <mergeCell ref="AM35:AQ35"/>
    <mergeCell ref="AR35:AV35"/>
    <mergeCell ref="AW35:BA35"/>
    <mergeCell ref="BB35:BF35"/>
    <mergeCell ref="BG35:BK35"/>
    <mergeCell ref="BL35:BP35"/>
    <mergeCell ref="BQ35:BU35"/>
    <mergeCell ref="BV35:BZ35"/>
    <mergeCell ref="CA35:CE35"/>
    <mergeCell ref="A1:EW1"/>
    <mergeCell ref="D2:H2"/>
    <mergeCell ref="I2:M2"/>
    <mergeCell ref="N2:R2"/>
    <mergeCell ref="S2:W2"/>
    <mergeCell ref="X2:AB2"/>
    <mergeCell ref="AC2:AG2"/>
    <mergeCell ref="AH2:AL2"/>
    <mergeCell ref="AM2:AQ2"/>
    <mergeCell ref="AR2:AV2"/>
    <mergeCell ref="AW2:BA2"/>
    <mergeCell ref="BB2:BF2"/>
    <mergeCell ref="BG2:BK2"/>
    <mergeCell ref="BL2:BP2"/>
    <mergeCell ref="BQ2:BU2"/>
    <mergeCell ref="BV2:BZ2"/>
    <mergeCell ref="CA2:CE2"/>
    <mergeCell ref="CF2:CJ2"/>
    <mergeCell ref="CK2:CO2"/>
    <mergeCell ref="CP2:CT2"/>
    <mergeCell ref="CU2:CY2"/>
    <mergeCell ref="CZ2:DD2"/>
    <mergeCell ref="DE2:DI2"/>
    <mergeCell ref="DJ2:DN2"/>
  </mergeCells>
  <phoneticPr fontId="51"/>
  <conditionalFormatting sqref="A4:EW34">
    <cfRule type="expression" dxfId="631" priority="63">
      <formula>$B4="日"</formula>
    </cfRule>
    <cfRule type="expression" dxfId="630" priority="64">
      <formula>$B4="土"</formula>
    </cfRule>
    <cfRule type="expression" dxfId="629" priority="62">
      <formula>AND($A4&lt;&gt;"",ISNUMBER(MATCH(DATE(対象年度,4,$A4),祝日リスト,0)))</formula>
    </cfRule>
  </conditionalFormatting>
  <conditionalFormatting sqref="D4:D34">
    <cfRule type="expression" dxfId="628" priority="3">
      <formula>$D4="休業"</formula>
    </cfRule>
    <cfRule type="expression" dxfId="627" priority="2">
      <formula>$D4="有給"</formula>
    </cfRule>
  </conditionalFormatting>
  <conditionalFormatting sqref="I4:I34">
    <cfRule type="expression" dxfId="626" priority="4">
      <formula>$I4="有給"</formula>
    </cfRule>
    <cfRule type="expression" dxfId="625" priority="5">
      <formula>$I4="休業"</formula>
    </cfRule>
  </conditionalFormatting>
  <conditionalFormatting sqref="N4:N34">
    <cfRule type="expression" dxfId="624" priority="6">
      <formula>$N4="有給"</formula>
    </cfRule>
    <cfRule type="expression" dxfId="623" priority="7">
      <formula>$N4="休業"</formula>
    </cfRule>
  </conditionalFormatting>
  <conditionalFormatting sqref="S4:S34">
    <cfRule type="expression" dxfId="622" priority="8">
      <formula>$S4="有給"</formula>
    </cfRule>
    <cfRule type="expression" dxfId="621" priority="9">
      <formula>$S4="休業"</formula>
    </cfRule>
  </conditionalFormatting>
  <conditionalFormatting sqref="X4:X34">
    <cfRule type="expression" dxfId="620" priority="10">
      <formula>$X4="有給"</formula>
    </cfRule>
    <cfRule type="expression" dxfId="619" priority="11">
      <formula>$X4="休業"</formula>
    </cfRule>
  </conditionalFormatting>
  <conditionalFormatting sqref="AC4:AC34">
    <cfRule type="expression" dxfId="618" priority="12">
      <formula>$AC4="有給"</formula>
    </cfRule>
    <cfRule type="expression" dxfId="617" priority="13">
      <formula>$AC4="休業"</formula>
    </cfRule>
  </conditionalFormatting>
  <conditionalFormatting sqref="AH4:AH34">
    <cfRule type="expression" dxfId="616" priority="14">
      <formula>$AH4="有給"</formula>
    </cfRule>
    <cfRule type="expression" dxfId="615" priority="15">
      <formula>$AH4="休業"</formula>
    </cfRule>
  </conditionalFormatting>
  <conditionalFormatting sqref="AM4:AM34">
    <cfRule type="expression" dxfId="614" priority="17">
      <formula>$AM4="休業"</formula>
    </cfRule>
    <cfRule type="expression" dxfId="613" priority="16">
      <formula>$AM4="有給"</formula>
    </cfRule>
  </conditionalFormatting>
  <conditionalFormatting sqref="AR4:AR34">
    <cfRule type="expression" dxfId="612" priority="19">
      <formula>$AR4="休業"</formula>
    </cfRule>
    <cfRule type="expression" dxfId="611" priority="18">
      <formula>$AR4="有給"</formula>
    </cfRule>
  </conditionalFormatting>
  <conditionalFormatting sqref="AW4:AW34">
    <cfRule type="expression" dxfId="610" priority="20">
      <formula>$AW4="有給"</formula>
    </cfRule>
    <cfRule type="expression" dxfId="609" priority="21">
      <formula>$AW4="休業"</formula>
    </cfRule>
  </conditionalFormatting>
  <conditionalFormatting sqref="BB4:BB34">
    <cfRule type="expression" dxfId="608" priority="22">
      <formula>$BB4="有給"</formula>
    </cfRule>
    <cfRule type="expression" dxfId="607" priority="23">
      <formula>$BB4="休業"</formula>
    </cfRule>
  </conditionalFormatting>
  <conditionalFormatting sqref="BG4:BG34">
    <cfRule type="expression" dxfId="606" priority="24">
      <formula>$BG4="有給"</formula>
    </cfRule>
    <cfRule type="expression" dxfId="605" priority="25">
      <formula>$BG4="休業"</formula>
    </cfRule>
  </conditionalFormatting>
  <conditionalFormatting sqref="BL4:BL34">
    <cfRule type="expression" dxfId="604" priority="26">
      <formula>$BL4="有給"</formula>
    </cfRule>
    <cfRule type="expression" dxfId="603" priority="27">
      <formula>$BL4="休業"</formula>
    </cfRule>
  </conditionalFormatting>
  <conditionalFormatting sqref="BQ4:BQ34">
    <cfRule type="expression" dxfId="602" priority="28">
      <formula>$BQ4="有給"</formula>
    </cfRule>
    <cfRule type="expression" dxfId="601" priority="29">
      <formula>$BQ4="休業"</formula>
    </cfRule>
  </conditionalFormatting>
  <conditionalFormatting sqref="BV4:BV34">
    <cfRule type="expression" dxfId="600" priority="30">
      <formula>$BV4="有給"</formula>
    </cfRule>
    <cfRule type="expression" dxfId="599" priority="31">
      <formula>$BV4="休業"</formula>
    </cfRule>
  </conditionalFormatting>
  <conditionalFormatting sqref="CA4:CA34">
    <cfRule type="expression" dxfId="598" priority="33">
      <formula>$CA4="休業"</formula>
    </cfRule>
    <cfRule type="expression" dxfId="597" priority="32">
      <formula>$CA4="有給"</formula>
    </cfRule>
  </conditionalFormatting>
  <conditionalFormatting sqref="CF4:CF34">
    <cfRule type="expression" dxfId="596" priority="34">
      <formula>$CF4="有給"</formula>
    </cfRule>
    <cfRule type="expression" dxfId="595" priority="35">
      <formula>$CF4="休業"</formula>
    </cfRule>
  </conditionalFormatting>
  <conditionalFormatting sqref="CK4:CK34">
    <cfRule type="expression" dxfId="594" priority="37">
      <formula>$CK4="休業"</formula>
    </cfRule>
    <cfRule type="expression" dxfId="593" priority="36">
      <formula>$CK4="有給"</formula>
    </cfRule>
  </conditionalFormatting>
  <conditionalFormatting sqref="CP4:CP34">
    <cfRule type="expression" dxfId="592" priority="38">
      <formula>$CP4="有給"</formula>
    </cfRule>
    <cfRule type="expression" dxfId="591" priority="39">
      <formula>$CP4="休業"</formula>
    </cfRule>
  </conditionalFormatting>
  <conditionalFormatting sqref="CU4:CU34">
    <cfRule type="expression" dxfId="590" priority="40">
      <formula>$CU4="有給"</formula>
    </cfRule>
    <cfRule type="expression" dxfId="589" priority="41">
      <formula>$CU4="休業"</formula>
    </cfRule>
  </conditionalFormatting>
  <conditionalFormatting sqref="CZ4:CZ34">
    <cfRule type="expression" dxfId="588" priority="42">
      <formula>$CZ4="有給"</formula>
    </cfRule>
    <cfRule type="expression" dxfId="587" priority="43">
      <formula>$CZ4="休業"</formula>
    </cfRule>
  </conditionalFormatting>
  <conditionalFormatting sqref="DE4:DE34">
    <cfRule type="expression" dxfId="586" priority="44">
      <formula>$DE4="有給"</formula>
    </cfRule>
    <cfRule type="expression" dxfId="585" priority="45">
      <formula>$DE4="休業"</formula>
    </cfRule>
  </conditionalFormatting>
  <conditionalFormatting sqref="DJ4:DJ34">
    <cfRule type="expression" dxfId="584" priority="46">
      <formula>$DJ4="有給"</formula>
    </cfRule>
    <cfRule type="expression" dxfId="583" priority="47">
      <formula>$DJ4="休業"</formula>
    </cfRule>
  </conditionalFormatting>
  <conditionalFormatting sqref="DO4:DO34">
    <cfRule type="expression" dxfId="582" priority="48">
      <formula>$DO4="有給"</formula>
    </cfRule>
    <cfRule type="expression" dxfId="581" priority="49">
      <formula>$DO4="休業"</formula>
    </cfRule>
  </conditionalFormatting>
  <conditionalFormatting sqref="DT4:DT34">
    <cfRule type="expression" dxfId="580" priority="51">
      <formula>$DT4="休業"</formula>
    </cfRule>
    <cfRule type="expression" dxfId="579" priority="50">
      <formula>$DT4="有給"</formula>
    </cfRule>
  </conditionalFormatting>
  <conditionalFormatting sqref="DY4:DY34">
    <cfRule type="expression" dxfId="578" priority="52">
      <formula>$DY4="有給"</formula>
    </cfRule>
    <cfRule type="expression" dxfId="577" priority="53">
      <formula>$DY4="休業"</formula>
    </cfRule>
  </conditionalFormatting>
  <conditionalFormatting sqref="ED4:ED34">
    <cfRule type="expression" dxfId="576" priority="54">
      <formula>$ED4="有給"</formula>
    </cfRule>
    <cfRule type="expression" dxfId="575" priority="55">
      <formula>$ED4="休業"</formula>
    </cfRule>
  </conditionalFormatting>
  <conditionalFormatting sqref="EI4:EI34">
    <cfRule type="expression" dxfId="574" priority="56">
      <formula>$EI4="有給"</formula>
    </cfRule>
    <cfRule type="expression" dxfId="573" priority="57">
      <formula>$EI4="休業"</formula>
    </cfRule>
  </conditionalFormatting>
  <conditionalFormatting sqref="EN4:EN34">
    <cfRule type="expression" dxfId="572" priority="58">
      <formula>$EN4="有給"</formula>
    </cfRule>
    <cfRule type="expression" dxfId="571" priority="59">
      <formula>$EN4="休業"</formula>
    </cfRule>
  </conditionalFormatting>
  <conditionalFormatting sqref="ES4:ES34">
    <cfRule type="expression" dxfId="570" priority="60">
      <formula>$ES4="有給"</formula>
    </cfRule>
    <cfRule type="expression" dxfId="569" priority="61">
      <formula>$ES4="休業"</formula>
    </cfRule>
  </conditionalFormatting>
  <pageMargins left="0.31496062992125984" right="0.31496062992125984" top="0.98425196850393704" bottom="0.98425196850393704" header="0.51181102362204722" footer="0.51181102362204722"/>
  <pageSetup paperSize="8" scale="14" orientation="landscape" horizontalDpi="300" verticalDpi="300" r:id="rId1"/>
  <headerFooter>
    <oddFooter>&amp;C&amp;"ＭＳ Ｐゴシック,標準"制作：有限会社水越設備&amp;Rsp-mizukoshi.jp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00000000-0002-0000-0700-000000000000}">
          <x14:formula1>
            <xm:f>現場マスタ!$C$4:$C$43</xm:f>
          </x14:formula1>
          <x14:formula2>
            <xm:f>0</xm:f>
          </x14:formula2>
          <xm:sqref>D4:E34 I4:J34 N4:O34 S4:T34 X4:Y34 AC4:AD34 AH4:AI34 AM4:AN34 AR4:AS34 AW4:AX34 BB4:BC34 BG4:BH34 BL4:BM34 BQ4:BR34 BV4:BW34 CA4:CB34 CF4:CG34 CK4:CL34 CP4:CQ34 CU4:CV34 CZ4:DA34 DE4:DF34 DJ4:DK34 DO4:DP34 DT4:DU34 DY4:DZ34 ED4:EE34 EI4:EJ34 EN4:EO34 ES4:ET34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EW40"/>
  <sheetViews>
    <sheetView zoomScaleNormal="100" workbookViewId="0">
      <pane xSplit="3" ySplit="3" topLeftCell="D4" activePane="bottomRight" state="frozen"/>
      <selection sqref="A1:EW1"/>
      <selection pane="topRight" sqref="A1:EW1"/>
      <selection pane="bottomLeft" sqref="A1:EW1"/>
      <selection pane="bottomRight" sqref="A1:EW1"/>
    </sheetView>
  </sheetViews>
  <sheetFormatPr defaultColWidth="8.7109375" defaultRowHeight="15"/>
  <cols>
    <col min="1" max="1" width="5" customWidth="1"/>
    <col min="2" max="3" width="4" customWidth="1"/>
    <col min="4" max="5" width="13" customWidth="1"/>
    <col min="6" max="7" width="6" customWidth="1"/>
    <col min="8" max="8" width="7" customWidth="1"/>
    <col min="9" max="10" width="13" customWidth="1"/>
    <col min="11" max="12" width="6" customWidth="1"/>
    <col min="13" max="13" width="7" customWidth="1"/>
    <col min="14" max="15" width="13" customWidth="1"/>
    <col min="16" max="17" width="6" customWidth="1"/>
    <col min="18" max="18" width="7" customWidth="1"/>
    <col min="19" max="20" width="13" customWidth="1"/>
    <col min="21" max="22" width="6" customWidth="1"/>
    <col min="23" max="23" width="7" customWidth="1"/>
    <col min="24" max="25" width="13" customWidth="1"/>
    <col min="26" max="27" width="6" customWidth="1"/>
    <col min="28" max="28" width="7" customWidth="1"/>
    <col min="29" max="30" width="13" customWidth="1"/>
    <col min="31" max="32" width="6" customWidth="1"/>
    <col min="33" max="33" width="7" customWidth="1"/>
    <col min="34" max="35" width="13" customWidth="1"/>
    <col min="36" max="37" width="6" customWidth="1"/>
    <col min="38" max="38" width="7" customWidth="1"/>
    <col min="39" max="40" width="13" customWidth="1"/>
    <col min="41" max="42" width="6" customWidth="1"/>
    <col min="43" max="43" width="7" customWidth="1"/>
    <col min="44" max="45" width="13" customWidth="1"/>
    <col min="46" max="47" width="6" customWidth="1"/>
    <col min="48" max="48" width="7" customWidth="1"/>
    <col min="49" max="50" width="13" customWidth="1"/>
    <col min="51" max="52" width="6" customWidth="1"/>
    <col min="53" max="53" width="7" customWidth="1"/>
    <col min="54" max="55" width="13" customWidth="1"/>
    <col min="56" max="57" width="6" customWidth="1"/>
    <col min="58" max="58" width="7" customWidth="1"/>
    <col min="59" max="60" width="13" customWidth="1"/>
    <col min="61" max="62" width="6" customWidth="1"/>
    <col min="63" max="63" width="7" customWidth="1"/>
    <col min="64" max="65" width="13" customWidth="1"/>
    <col min="66" max="67" width="6" customWidth="1"/>
    <col min="68" max="68" width="7" customWidth="1"/>
    <col min="69" max="70" width="13" customWidth="1"/>
    <col min="71" max="72" width="6" customWidth="1"/>
    <col min="73" max="73" width="7" customWidth="1"/>
    <col min="74" max="75" width="13" customWidth="1"/>
    <col min="76" max="77" width="6" customWidth="1"/>
    <col min="78" max="78" width="7" customWidth="1"/>
    <col min="79" max="80" width="13" customWidth="1"/>
    <col min="81" max="82" width="6" customWidth="1"/>
    <col min="83" max="83" width="7" customWidth="1"/>
    <col min="84" max="85" width="13" customWidth="1"/>
    <col min="86" max="87" width="6" customWidth="1"/>
    <col min="88" max="88" width="7" customWidth="1"/>
    <col min="89" max="90" width="13" customWidth="1"/>
    <col min="91" max="92" width="6" customWidth="1"/>
    <col min="93" max="93" width="7" customWidth="1"/>
    <col min="94" max="95" width="13" customWidth="1"/>
    <col min="96" max="97" width="6" customWidth="1"/>
    <col min="98" max="98" width="7" customWidth="1"/>
    <col min="99" max="100" width="13" customWidth="1"/>
    <col min="101" max="102" width="6" customWidth="1"/>
    <col min="103" max="103" width="7" customWidth="1"/>
    <col min="104" max="105" width="13" customWidth="1"/>
    <col min="106" max="107" width="6" customWidth="1"/>
    <col min="108" max="108" width="7" customWidth="1"/>
    <col min="109" max="110" width="13" customWidth="1"/>
    <col min="111" max="112" width="6" customWidth="1"/>
    <col min="113" max="113" width="7" customWidth="1"/>
    <col min="114" max="115" width="13" customWidth="1"/>
    <col min="116" max="117" width="6" customWidth="1"/>
    <col min="118" max="118" width="7" customWidth="1"/>
    <col min="119" max="120" width="13" customWidth="1"/>
    <col min="121" max="122" width="6" customWidth="1"/>
    <col min="123" max="123" width="7" customWidth="1"/>
    <col min="124" max="125" width="13" customWidth="1"/>
    <col min="126" max="127" width="6" customWidth="1"/>
    <col min="128" max="128" width="7" customWidth="1"/>
    <col min="129" max="130" width="13" customWidth="1"/>
    <col min="131" max="132" width="6" customWidth="1"/>
    <col min="133" max="133" width="7" customWidth="1"/>
    <col min="134" max="135" width="13" customWidth="1"/>
    <col min="136" max="137" width="6" customWidth="1"/>
    <col min="138" max="138" width="7" customWidth="1"/>
    <col min="139" max="140" width="13" customWidth="1"/>
    <col min="141" max="142" width="6" customWidth="1"/>
    <col min="143" max="143" width="7" customWidth="1"/>
    <col min="144" max="145" width="13" customWidth="1"/>
    <col min="146" max="147" width="6" customWidth="1"/>
    <col min="148" max="148" width="7" customWidth="1"/>
    <col min="149" max="150" width="13" customWidth="1"/>
    <col min="151" max="152" width="6" customWidth="1"/>
    <col min="153" max="153" width="7" customWidth="1"/>
  </cols>
  <sheetData>
    <row r="1" spans="1:153" ht="36" customHeight="1">
      <c r="A1" s="96" t="str">
        <f>" "&amp;対象年度&amp;"年 5月分　出面表　"</f>
        <v xml:space="preserve"> 2026年 5月分　出面表　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  <c r="BT1" s="96"/>
      <c r="BU1" s="96"/>
      <c r="BV1" s="96"/>
      <c r="BW1" s="96"/>
      <c r="BX1" s="96"/>
      <c r="BY1" s="96"/>
      <c r="BZ1" s="96"/>
      <c r="CA1" s="96"/>
      <c r="CB1" s="96"/>
      <c r="CC1" s="96"/>
      <c r="CD1" s="96"/>
      <c r="CE1" s="96"/>
      <c r="CF1" s="96"/>
      <c r="CG1" s="96"/>
      <c r="CH1" s="96"/>
      <c r="CI1" s="96"/>
      <c r="CJ1" s="96"/>
      <c r="CK1" s="96"/>
      <c r="CL1" s="96"/>
      <c r="CM1" s="96"/>
      <c r="CN1" s="96"/>
      <c r="CO1" s="96"/>
      <c r="CP1" s="96"/>
      <c r="CQ1" s="96"/>
      <c r="CR1" s="96"/>
      <c r="CS1" s="96"/>
      <c r="CT1" s="96"/>
      <c r="CU1" s="96"/>
      <c r="CV1" s="96"/>
      <c r="CW1" s="96"/>
      <c r="CX1" s="96"/>
      <c r="CY1" s="96"/>
      <c r="CZ1" s="96"/>
      <c r="DA1" s="96"/>
      <c r="DB1" s="96"/>
      <c r="DC1" s="96"/>
      <c r="DD1" s="96"/>
      <c r="DE1" s="96"/>
      <c r="DF1" s="96"/>
      <c r="DG1" s="96"/>
      <c r="DH1" s="96"/>
      <c r="DI1" s="96"/>
      <c r="DJ1" s="96"/>
      <c r="DK1" s="96"/>
      <c r="DL1" s="96"/>
      <c r="DM1" s="96"/>
      <c r="DN1" s="96"/>
      <c r="DO1" s="96"/>
      <c r="DP1" s="96"/>
      <c r="DQ1" s="96"/>
      <c r="DR1" s="96"/>
      <c r="DS1" s="96"/>
      <c r="DT1" s="96"/>
      <c r="DU1" s="96"/>
      <c r="DV1" s="96"/>
      <c r="DW1" s="96"/>
      <c r="DX1" s="96"/>
      <c r="DY1" s="96"/>
      <c r="DZ1" s="96"/>
      <c r="EA1" s="96"/>
      <c r="EB1" s="96"/>
      <c r="EC1" s="96"/>
      <c r="ED1" s="96"/>
      <c r="EE1" s="96"/>
      <c r="EF1" s="96"/>
      <c r="EG1" s="96"/>
      <c r="EH1" s="96"/>
      <c r="EI1" s="96"/>
      <c r="EJ1" s="96"/>
      <c r="EK1" s="96"/>
      <c r="EL1" s="96"/>
      <c r="EM1" s="96"/>
      <c r="EN1" s="96"/>
      <c r="EO1" s="96"/>
      <c r="EP1" s="96"/>
      <c r="EQ1" s="96"/>
      <c r="ER1" s="96"/>
      <c r="ES1" s="96"/>
      <c r="ET1" s="96"/>
      <c r="EU1" s="96"/>
      <c r="EV1" s="96"/>
      <c r="EW1" s="96"/>
    </row>
    <row r="2" spans="1:153" ht="25.5" customHeight="1">
      <c r="A2" s="21"/>
      <c r="B2" s="21"/>
      <c r="C2" s="21"/>
      <c r="D2" s="97" t="str">
        <f>IFERROR(IF(従業員マスタ!$C$4="","",対象年度&amp;"年5月　"&amp;従業員マスタ!$C$4),"")</f>
        <v>2026年5月　代表 太郎</v>
      </c>
      <c r="E2" s="97"/>
      <c r="F2" s="97"/>
      <c r="G2" s="97"/>
      <c r="H2" s="97"/>
      <c r="I2" s="97" t="str">
        <f>IFERROR(IF(従業員マスタ!$C$5="","",対象年度&amp;"年5月　"&amp;従業員マスタ!$C$5),"")</f>
        <v>2026年5月　専務 次郎</v>
      </c>
      <c r="J2" s="97"/>
      <c r="K2" s="97"/>
      <c r="L2" s="97"/>
      <c r="M2" s="97"/>
      <c r="N2" s="97" t="str">
        <f>IFERROR(IF(従業員マスタ!$C$6="","",対象年度&amp;"年5月　"&amp;従業員マスタ!$C$6),"")</f>
        <v>2026年5月　山田 一郎</v>
      </c>
      <c r="O2" s="97"/>
      <c r="P2" s="97"/>
      <c r="Q2" s="97"/>
      <c r="R2" s="97"/>
      <c r="S2" s="97" t="str">
        <f>IFERROR(IF(従業員マスタ!$C$7="","",対象年度&amp;"年5月　"&amp;従業員マスタ!$C$7),"")</f>
        <v>2026年5月　鈴木 二郎</v>
      </c>
      <c r="T2" s="97"/>
      <c r="U2" s="97"/>
      <c r="V2" s="97"/>
      <c r="W2" s="97"/>
      <c r="X2" s="97" t="str">
        <f>IFERROR(IF(従業員マスタ!$C$8="","",対象年度&amp;"年5月　"&amp;従業員マスタ!$C$8),"")</f>
        <v>2026年5月　佐藤 三郎</v>
      </c>
      <c r="Y2" s="97"/>
      <c r="Z2" s="97"/>
      <c r="AA2" s="97"/>
      <c r="AB2" s="97"/>
      <c r="AC2" s="97" t="str">
        <f>IFERROR(IF(従業員マスタ!$C$9="","",対象年度&amp;"年5月　"&amp;従業員マスタ!$C$9),"")</f>
        <v>2026年5月　高橋 四郎</v>
      </c>
      <c r="AD2" s="97"/>
      <c r="AE2" s="97"/>
      <c r="AF2" s="97"/>
      <c r="AG2" s="97"/>
      <c r="AH2" s="97" t="str">
        <f>IFERROR(IF(従業員マスタ!$C$10="","",対象年度&amp;"年5月　"&amp;従業員マスタ!$C$10),"")</f>
        <v>2026年5月　田中 五郎</v>
      </c>
      <c r="AI2" s="97"/>
      <c r="AJ2" s="97"/>
      <c r="AK2" s="97"/>
      <c r="AL2" s="97"/>
      <c r="AM2" s="97" t="str">
        <f>IFERROR(IF(従業員マスタ!$C$11="","",対象年度&amp;"年5月　"&amp;従業員マスタ!$C$11),"")</f>
        <v>2026年5月　伊藤 六郎</v>
      </c>
      <c r="AN2" s="97"/>
      <c r="AO2" s="97"/>
      <c r="AP2" s="97"/>
      <c r="AQ2" s="97"/>
      <c r="AR2" s="97" t="str">
        <f>IFERROR(IF(従業員マスタ!$C$12="","",対象年度&amp;"年5月　"&amp;従業員マスタ!$C$12),"")</f>
        <v>2026年5月　渡辺 七郎</v>
      </c>
      <c r="AS2" s="97"/>
      <c r="AT2" s="97"/>
      <c r="AU2" s="97"/>
      <c r="AV2" s="97"/>
      <c r="AW2" s="97" t="str">
        <f>IFERROR(IF(従業員マスタ!$C$13="","",対象年度&amp;"年5月　"&amp;従業員マスタ!$C$13),"")</f>
        <v>2026年5月　中村 八郎</v>
      </c>
      <c r="AX2" s="97"/>
      <c r="AY2" s="97"/>
      <c r="AZ2" s="97"/>
      <c r="BA2" s="97"/>
      <c r="BB2" s="97" t="str">
        <f>IFERROR(IF(従業員マスタ!$C$14="","",対象年度&amp;"年5月　"&amp;従業員マスタ!$C$14),"")</f>
        <v>2026年5月　小林 九郎</v>
      </c>
      <c r="BC2" s="97"/>
      <c r="BD2" s="97"/>
      <c r="BE2" s="97"/>
      <c r="BF2" s="97"/>
      <c r="BG2" s="97" t="str">
        <f>IFERROR(IF(従業員マスタ!$C$15="","",対象年度&amp;"年5月　"&amp;従業員マスタ!$C$15),"")</f>
        <v>2026年5月　加藤 十郎</v>
      </c>
      <c r="BH2" s="97"/>
      <c r="BI2" s="97"/>
      <c r="BJ2" s="97"/>
      <c r="BK2" s="97"/>
      <c r="BL2" s="97" t="str">
        <f>IFERROR(IF(従業員マスタ!$C$16="","",対象年度&amp;"年5月　"&amp;従業員マスタ!$C$16),"")</f>
        <v/>
      </c>
      <c r="BM2" s="97"/>
      <c r="BN2" s="97"/>
      <c r="BO2" s="97"/>
      <c r="BP2" s="97"/>
      <c r="BQ2" s="97" t="str">
        <f>IFERROR(IF(従業員マスタ!$C$17="","",対象年度&amp;"年5月　"&amp;従業員マスタ!$C$17),"")</f>
        <v/>
      </c>
      <c r="BR2" s="97"/>
      <c r="BS2" s="97"/>
      <c r="BT2" s="97"/>
      <c r="BU2" s="97"/>
      <c r="BV2" s="97" t="str">
        <f>IFERROR(IF(従業員マスタ!$C$18="","",対象年度&amp;"年5月　"&amp;従業員マスタ!$C$18),"")</f>
        <v/>
      </c>
      <c r="BW2" s="97"/>
      <c r="BX2" s="97"/>
      <c r="BY2" s="97"/>
      <c r="BZ2" s="97"/>
      <c r="CA2" s="97" t="str">
        <f>IFERROR(IF(従業員マスタ!$C$19="","",対象年度&amp;"年5月　"&amp;従業員マスタ!$C$19),"")</f>
        <v/>
      </c>
      <c r="CB2" s="97"/>
      <c r="CC2" s="97"/>
      <c r="CD2" s="97"/>
      <c r="CE2" s="97"/>
      <c r="CF2" s="97" t="str">
        <f>IFERROR(IF(従業員マスタ!$C$20="","",対象年度&amp;"年5月　"&amp;従業員マスタ!$C$20),"")</f>
        <v/>
      </c>
      <c r="CG2" s="97"/>
      <c r="CH2" s="97"/>
      <c r="CI2" s="97"/>
      <c r="CJ2" s="97"/>
      <c r="CK2" s="97" t="str">
        <f>IFERROR(IF(従業員マスタ!$C$21="","",対象年度&amp;"年5月　"&amp;従業員マスタ!$C$21),"")</f>
        <v/>
      </c>
      <c r="CL2" s="97"/>
      <c r="CM2" s="97"/>
      <c r="CN2" s="97"/>
      <c r="CO2" s="97"/>
      <c r="CP2" s="97" t="str">
        <f>IFERROR(IF(従業員マスタ!$C$22="","",対象年度&amp;"年5月　"&amp;従業員マスタ!$C$22),"")</f>
        <v/>
      </c>
      <c r="CQ2" s="97"/>
      <c r="CR2" s="97"/>
      <c r="CS2" s="97"/>
      <c r="CT2" s="97"/>
      <c r="CU2" s="97" t="str">
        <f>IFERROR(IF(従業員マスタ!$C$23="","",対象年度&amp;"年5月　"&amp;従業員マスタ!$C$23),"")</f>
        <v/>
      </c>
      <c r="CV2" s="97"/>
      <c r="CW2" s="97"/>
      <c r="CX2" s="97"/>
      <c r="CY2" s="97"/>
      <c r="CZ2" s="97" t="str">
        <f>IFERROR(IF(従業員マスタ!$C$24="","",対象年度&amp;"年5月　"&amp;従業員マスタ!$C$24),"")</f>
        <v/>
      </c>
      <c r="DA2" s="97"/>
      <c r="DB2" s="97"/>
      <c r="DC2" s="97"/>
      <c r="DD2" s="97"/>
      <c r="DE2" s="97" t="str">
        <f>IFERROR(IF(従業員マスタ!$C$25="","",対象年度&amp;"年5月　"&amp;従業員マスタ!$C$25),"")</f>
        <v/>
      </c>
      <c r="DF2" s="97"/>
      <c r="DG2" s="97"/>
      <c r="DH2" s="97"/>
      <c r="DI2" s="97"/>
      <c r="DJ2" s="97" t="str">
        <f>IFERROR(IF(従業員マスタ!$C$26="","",対象年度&amp;"年5月　"&amp;従業員マスタ!$C$26),"")</f>
        <v/>
      </c>
      <c r="DK2" s="97"/>
      <c r="DL2" s="97"/>
      <c r="DM2" s="97"/>
      <c r="DN2" s="97"/>
      <c r="DO2" s="97" t="str">
        <f>IFERROR(IF(従業員マスタ!$C$27="","",対象年度&amp;"年5月　"&amp;従業員マスタ!$C$27),"")</f>
        <v/>
      </c>
      <c r="DP2" s="97"/>
      <c r="DQ2" s="97"/>
      <c r="DR2" s="97"/>
      <c r="DS2" s="97"/>
      <c r="DT2" s="97" t="str">
        <f>IFERROR(IF(従業員マスタ!$C$28="","",対象年度&amp;"年5月　"&amp;従業員マスタ!$C$28),"")</f>
        <v/>
      </c>
      <c r="DU2" s="97"/>
      <c r="DV2" s="97"/>
      <c r="DW2" s="97"/>
      <c r="DX2" s="97"/>
      <c r="DY2" s="97" t="str">
        <f>IFERROR(IF(従業員マスタ!$C$29="","",対象年度&amp;"年5月　"&amp;従業員マスタ!$C$29),"")</f>
        <v/>
      </c>
      <c r="DZ2" s="97"/>
      <c r="EA2" s="97"/>
      <c r="EB2" s="97"/>
      <c r="EC2" s="97"/>
      <c r="ED2" s="97" t="str">
        <f>IFERROR(IF(従業員マスタ!$C$30="","",対象年度&amp;"年5月　"&amp;従業員マスタ!$C$30),"")</f>
        <v/>
      </c>
      <c r="EE2" s="97"/>
      <c r="EF2" s="97"/>
      <c r="EG2" s="97"/>
      <c r="EH2" s="97"/>
      <c r="EI2" s="97" t="str">
        <f>IFERROR(IF(従業員マスタ!$C$31="","",対象年度&amp;"年5月　"&amp;従業員マスタ!$C$31),"")</f>
        <v/>
      </c>
      <c r="EJ2" s="97"/>
      <c r="EK2" s="97"/>
      <c r="EL2" s="97"/>
      <c r="EM2" s="97"/>
      <c r="EN2" s="97" t="str">
        <f>IFERROR(IF(従業員マスタ!$C$32="","",対象年度&amp;"年5月　"&amp;従業員マスタ!$C$32),"")</f>
        <v/>
      </c>
      <c r="EO2" s="97"/>
      <c r="EP2" s="97"/>
      <c r="EQ2" s="97"/>
      <c r="ER2" s="97"/>
      <c r="ES2" s="97" t="str">
        <f>IFERROR(IF(従業員マスタ!$C$33="","",対象年度&amp;"年5月　"&amp;従業員マスタ!$C$33),"")</f>
        <v/>
      </c>
      <c r="ET2" s="97"/>
      <c r="EU2" s="97"/>
      <c r="EV2" s="97"/>
      <c r="EW2" s="97"/>
    </row>
    <row r="3" spans="1:153" ht="24" customHeight="1">
      <c r="A3" s="22" t="s">
        <v>108</v>
      </c>
      <c r="B3" s="22" t="s">
        <v>109</v>
      </c>
      <c r="C3" s="22" t="s">
        <v>110</v>
      </c>
      <c r="D3" s="23" t="s">
        <v>111</v>
      </c>
      <c r="E3" s="24" t="s">
        <v>112</v>
      </c>
      <c r="F3" s="22" t="s">
        <v>113</v>
      </c>
      <c r="G3" s="22" t="s">
        <v>114</v>
      </c>
      <c r="H3" s="25" t="s">
        <v>115</v>
      </c>
      <c r="I3" s="23" t="s">
        <v>111</v>
      </c>
      <c r="J3" s="24" t="s">
        <v>112</v>
      </c>
      <c r="K3" s="22" t="s">
        <v>113</v>
      </c>
      <c r="L3" s="22" t="s">
        <v>114</v>
      </c>
      <c r="M3" s="25" t="s">
        <v>115</v>
      </c>
      <c r="N3" s="23" t="s">
        <v>111</v>
      </c>
      <c r="O3" s="24" t="s">
        <v>112</v>
      </c>
      <c r="P3" s="22" t="s">
        <v>113</v>
      </c>
      <c r="Q3" s="22" t="s">
        <v>114</v>
      </c>
      <c r="R3" s="25" t="s">
        <v>115</v>
      </c>
      <c r="S3" s="23" t="s">
        <v>111</v>
      </c>
      <c r="T3" s="24" t="s">
        <v>112</v>
      </c>
      <c r="U3" s="22" t="s">
        <v>113</v>
      </c>
      <c r="V3" s="22" t="s">
        <v>114</v>
      </c>
      <c r="W3" s="25" t="s">
        <v>115</v>
      </c>
      <c r="X3" s="23" t="s">
        <v>111</v>
      </c>
      <c r="Y3" s="24" t="s">
        <v>112</v>
      </c>
      <c r="Z3" s="22" t="s">
        <v>113</v>
      </c>
      <c r="AA3" s="22" t="s">
        <v>114</v>
      </c>
      <c r="AB3" s="25" t="s">
        <v>115</v>
      </c>
      <c r="AC3" s="23" t="s">
        <v>111</v>
      </c>
      <c r="AD3" s="24" t="s">
        <v>112</v>
      </c>
      <c r="AE3" s="22" t="s">
        <v>113</v>
      </c>
      <c r="AF3" s="22" t="s">
        <v>114</v>
      </c>
      <c r="AG3" s="25" t="s">
        <v>115</v>
      </c>
      <c r="AH3" s="23" t="s">
        <v>111</v>
      </c>
      <c r="AI3" s="24" t="s">
        <v>112</v>
      </c>
      <c r="AJ3" s="22" t="s">
        <v>113</v>
      </c>
      <c r="AK3" s="22" t="s">
        <v>114</v>
      </c>
      <c r="AL3" s="25" t="s">
        <v>115</v>
      </c>
      <c r="AM3" s="23" t="s">
        <v>111</v>
      </c>
      <c r="AN3" s="24" t="s">
        <v>112</v>
      </c>
      <c r="AO3" s="22" t="s">
        <v>113</v>
      </c>
      <c r="AP3" s="22" t="s">
        <v>114</v>
      </c>
      <c r="AQ3" s="25" t="s">
        <v>115</v>
      </c>
      <c r="AR3" s="23" t="s">
        <v>111</v>
      </c>
      <c r="AS3" s="24" t="s">
        <v>112</v>
      </c>
      <c r="AT3" s="22" t="s">
        <v>113</v>
      </c>
      <c r="AU3" s="22" t="s">
        <v>114</v>
      </c>
      <c r="AV3" s="25" t="s">
        <v>115</v>
      </c>
      <c r="AW3" s="23" t="s">
        <v>111</v>
      </c>
      <c r="AX3" s="24" t="s">
        <v>112</v>
      </c>
      <c r="AY3" s="22" t="s">
        <v>113</v>
      </c>
      <c r="AZ3" s="22" t="s">
        <v>114</v>
      </c>
      <c r="BA3" s="25" t="s">
        <v>115</v>
      </c>
      <c r="BB3" s="23" t="s">
        <v>111</v>
      </c>
      <c r="BC3" s="24" t="s">
        <v>112</v>
      </c>
      <c r="BD3" s="22" t="s">
        <v>113</v>
      </c>
      <c r="BE3" s="22" t="s">
        <v>114</v>
      </c>
      <c r="BF3" s="25" t="s">
        <v>115</v>
      </c>
      <c r="BG3" s="23" t="s">
        <v>111</v>
      </c>
      <c r="BH3" s="24" t="s">
        <v>112</v>
      </c>
      <c r="BI3" s="22" t="s">
        <v>113</v>
      </c>
      <c r="BJ3" s="22" t="s">
        <v>114</v>
      </c>
      <c r="BK3" s="25" t="s">
        <v>115</v>
      </c>
      <c r="BL3" s="23" t="s">
        <v>111</v>
      </c>
      <c r="BM3" s="24" t="s">
        <v>112</v>
      </c>
      <c r="BN3" s="22" t="s">
        <v>113</v>
      </c>
      <c r="BO3" s="22" t="s">
        <v>114</v>
      </c>
      <c r="BP3" s="25" t="s">
        <v>115</v>
      </c>
      <c r="BQ3" s="23" t="s">
        <v>111</v>
      </c>
      <c r="BR3" s="24" t="s">
        <v>112</v>
      </c>
      <c r="BS3" s="22" t="s">
        <v>113</v>
      </c>
      <c r="BT3" s="22" t="s">
        <v>114</v>
      </c>
      <c r="BU3" s="25" t="s">
        <v>115</v>
      </c>
      <c r="BV3" s="23" t="s">
        <v>111</v>
      </c>
      <c r="BW3" s="24" t="s">
        <v>112</v>
      </c>
      <c r="BX3" s="22" t="s">
        <v>113</v>
      </c>
      <c r="BY3" s="22" t="s">
        <v>114</v>
      </c>
      <c r="BZ3" s="25" t="s">
        <v>115</v>
      </c>
      <c r="CA3" s="23" t="s">
        <v>111</v>
      </c>
      <c r="CB3" s="24" t="s">
        <v>112</v>
      </c>
      <c r="CC3" s="22" t="s">
        <v>113</v>
      </c>
      <c r="CD3" s="22" t="s">
        <v>114</v>
      </c>
      <c r="CE3" s="25" t="s">
        <v>115</v>
      </c>
      <c r="CF3" s="23" t="s">
        <v>111</v>
      </c>
      <c r="CG3" s="24" t="s">
        <v>112</v>
      </c>
      <c r="CH3" s="22" t="s">
        <v>113</v>
      </c>
      <c r="CI3" s="22" t="s">
        <v>114</v>
      </c>
      <c r="CJ3" s="25" t="s">
        <v>115</v>
      </c>
      <c r="CK3" s="23" t="s">
        <v>111</v>
      </c>
      <c r="CL3" s="24" t="s">
        <v>112</v>
      </c>
      <c r="CM3" s="22" t="s">
        <v>113</v>
      </c>
      <c r="CN3" s="22" t="s">
        <v>114</v>
      </c>
      <c r="CO3" s="25" t="s">
        <v>115</v>
      </c>
      <c r="CP3" s="23" t="s">
        <v>111</v>
      </c>
      <c r="CQ3" s="24" t="s">
        <v>112</v>
      </c>
      <c r="CR3" s="22" t="s">
        <v>113</v>
      </c>
      <c r="CS3" s="22" t="s">
        <v>114</v>
      </c>
      <c r="CT3" s="25" t="s">
        <v>115</v>
      </c>
      <c r="CU3" s="23" t="s">
        <v>111</v>
      </c>
      <c r="CV3" s="24" t="s">
        <v>112</v>
      </c>
      <c r="CW3" s="22" t="s">
        <v>113</v>
      </c>
      <c r="CX3" s="22" t="s">
        <v>114</v>
      </c>
      <c r="CY3" s="25" t="s">
        <v>115</v>
      </c>
      <c r="CZ3" s="23" t="s">
        <v>111</v>
      </c>
      <c r="DA3" s="24" t="s">
        <v>112</v>
      </c>
      <c r="DB3" s="22" t="s">
        <v>113</v>
      </c>
      <c r="DC3" s="22" t="s">
        <v>114</v>
      </c>
      <c r="DD3" s="25" t="s">
        <v>115</v>
      </c>
      <c r="DE3" s="23" t="s">
        <v>111</v>
      </c>
      <c r="DF3" s="24" t="s">
        <v>112</v>
      </c>
      <c r="DG3" s="22" t="s">
        <v>113</v>
      </c>
      <c r="DH3" s="22" t="s">
        <v>114</v>
      </c>
      <c r="DI3" s="25" t="s">
        <v>115</v>
      </c>
      <c r="DJ3" s="23" t="s">
        <v>111</v>
      </c>
      <c r="DK3" s="24" t="s">
        <v>112</v>
      </c>
      <c r="DL3" s="22" t="s">
        <v>113</v>
      </c>
      <c r="DM3" s="22" t="s">
        <v>114</v>
      </c>
      <c r="DN3" s="25" t="s">
        <v>115</v>
      </c>
      <c r="DO3" s="23" t="s">
        <v>111</v>
      </c>
      <c r="DP3" s="24" t="s">
        <v>112</v>
      </c>
      <c r="DQ3" s="22" t="s">
        <v>113</v>
      </c>
      <c r="DR3" s="22" t="s">
        <v>114</v>
      </c>
      <c r="DS3" s="25" t="s">
        <v>115</v>
      </c>
      <c r="DT3" s="23" t="s">
        <v>111</v>
      </c>
      <c r="DU3" s="24" t="s">
        <v>112</v>
      </c>
      <c r="DV3" s="22" t="s">
        <v>113</v>
      </c>
      <c r="DW3" s="22" t="s">
        <v>114</v>
      </c>
      <c r="DX3" s="25" t="s">
        <v>115</v>
      </c>
      <c r="DY3" s="23" t="s">
        <v>111</v>
      </c>
      <c r="DZ3" s="24" t="s">
        <v>112</v>
      </c>
      <c r="EA3" s="22" t="s">
        <v>113</v>
      </c>
      <c r="EB3" s="22" t="s">
        <v>114</v>
      </c>
      <c r="EC3" s="25" t="s">
        <v>115</v>
      </c>
      <c r="ED3" s="23" t="s">
        <v>111</v>
      </c>
      <c r="EE3" s="24" t="s">
        <v>112</v>
      </c>
      <c r="EF3" s="22" t="s">
        <v>113</v>
      </c>
      <c r="EG3" s="22" t="s">
        <v>114</v>
      </c>
      <c r="EH3" s="25" t="s">
        <v>115</v>
      </c>
      <c r="EI3" s="23" t="s">
        <v>111</v>
      </c>
      <c r="EJ3" s="24" t="s">
        <v>112</v>
      </c>
      <c r="EK3" s="22" t="s">
        <v>113</v>
      </c>
      <c r="EL3" s="22" t="s">
        <v>114</v>
      </c>
      <c r="EM3" s="25" t="s">
        <v>115</v>
      </c>
      <c r="EN3" s="23" t="s">
        <v>111</v>
      </c>
      <c r="EO3" s="24" t="s">
        <v>112</v>
      </c>
      <c r="EP3" s="22" t="s">
        <v>113</v>
      </c>
      <c r="EQ3" s="22" t="s">
        <v>114</v>
      </c>
      <c r="ER3" s="25" t="s">
        <v>115</v>
      </c>
      <c r="ES3" s="23" t="s">
        <v>111</v>
      </c>
      <c r="ET3" s="24" t="s">
        <v>112</v>
      </c>
      <c r="EU3" s="22" t="s">
        <v>113</v>
      </c>
      <c r="EV3" s="22" t="s">
        <v>114</v>
      </c>
      <c r="EW3" s="25" t="s">
        <v>115</v>
      </c>
    </row>
    <row r="4" spans="1:153" ht="19.5" customHeight="1">
      <c r="A4" s="26">
        <f>IF(DAY(DATE(対象年度,5,1))&lt;&gt;1,"",1)</f>
        <v>1</v>
      </c>
      <c r="B4" s="26" t="str">
        <f>IF(DAY(DATE(対象年度,5,1))&lt;&gt;1,"",CHOOSE(WEEKDAY(DATE(対象年度,5,1),2),"月","火","水","木","金","土","日"))</f>
        <v>金</v>
      </c>
      <c r="C4" s="26" t="str">
        <f>IF(DAY(DATE(対象年度,5,1))&lt;&gt;1,"",IF(ISNUMBER(MATCH(DATE(対象年度,5,1),祝日リスト,0)),"祝",""))</f>
        <v/>
      </c>
      <c r="D4" s="27"/>
      <c r="E4" s="28"/>
      <c r="F4" s="29" t="str">
        <f t="shared" ref="F4:F34" si="0">IF(D4="","",IF(ISNUMBER(SEARCH("夜勤",D4)),"",IF(A4="","","○")))</f>
        <v/>
      </c>
      <c r="G4" s="30" t="str">
        <f t="shared" ref="G4:G34" si="1">IF(A4="","",IF(OR(AND(E4&lt;&gt;"",NOT(OR(E4="有給",E4="休業"))),ISNUMBER(SEARCH("夜勤",D4))),"○",""))</f>
        <v/>
      </c>
      <c r="H4" s="31"/>
      <c r="I4" s="27"/>
      <c r="J4" s="28"/>
      <c r="K4" s="29" t="str">
        <f t="shared" ref="K4:K34" si="2">IF(I4="","",IF(ISNUMBER(SEARCH("夜勤",I4)),"",IF(A4="","","○")))</f>
        <v/>
      </c>
      <c r="L4" s="30" t="str">
        <f t="shared" ref="L4:L34" si="3">IF(A4="","",IF(OR(AND(J4&lt;&gt;"",NOT(OR(J4="有給",J4="休業"))),ISNUMBER(SEARCH("夜勤",I4))),"○",""))</f>
        <v/>
      </c>
      <c r="M4" s="31"/>
      <c r="N4" s="27"/>
      <c r="O4" s="28"/>
      <c r="P4" s="29" t="str">
        <f t="shared" ref="P4:P34" si="4">IF(N4="","",IF(ISNUMBER(SEARCH("夜勤",N4)),"",IF(A4="","","○")))</f>
        <v/>
      </c>
      <c r="Q4" s="30" t="str">
        <f t="shared" ref="Q4:Q34" si="5">IF(A4="","",IF(OR(AND(O4&lt;&gt;"",NOT(OR(O4="有給",O4="休業"))),ISNUMBER(SEARCH("夜勤",N4))),"○",""))</f>
        <v/>
      </c>
      <c r="R4" s="31"/>
      <c r="S4" s="27"/>
      <c r="T4" s="28"/>
      <c r="U4" s="29" t="str">
        <f t="shared" ref="U4:U34" si="6">IF(S4="","",IF(ISNUMBER(SEARCH("夜勤",S4)),"",IF(A4="","","○")))</f>
        <v/>
      </c>
      <c r="V4" s="30" t="str">
        <f t="shared" ref="V4:V34" si="7">IF(A4="","",IF(OR(AND(T4&lt;&gt;"",NOT(OR(T4="有給",T4="休業"))),ISNUMBER(SEARCH("夜勤",S4))),"○",""))</f>
        <v/>
      </c>
      <c r="W4" s="31"/>
      <c r="X4" s="27"/>
      <c r="Y4" s="28"/>
      <c r="Z4" s="29" t="str">
        <f t="shared" ref="Z4:Z34" si="8">IF(X4="","",IF(ISNUMBER(SEARCH("夜勤",X4)),"",IF(A4="","","○")))</f>
        <v/>
      </c>
      <c r="AA4" s="30" t="str">
        <f t="shared" ref="AA4:AA34" si="9">IF(A4="","",IF(OR(AND(Y4&lt;&gt;"",NOT(OR(Y4="有給",Y4="休業"))),ISNUMBER(SEARCH("夜勤",X4))),"○",""))</f>
        <v/>
      </c>
      <c r="AB4" s="31"/>
      <c r="AC4" s="27"/>
      <c r="AD4" s="28"/>
      <c r="AE4" s="29" t="str">
        <f t="shared" ref="AE4:AE34" si="10">IF(AC4="","",IF(ISNUMBER(SEARCH("夜勤",AC4)),"",IF(A4="","","○")))</f>
        <v/>
      </c>
      <c r="AF4" s="30" t="str">
        <f t="shared" ref="AF4:AF34" si="11">IF(A4="","",IF(OR(AND(AD4&lt;&gt;"",NOT(OR(AD4="有給",AD4="休業"))),ISNUMBER(SEARCH("夜勤",AC4))),"○",""))</f>
        <v/>
      </c>
      <c r="AG4" s="31"/>
      <c r="AH4" s="27"/>
      <c r="AI4" s="28"/>
      <c r="AJ4" s="29" t="str">
        <f t="shared" ref="AJ4:AJ34" si="12">IF(AH4="","",IF(ISNUMBER(SEARCH("夜勤",AH4)),"",IF(A4="","","○")))</f>
        <v/>
      </c>
      <c r="AK4" s="30" t="str">
        <f t="shared" ref="AK4:AK34" si="13">IF(A4="","",IF(OR(AND(AI4&lt;&gt;"",NOT(OR(AI4="有給",AI4="休業"))),ISNUMBER(SEARCH("夜勤",AH4))),"○",""))</f>
        <v/>
      </c>
      <c r="AL4" s="31"/>
      <c r="AM4" s="27"/>
      <c r="AN4" s="28"/>
      <c r="AO4" s="29" t="str">
        <f t="shared" ref="AO4:AO34" si="14">IF(AM4="","",IF(ISNUMBER(SEARCH("夜勤",AM4)),"",IF(A4="","","○")))</f>
        <v/>
      </c>
      <c r="AP4" s="30" t="str">
        <f t="shared" ref="AP4:AP34" si="15">IF(A4="","",IF(OR(AND(AN4&lt;&gt;"",NOT(OR(AN4="有給",AN4="休業"))),ISNUMBER(SEARCH("夜勤",AM4))),"○",""))</f>
        <v/>
      </c>
      <c r="AQ4" s="31"/>
      <c r="AR4" s="27"/>
      <c r="AS4" s="28"/>
      <c r="AT4" s="29" t="str">
        <f t="shared" ref="AT4:AT34" si="16">IF(AR4="","",IF(ISNUMBER(SEARCH("夜勤",AR4)),"",IF(A4="","","○")))</f>
        <v/>
      </c>
      <c r="AU4" s="30" t="str">
        <f t="shared" ref="AU4:AU34" si="17">IF(A4="","",IF(OR(AND(AS4&lt;&gt;"",NOT(OR(AS4="有給",AS4="休業"))),ISNUMBER(SEARCH("夜勤",AR4))),"○",""))</f>
        <v/>
      </c>
      <c r="AV4" s="31"/>
      <c r="AW4" s="27"/>
      <c r="AX4" s="28"/>
      <c r="AY4" s="29" t="str">
        <f t="shared" ref="AY4:AY34" si="18">IF(AW4="","",IF(ISNUMBER(SEARCH("夜勤",AW4)),"",IF(A4="","","○")))</f>
        <v/>
      </c>
      <c r="AZ4" s="30" t="str">
        <f t="shared" ref="AZ4:AZ34" si="19">IF(A4="","",IF(OR(AND(AX4&lt;&gt;"",NOT(OR(AX4="有給",AX4="休業"))),ISNUMBER(SEARCH("夜勤",AW4))),"○",""))</f>
        <v/>
      </c>
      <c r="BA4" s="31"/>
      <c r="BB4" s="27"/>
      <c r="BC4" s="28"/>
      <c r="BD4" s="29" t="str">
        <f t="shared" ref="BD4:BD34" si="20">IF(BB4="","",IF(ISNUMBER(SEARCH("夜勤",BB4)),"",IF(A4="","","○")))</f>
        <v/>
      </c>
      <c r="BE4" s="30" t="str">
        <f t="shared" ref="BE4:BE34" si="21">IF(A4="","",IF(OR(AND(BC4&lt;&gt;"",NOT(OR(BC4="有給",BC4="休業"))),ISNUMBER(SEARCH("夜勤",BB4))),"○",""))</f>
        <v/>
      </c>
      <c r="BF4" s="31"/>
      <c r="BG4" s="27"/>
      <c r="BH4" s="28"/>
      <c r="BI4" s="29" t="str">
        <f t="shared" ref="BI4:BI34" si="22">IF(BG4="","",IF(ISNUMBER(SEARCH("夜勤",BG4)),"",IF(A4="","","○")))</f>
        <v/>
      </c>
      <c r="BJ4" s="30" t="str">
        <f t="shared" ref="BJ4:BJ34" si="23">IF(A4="","",IF(OR(AND(BH4&lt;&gt;"",NOT(OR(BH4="有給",BH4="休業"))),ISNUMBER(SEARCH("夜勤",BG4))),"○",""))</f>
        <v/>
      </c>
      <c r="BK4" s="31"/>
      <c r="BL4" s="27"/>
      <c r="BM4" s="28"/>
      <c r="BN4" s="29" t="str">
        <f t="shared" ref="BN4:BN34" si="24">IF(BL4="","",IF(ISNUMBER(SEARCH("夜勤",BL4)),"",IF(A4="","","○")))</f>
        <v/>
      </c>
      <c r="BO4" s="30" t="str">
        <f t="shared" ref="BO4:BO34" si="25">IF(A4="","",IF(OR(AND(BM4&lt;&gt;"",NOT(OR(BM4="有給",BM4="休業"))),ISNUMBER(SEARCH("夜勤",BL4))),"○",""))</f>
        <v/>
      </c>
      <c r="BP4" s="31"/>
      <c r="BQ4" s="27"/>
      <c r="BR4" s="28"/>
      <c r="BS4" s="29" t="str">
        <f t="shared" ref="BS4:BS34" si="26">IF(BQ4="","",IF(ISNUMBER(SEARCH("夜勤",BQ4)),"",IF(A4="","","○")))</f>
        <v/>
      </c>
      <c r="BT4" s="30" t="str">
        <f t="shared" ref="BT4:BT34" si="27">IF(A4="","",IF(OR(AND(BR4&lt;&gt;"",NOT(OR(BR4="有給",BR4="休業"))),ISNUMBER(SEARCH("夜勤",BQ4))),"○",""))</f>
        <v/>
      </c>
      <c r="BU4" s="31"/>
      <c r="BV4" s="27"/>
      <c r="BW4" s="28"/>
      <c r="BX4" s="29" t="str">
        <f t="shared" ref="BX4:BX34" si="28">IF(BV4="","",IF(ISNUMBER(SEARCH("夜勤",BV4)),"",IF(A4="","","○")))</f>
        <v/>
      </c>
      <c r="BY4" s="30" t="str">
        <f t="shared" ref="BY4:BY34" si="29">IF(A4="","",IF(OR(AND(BW4&lt;&gt;"",NOT(OR(BW4="有給",BW4="休業"))),ISNUMBER(SEARCH("夜勤",BV4))),"○",""))</f>
        <v/>
      </c>
      <c r="BZ4" s="31"/>
      <c r="CA4" s="27"/>
      <c r="CB4" s="28"/>
      <c r="CC4" s="29" t="str">
        <f t="shared" ref="CC4:CC34" si="30">IF(CA4="","",IF(ISNUMBER(SEARCH("夜勤",CA4)),"",IF(A4="","","○")))</f>
        <v/>
      </c>
      <c r="CD4" s="30" t="str">
        <f t="shared" ref="CD4:CD34" si="31">IF(A4="","",IF(OR(AND(CB4&lt;&gt;"",NOT(OR(CB4="有給",CB4="休業"))),ISNUMBER(SEARCH("夜勤",CA4))),"○",""))</f>
        <v/>
      </c>
      <c r="CE4" s="31"/>
      <c r="CF4" s="27"/>
      <c r="CG4" s="28"/>
      <c r="CH4" s="29" t="str">
        <f t="shared" ref="CH4:CH34" si="32">IF(CF4="","",IF(ISNUMBER(SEARCH("夜勤",CF4)),"",IF(A4="","","○")))</f>
        <v/>
      </c>
      <c r="CI4" s="30" t="str">
        <f t="shared" ref="CI4:CI34" si="33">IF(A4="","",IF(OR(AND(CG4&lt;&gt;"",NOT(OR(CG4="有給",CG4="休業"))),ISNUMBER(SEARCH("夜勤",CF4))),"○",""))</f>
        <v/>
      </c>
      <c r="CJ4" s="31"/>
      <c r="CK4" s="27"/>
      <c r="CL4" s="28"/>
      <c r="CM4" s="29" t="str">
        <f t="shared" ref="CM4:CM34" si="34">IF(CK4="","",IF(ISNUMBER(SEARCH("夜勤",CK4)),"",IF(A4="","","○")))</f>
        <v/>
      </c>
      <c r="CN4" s="30" t="str">
        <f t="shared" ref="CN4:CN34" si="35">IF(A4="","",IF(OR(AND(CL4&lt;&gt;"",NOT(OR(CL4="有給",CL4="休業"))),ISNUMBER(SEARCH("夜勤",CK4))),"○",""))</f>
        <v/>
      </c>
      <c r="CO4" s="31"/>
      <c r="CP4" s="27"/>
      <c r="CQ4" s="28"/>
      <c r="CR4" s="29" t="str">
        <f t="shared" ref="CR4:CR34" si="36">IF(CP4="","",IF(ISNUMBER(SEARCH("夜勤",CP4)),"",IF(A4="","","○")))</f>
        <v/>
      </c>
      <c r="CS4" s="30" t="str">
        <f t="shared" ref="CS4:CS34" si="37">IF(A4="","",IF(OR(AND(CQ4&lt;&gt;"",NOT(OR(CQ4="有給",CQ4="休業"))),ISNUMBER(SEARCH("夜勤",CP4))),"○",""))</f>
        <v/>
      </c>
      <c r="CT4" s="31"/>
      <c r="CU4" s="27"/>
      <c r="CV4" s="28"/>
      <c r="CW4" s="29" t="str">
        <f t="shared" ref="CW4:CW34" si="38">IF(CU4="","",IF(ISNUMBER(SEARCH("夜勤",CU4)),"",IF(A4="","","○")))</f>
        <v/>
      </c>
      <c r="CX4" s="30" t="str">
        <f t="shared" ref="CX4:CX34" si="39">IF(A4="","",IF(OR(AND(CV4&lt;&gt;"",NOT(OR(CV4="有給",CV4="休業"))),ISNUMBER(SEARCH("夜勤",CU4))),"○",""))</f>
        <v/>
      </c>
      <c r="CY4" s="31"/>
      <c r="CZ4" s="27"/>
      <c r="DA4" s="28"/>
      <c r="DB4" s="29" t="str">
        <f t="shared" ref="DB4:DB34" si="40">IF(CZ4="","",IF(ISNUMBER(SEARCH("夜勤",CZ4)),"",IF(A4="","","○")))</f>
        <v/>
      </c>
      <c r="DC4" s="30" t="str">
        <f t="shared" ref="DC4:DC34" si="41">IF(A4="","",IF(OR(AND(DA4&lt;&gt;"",NOT(OR(DA4="有給",DA4="休業"))),ISNUMBER(SEARCH("夜勤",CZ4))),"○",""))</f>
        <v/>
      </c>
      <c r="DD4" s="31"/>
      <c r="DE4" s="27"/>
      <c r="DF4" s="28"/>
      <c r="DG4" s="29" t="str">
        <f t="shared" ref="DG4:DG34" si="42">IF(DE4="","",IF(ISNUMBER(SEARCH("夜勤",DE4)),"",IF(A4="","","○")))</f>
        <v/>
      </c>
      <c r="DH4" s="30" t="str">
        <f t="shared" ref="DH4:DH34" si="43">IF(A4="","",IF(OR(AND(DF4&lt;&gt;"",NOT(OR(DF4="有給",DF4="休業"))),ISNUMBER(SEARCH("夜勤",DE4))),"○",""))</f>
        <v/>
      </c>
      <c r="DI4" s="31"/>
      <c r="DJ4" s="27"/>
      <c r="DK4" s="28"/>
      <c r="DL4" s="29" t="str">
        <f t="shared" ref="DL4:DL34" si="44">IF(DJ4="","",IF(ISNUMBER(SEARCH("夜勤",DJ4)),"",IF(A4="","","○")))</f>
        <v/>
      </c>
      <c r="DM4" s="30" t="str">
        <f t="shared" ref="DM4:DM34" si="45">IF(A4="","",IF(OR(AND(DK4&lt;&gt;"",NOT(OR(DK4="有給",DK4="休業"))),ISNUMBER(SEARCH("夜勤",DJ4))),"○",""))</f>
        <v/>
      </c>
      <c r="DN4" s="31"/>
      <c r="DO4" s="27"/>
      <c r="DP4" s="28"/>
      <c r="DQ4" s="29" t="str">
        <f t="shared" ref="DQ4:DQ34" si="46">IF(DO4="","",IF(ISNUMBER(SEARCH("夜勤",DO4)),"",IF(A4="","","○")))</f>
        <v/>
      </c>
      <c r="DR4" s="30" t="str">
        <f t="shared" ref="DR4:DR34" si="47">IF(A4="","",IF(OR(AND(DP4&lt;&gt;"",NOT(OR(DP4="有給",DP4="休業"))),ISNUMBER(SEARCH("夜勤",DO4))),"○",""))</f>
        <v/>
      </c>
      <c r="DS4" s="31"/>
      <c r="DT4" s="27"/>
      <c r="DU4" s="28"/>
      <c r="DV4" s="29" t="str">
        <f t="shared" ref="DV4:DV34" si="48">IF(DT4="","",IF(ISNUMBER(SEARCH("夜勤",DT4)),"",IF(A4="","","○")))</f>
        <v/>
      </c>
      <c r="DW4" s="30" t="str">
        <f t="shared" ref="DW4:DW34" si="49">IF(A4="","",IF(OR(AND(DU4&lt;&gt;"",NOT(OR(DU4="有給",DU4="休業"))),ISNUMBER(SEARCH("夜勤",DT4))),"○",""))</f>
        <v/>
      </c>
      <c r="DX4" s="31"/>
      <c r="DY4" s="27"/>
      <c r="DZ4" s="28"/>
      <c r="EA4" s="29" t="str">
        <f t="shared" ref="EA4:EA34" si="50">IF(DY4="","",IF(ISNUMBER(SEARCH("夜勤",DY4)),"",IF(A4="","","○")))</f>
        <v/>
      </c>
      <c r="EB4" s="30" t="str">
        <f t="shared" ref="EB4:EB34" si="51">IF(A4="","",IF(OR(AND(DZ4&lt;&gt;"",NOT(OR(DZ4="有給",DZ4="休業"))),ISNUMBER(SEARCH("夜勤",DY4))),"○",""))</f>
        <v/>
      </c>
      <c r="EC4" s="31"/>
      <c r="ED4" s="27"/>
      <c r="EE4" s="28"/>
      <c r="EF4" s="29" t="str">
        <f t="shared" ref="EF4:EF34" si="52">IF(ED4="","",IF(ISNUMBER(SEARCH("夜勤",ED4)),"",IF(A4="","","○")))</f>
        <v/>
      </c>
      <c r="EG4" s="30" t="str">
        <f t="shared" ref="EG4:EG34" si="53">IF(A4="","",IF(OR(AND(EE4&lt;&gt;"",NOT(OR(EE4="有給",EE4="休業"))),ISNUMBER(SEARCH("夜勤",ED4))),"○",""))</f>
        <v/>
      </c>
      <c r="EH4" s="31"/>
      <c r="EI4" s="27"/>
      <c r="EJ4" s="28"/>
      <c r="EK4" s="29" t="str">
        <f t="shared" ref="EK4:EK34" si="54">IF(EI4="","",IF(ISNUMBER(SEARCH("夜勤",EI4)),"",IF(A4="","","○")))</f>
        <v/>
      </c>
      <c r="EL4" s="30" t="str">
        <f t="shared" ref="EL4:EL34" si="55">IF(A4="","",IF(OR(AND(EJ4&lt;&gt;"",NOT(OR(EJ4="有給",EJ4="休業"))),ISNUMBER(SEARCH("夜勤",EI4))),"○",""))</f>
        <v/>
      </c>
      <c r="EM4" s="31"/>
      <c r="EN4" s="27"/>
      <c r="EO4" s="28"/>
      <c r="EP4" s="29" t="str">
        <f t="shared" ref="EP4:EP34" si="56">IF(EN4="","",IF(ISNUMBER(SEARCH("夜勤",EN4)),"",IF(A4="","","○")))</f>
        <v/>
      </c>
      <c r="EQ4" s="30" t="str">
        <f t="shared" ref="EQ4:EQ34" si="57">IF(A4="","",IF(OR(AND(EO4&lt;&gt;"",NOT(OR(EO4="有給",EO4="休業"))),ISNUMBER(SEARCH("夜勤",EN4))),"○",""))</f>
        <v/>
      </c>
      <c r="ER4" s="31"/>
      <c r="ES4" s="27"/>
      <c r="ET4" s="28"/>
      <c r="EU4" s="29" t="str">
        <f t="shared" ref="EU4:EU34" si="58">IF(ES4="","",IF(ISNUMBER(SEARCH("夜勤",ES4)),"",IF(A4="","","○")))</f>
        <v/>
      </c>
      <c r="EV4" s="30" t="str">
        <f t="shared" ref="EV4:EV34" si="59">IF(A4="","",IF(OR(AND(ET4&lt;&gt;"",NOT(OR(ET4="有給",ET4="休業"))),ISNUMBER(SEARCH("夜勤",ES4))),"○",""))</f>
        <v/>
      </c>
      <c r="EW4" s="31"/>
    </row>
    <row r="5" spans="1:153" ht="19.5" customHeight="1">
      <c r="A5" s="32">
        <f>IF(DAY(DATE(対象年度,5,2))&lt;&gt;2,"",2)</f>
        <v>2</v>
      </c>
      <c r="B5" s="32" t="str">
        <f>IF(DAY(DATE(対象年度,5,2))&lt;&gt;2,"",CHOOSE(WEEKDAY(DATE(対象年度,5,2),2),"月","火","水","木","金","土","日"))</f>
        <v>土</v>
      </c>
      <c r="C5" s="32" t="str">
        <f>IF(DAY(DATE(対象年度,5,2))&lt;&gt;2,"",IF(ISNUMBER(MATCH(DATE(対象年度,5,2),祝日リスト,0)),"祝",""))</f>
        <v/>
      </c>
      <c r="D5" s="33"/>
      <c r="E5" s="34"/>
      <c r="F5" s="35" t="str">
        <f t="shared" si="0"/>
        <v/>
      </c>
      <c r="G5" s="36" t="str">
        <f t="shared" si="1"/>
        <v/>
      </c>
      <c r="H5" s="37"/>
      <c r="I5" s="33"/>
      <c r="J5" s="34"/>
      <c r="K5" s="35" t="str">
        <f t="shared" si="2"/>
        <v/>
      </c>
      <c r="L5" s="36" t="str">
        <f t="shared" si="3"/>
        <v/>
      </c>
      <c r="M5" s="37"/>
      <c r="N5" s="33"/>
      <c r="O5" s="34"/>
      <c r="P5" s="35" t="str">
        <f t="shared" si="4"/>
        <v/>
      </c>
      <c r="Q5" s="36" t="str">
        <f t="shared" si="5"/>
        <v/>
      </c>
      <c r="R5" s="37"/>
      <c r="S5" s="33"/>
      <c r="T5" s="34"/>
      <c r="U5" s="35" t="str">
        <f t="shared" si="6"/>
        <v/>
      </c>
      <c r="V5" s="36" t="str">
        <f t="shared" si="7"/>
        <v/>
      </c>
      <c r="W5" s="37"/>
      <c r="X5" s="33"/>
      <c r="Y5" s="34"/>
      <c r="Z5" s="35" t="str">
        <f t="shared" si="8"/>
        <v/>
      </c>
      <c r="AA5" s="36" t="str">
        <f t="shared" si="9"/>
        <v/>
      </c>
      <c r="AB5" s="37"/>
      <c r="AC5" s="33"/>
      <c r="AD5" s="34"/>
      <c r="AE5" s="35" t="str">
        <f t="shared" si="10"/>
        <v/>
      </c>
      <c r="AF5" s="36" t="str">
        <f t="shared" si="11"/>
        <v/>
      </c>
      <c r="AG5" s="37"/>
      <c r="AH5" s="33"/>
      <c r="AI5" s="34"/>
      <c r="AJ5" s="35" t="str">
        <f t="shared" si="12"/>
        <v/>
      </c>
      <c r="AK5" s="36" t="str">
        <f t="shared" si="13"/>
        <v/>
      </c>
      <c r="AL5" s="37"/>
      <c r="AM5" s="33"/>
      <c r="AN5" s="34"/>
      <c r="AO5" s="35" t="str">
        <f t="shared" si="14"/>
        <v/>
      </c>
      <c r="AP5" s="36" t="str">
        <f t="shared" si="15"/>
        <v/>
      </c>
      <c r="AQ5" s="37"/>
      <c r="AR5" s="33"/>
      <c r="AS5" s="34"/>
      <c r="AT5" s="35" t="str">
        <f t="shared" si="16"/>
        <v/>
      </c>
      <c r="AU5" s="36" t="str">
        <f t="shared" si="17"/>
        <v/>
      </c>
      <c r="AV5" s="37"/>
      <c r="AW5" s="33"/>
      <c r="AX5" s="34"/>
      <c r="AY5" s="35" t="str">
        <f t="shared" si="18"/>
        <v/>
      </c>
      <c r="AZ5" s="36" t="str">
        <f t="shared" si="19"/>
        <v/>
      </c>
      <c r="BA5" s="37"/>
      <c r="BB5" s="33"/>
      <c r="BC5" s="34"/>
      <c r="BD5" s="35" t="str">
        <f t="shared" si="20"/>
        <v/>
      </c>
      <c r="BE5" s="36" t="str">
        <f t="shared" si="21"/>
        <v/>
      </c>
      <c r="BF5" s="37"/>
      <c r="BG5" s="33"/>
      <c r="BH5" s="34"/>
      <c r="BI5" s="35" t="str">
        <f t="shared" si="22"/>
        <v/>
      </c>
      <c r="BJ5" s="36" t="str">
        <f t="shared" si="23"/>
        <v/>
      </c>
      <c r="BK5" s="37"/>
      <c r="BL5" s="33"/>
      <c r="BM5" s="34"/>
      <c r="BN5" s="35" t="str">
        <f t="shared" si="24"/>
        <v/>
      </c>
      <c r="BO5" s="36" t="str">
        <f t="shared" si="25"/>
        <v/>
      </c>
      <c r="BP5" s="37"/>
      <c r="BQ5" s="33"/>
      <c r="BR5" s="34"/>
      <c r="BS5" s="35" t="str">
        <f t="shared" si="26"/>
        <v/>
      </c>
      <c r="BT5" s="36" t="str">
        <f t="shared" si="27"/>
        <v/>
      </c>
      <c r="BU5" s="37"/>
      <c r="BV5" s="33"/>
      <c r="BW5" s="34"/>
      <c r="BX5" s="35" t="str">
        <f t="shared" si="28"/>
        <v/>
      </c>
      <c r="BY5" s="36" t="str">
        <f t="shared" si="29"/>
        <v/>
      </c>
      <c r="BZ5" s="37"/>
      <c r="CA5" s="33"/>
      <c r="CB5" s="34"/>
      <c r="CC5" s="35" t="str">
        <f t="shared" si="30"/>
        <v/>
      </c>
      <c r="CD5" s="36" t="str">
        <f t="shared" si="31"/>
        <v/>
      </c>
      <c r="CE5" s="37"/>
      <c r="CF5" s="33"/>
      <c r="CG5" s="34"/>
      <c r="CH5" s="35" t="str">
        <f t="shared" si="32"/>
        <v/>
      </c>
      <c r="CI5" s="36" t="str">
        <f t="shared" si="33"/>
        <v/>
      </c>
      <c r="CJ5" s="37"/>
      <c r="CK5" s="33"/>
      <c r="CL5" s="34"/>
      <c r="CM5" s="35" t="str">
        <f t="shared" si="34"/>
        <v/>
      </c>
      <c r="CN5" s="36" t="str">
        <f t="shared" si="35"/>
        <v/>
      </c>
      <c r="CO5" s="37"/>
      <c r="CP5" s="33"/>
      <c r="CQ5" s="34"/>
      <c r="CR5" s="35" t="str">
        <f t="shared" si="36"/>
        <v/>
      </c>
      <c r="CS5" s="36" t="str">
        <f t="shared" si="37"/>
        <v/>
      </c>
      <c r="CT5" s="37"/>
      <c r="CU5" s="33"/>
      <c r="CV5" s="34"/>
      <c r="CW5" s="35" t="str">
        <f t="shared" si="38"/>
        <v/>
      </c>
      <c r="CX5" s="36" t="str">
        <f t="shared" si="39"/>
        <v/>
      </c>
      <c r="CY5" s="37"/>
      <c r="CZ5" s="33"/>
      <c r="DA5" s="34"/>
      <c r="DB5" s="35" t="str">
        <f t="shared" si="40"/>
        <v/>
      </c>
      <c r="DC5" s="36" t="str">
        <f t="shared" si="41"/>
        <v/>
      </c>
      <c r="DD5" s="37"/>
      <c r="DE5" s="33"/>
      <c r="DF5" s="34"/>
      <c r="DG5" s="35" t="str">
        <f t="shared" si="42"/>
        <v/>
      </c>
      <c r="DH5" s="36" t="str">
        <f t="shared" si="43"/>
        <v/>
      </c>
      <c r="DI5" s="37"/>
      <c r="DJ5" s="33"/>
      <c r="DK5" s="34"/>
      <c r="DL5" s="35" t="str">
        <f t="shared" si="44"/>
        <v/>
      </c>
      <c r="DM5" s="36" t="str">
        <f t="shared" si="45"/>
        <v/>
      </c>
      <c r="DN5" s="37"/>
      <c r="DO5" s="33"/>
      <c r="DP5" s="34"/>
      <c r="DQ5" s="35" t="str">
        <f t="shared" si="46"/>
        <v/>
      </c>
      <c r="DR5" s="36" t="str">
        <f t="shared" si="47"/>
        <v/>
      </c>
      <c r="DS5" s="37"/>
      <c r="DT5" s="33"/>
      <c r="DU5" s="34"/>
      <c r="DV5" s="35" t="str">
        <f t="shared" si="48"/>
        <v/>
      </c>
      <c r="DW5" s="36" t="str">
        <f t="shared" si="49"/>
        <v/>
      </c>
      <c r="DX5" s="37"/>
      <c r="DY5" s="33"/>
      <c r="DZ5" s="34"/>
      <c r="EA5" s="35" t="str">
        <f t="shared" si="50"/>
        <v/>
      </c>
      <c r="EB5" s="36" t="str">
        <f t="shared" si="51"/>
        <v/>
      </c>
      <c r="EC5" s="37"/>
      <c r="ED5" s="33"/>
      <c r="EE5" s="34"/>
      <c r="EF5" s="35" t="str">
        <f t="shared" si="52"/>
        <v/>
      </c>
      <c r="EG5" s="36" t="str">
        <f t="shared" si="53"/>
        <v/>
      </c>
      <c r="EH5" s="37"/>
      <c r="EI5" s="33"/>
      <c r="EJ5" s="34"/>
      <c r="EK5" s="35" t="str">
        <f t="shared" si="54"/>
        <v/>
      </c>
      <c r="EL5" s="36" t="str">
        <f t="shared" si="55"/>
        <v/>
      </c>
      <c r="EM5" s="37"/>
      <c r="EN5" s="33"/>
      <c r="EO5" s="34"/>
      <c r="EP5" s="35" t="str">
        <f t="shared" si="56"/>
        <v/>
      </c>
      <c r="EQ5" s="36" t="str">
        <f t="shared" si="57"/>
        <v/>
      </c>
      <c r="ER5" s="37"/>
      <c r="ES5" s="33"/>
      <c r="ET5" s="34"/>
      <c r="EU5" s="35" t="str">
        <f t="shared" si="58"/>
        <v/>
      </c>
      <c r="EV5" s="36" t="str">
        <f t="shared" si="59"/>
        <v/>
      </c>
      <c r="EW5" s="37"/>
    </row>
    <row r="6" spans="1:153" ht="19.5" customHeight="1">
      <c r="A6" s="32">
        <f>IF(DAY(DATE(対象年度,5,3))&lt;&gt;3,"",3)</f>
        <v>3</v>
      </c>
      <c r="B6" s="32" t="str">
        <f>IF(DAY(DATE(対象年度,5,3))&lt;&gt;3,"",CHOOSE(WEEKDAY(DATE(対象年度,5,3),2),"月","火","水","木","金","土","日"))</f>
        <v>日</v>
      </c>
      <c r="C6" s="32" t="str">
        <f>IF(DAY(DATE(対象年度,5,3))&lt;&gt;3,"",IF(ISNUMBER(MATCH(DATE(対象年度,5,3),祝日リスト,0)),"祝",""))</f>
        <v>祝</v>
      </c>
      <c r="D6" s="33"/>
      <c r="E6" s="34"/>
      <c r="F6" s="35" t="str">
        <f t="shared" si="0"/>
        <v/>
      </c>
      <c r="G6" s="36" t="str">
        <f t="shared" si="1"/>
        <v/>
      </c>
      <c r="H6" s="37"/>
      <c r="I6" s="33"/>
      <c r="J6" s="34"/>
      <c r="K6" s="35" t="str">
        <f t="shared" si="2"/>
        <v/>
      </c>
      <c r="L6" s="36" t="str">
        <f t="shared" si="3"/>
        <v/>
      </c>
      <c r="M6" s="37"/>
      <c r="N6" s="33"/>
      <c r="O6" s="34"/>
      <c r="P6" s="35" t="str">
        <f t="shared" si="4"/>
        <v/>
      </c>
      <c r="Q6" s="36" t="str">
        <f t="shared" si="5"/>
        <v/>
      </c>
      <c r="R6" s="37"/>
      <c r="S6" s="33"/>
      <c r="T6" s="34"/>
      <c r="U6" s="35" t="str">
        <f t="shared" si="6"/>
        <v/>
      </c>
      <c r="V6" s="36" t="str">
        <f t="shared" si="7"/>
        <v/>
      </c>
      <c r="W6" s="37"/>
      <c r="X6" s="33"/>
      <c r="Y6" s="34"/>
      <c r="Z6" s="35" t="str">
        <f t="shared" si="8"/>
        <v/>
      </c>
      <c r="AA6" s="36" t="str">
        <f t="shared" si="9"/>
        <v/>
      </c>
      <c r="AB6" s="37"/>
      <c r="AC6" s="33"/>
      <c r="AD6" s="34"/>
      <c r="AE6" s="35" t="str">
        <f t="shared" si="10"/>
        <v/>
      </c>
      <c r="AF6" s="36" t="str">
        <f t="shared" si="11"/>
        <v/>
      </c>
      <c r="AG6" s="37"/>
      <c r="AH6" s="33"/>
      <c r="AI6" s="34"/>
      <c r="AJ6" s="35" t="str">
        <f t="shared" si="12"/>
        <v/>
      </c>
      <c r="AK6" s="36" t="str">
        <f t="shared" si="13"/>
        <v/>
      </c>
      <c r="AL6" s="37"/>
      <c r="AM6" s="33"/>
      <c r="AN6" s="34"/>
      <c r="AO6" s="35" t="str">
        <f t="shared" si="14"/>
        <v/>
      </c>
      <c r="AP6" s="36" t="str">
        <f t="shared" si="15"/>
        <v/>
      </c>
      <c r="AQ6" s="37"/>
      <c r="AR6" s="33"/>
      <c r="AS6" s="34"/>
      <c r="AT6" s="35" t="str">
        <f t="shared" si="16"/>
        <v/>
      </c>
      <c r="AU6" s="36" t="str">
        <f t="shared" si="17"/>
        <v/>
      </c>
      <c r="AV6" s="37"/>
      <c r="AW6" s="33"/>
      <c r="AX6" s="34"/>
      <c r="AY6" s="35" t="str">
        <f t="shared" si="18"/>
        <v/>
      </c>
      <c r="AZ6" s="36" t="str">
        <f t="shared" si="19"/>
        <v/>
      </c>
      <c r="BA6" s="37"/>
      <c r="BB6" s="33"/>
      <c r="BC6" s="34"/>
      <c r="BD6" s="35" t="str">
        <f t="shared" si="20"/>
        <v/>
      </c>
      <c r="BE6" s="36" t="str">
        <f t="shared" si="21"/>
        <v/>
      </c>
      <c r="BF6" s="37"/>
      <c r="BG6" s="33"/>
      <c r="BH6" s="34"/>
      <c r="BI6" s="35" t="str">
        <f t="shared" si="22"/>
        <v/>
      </c>
      <c r="BJ6" s="36" t="str">
        <f t="shared" si="23"/>
        <v/>
      </c>
      <c r="BK6" s="37"/>
      <c r="BL6" s="33"/>
      <c r="BM6" s="34"/>
      <c r="BN6" s="35" t="str">
        <f t="shared" si="24"/>
        <v/>
      </c>
      <c r="BO6" s="36" t="str">
        <f t="shared" si="25"/>
        <v/>
      </c>
      <c r="BP6" s="37"/>
      <c r="BQ6" s="33"/>
      <c r="BR6" s="34"/>
      <c r="BS6" s="35" t="str">
        <f t="shared" si="26"/>
        <v/>
      </c>
      <c r="BT6" s="36" t="str">
        <f t="shared" si="27"/>
        <v/>
      </c>
      <c r="BU6" s="37"/>
      <c r="BV6" s="33"/>
      <c r="BW6" s="34"/>
      <c r="BX6" s="35" t="str">
        <f t="shared" si="28"/>
        <v/>
      </c>
      <c r="BY6" s="36" t="str">
        <f t="shared" si="29"/>
        <v/>
      </c>
      <c r="BZ6" s="37"/>
      <c r="CA6" s="33"/>
      <c r="CB6" s="34"/>
      <c r="CC6" s="35" t="str">
        <f t="shared" si="30"/>
        <v/>
      </c>
      <c r="CD6" s="36" t="str">
        <f t="shared" si="31"/>
        <v/>
      </c>
      <c r="CE6" s="37"/>
      <c r="CF6" s="33"/>
      <c r="CG6" s="34"/>
      <c r="CH6" s="35" t="str">
        <f t="shared" si="32"/>
        <v/>
      </c>
      <c r="CI6" s="36" t="str">
        <f t="shared" si="33"/>
        <v/>
      </c>
      <c r="CJ6" s="37"/>
      <c r="CK6" s="33"/>
      <c r="CL6" s="34"/>
      <c r="CM6" s="35" t="str">
        <f t="shared" si="34"/>
        <v/>
      </c>
      <c r="CN6" s="36" t="str">
        <f t="shared" si="35"/>
        <v/>
      </c>
      <c r="CO6" s="37"/>
      <c r="CP6" s="33"/>
      <c r="CQ6" s="34"/>
      <c r="CR6" s="35" t="str">
        <f t="shared" si="36"/>
        <v/>
      </c>
      <c r="CS6" s="36" t="str">
        <f t="shared" si="37"/>
        <v/>
      </c>
      <c r="CT6" s="37"/>
      <c r="CU6" s="33"/>
      <c r="CV6" s="34"/>
      <c r="CW6" s="35" t="str">
        <f t="shared" si="38"/>
        <v/>
      </c>
      <c r="CX6" s="36" t="str">
        <f t="shared" si="39"/>
        <v/>
      </c>
      <c r="CY6" s="37"/>
      <c r="CZ6" s="33"/>
      <c r="DA6" s="34"/>
      <c r="DB6" s="35" t="str">
        <f t="shared" si="40"/>
        <v/>
      </c>
      <c r="DC6" s="36" t="str">
        <f t="shared" si="41"/>
        <v/>
      </c>
      <c r="DD6" s="37"/>
      <c r="DE6" s="33"/>
      <c r="DF6" s="34"/>
      <c r="DG6" s="35" t="str">
        <f t="shared" si="42"/>
        <v/>
      </c>
      <c r="DH6" s="36" t="str">
        <f t="shared" si="43"/>
        <v/>
      </c>
      <c r="DI6" s="37"/>
      <c r="DJ6" s="33"/>
      <c r="DK6" s="34"/>
      <c r="DL6" s="35" t="str">
        <f t="shared" si="44"/>
        <v/>
      </c>
      <c r="DM6" s="36" t="str">
        <f t="shared" si="45"/>
        <v/>
      </c>
      <c r="DN6" s="37"/>
      <c r="DO6" s="33"/>
      <c r="DP6" s="34"/>
      <c r="DQ6" s="35" t="str">
        <f t="shared" si="46"/>
        <v/>
      </c>
      <c r="DR6" s="36" t="str">
        <f t="shared" si="47"/>
        <v/>
      </c>
      <c r="DS6" s="37"/>
      <c r="DT6" s="33"/>
      <c r="DU6" s="34"/>
      <c r="DV6" s="35" t="str">
        <f t="shared" si="48"/>
        <v/>
      </c>
      <c r="DW6" s="36" t="str">
        <f t="shared" si="49"/>
        <v/>
      </c>
      <c r="DX6" s="37"/>
      <c r="DY6" s="33"/>
      <c r="DZ6" s="34"/>
      <c r="EA6" s="35" t="str">
        <f t="shared" si="50"/>
        <v/>
      </c>
      <c r="EB6" s="36" t="str">
        <f t="shared" si="51"/>
        <v/>
      </c>
      <c r="EC6" s="37"/>
      <c r="ED6" s="33"/>
      <c r="EE6" s="34"/>
      <c r="EF6" s="35" t="str">
        <f t="shared" si="52"/>
        <v/>
      </c>
      <c r="EG6" s="36" t="str">
        <f t="shared" si="53"/>
        <v/>
      </c>
      <c r="EH6" s="37"/>
      <c r="EI6" s="33"/>
      <c r="EJ6" s="34"/>
      <c r="EK6" s="35" t="str">
        <f t="shared" si="54"/>
        <v/>
      </c>
      <c r="EL6" s="36" t="str">
        <f t="shared" si="55"/>
        <v/>
      </c>
      <c r="EM6" s="37"/>
      <c r="EN6" s="33"/>
      <c r="EO6" s="34"/>
      <c r="EP6" s="35" t="str">
        <f t="shared" si="56"/>
        <v/>
      </c>
      <c r="EQ6" s="36" t="str">
        <f t="shared" si="57"/>
        <v/>
      </c>
      <c r="ER6" s="37"/>
      <c r="ES6" s="33"/>
      <c r="ET6" s="34"/>
      <c r="EU6" s="35" t="str">
        <f t="shared" si="58"/>
        <v/>
      </c>
      <c r="EV6" s="36" t="str">
        <f t="shared" si="59"/>
        <v/>
      </c>
      <c r="EW6" s="37"/>
    </row>
    <row r="7" spans="1:153" ht="19.5" customHeight="1">
      <c r="A7" s="32">
        <f>IF(DAY(DATE(対象年度,5,4))&lt;&gt;4,"",4)</f>
        <v>4</v>
      </c>
      <c r="B7" s="32" t="str">
        <f>IF(DAY(DATE(対象年度,5,4))&lt;&gt;4,"",CHOOSE(WEEKDAY(DATE(対象年度,5,4),2),"月","火","水","木","金","土","日"))</f>
        <v>月</v>
      </c>
      <c r="C7" s="32" t="str">
        <f>IF(DAY(DATE(対象年度,5,4))&lt;&gt;4,"",IF(ISNUMBER(MATCH(DATE(対象年度,5,4),祝日リスト,0)),"祝",""))</f>
        <v>祝</v>
      </c>
      <c r="D7" s="33"/>
      <c r="E7" s="34"/>
      <c r="F7" s="35" t="str">
        <f t="shared" si="0"/>
        <v/>
      </c>
      <c r="G7" s="36" t="str">
        <f t="shared" si="1"/>
        <v/>
      </c>
      <c r="H7" s="37"/>
      <c r="I7" s="33"/>
      <c r="J7" s="34"/>
      <c r="K7" s="35" t="str">
        <f t="shared" si="2"/>
        <v/>
      </c>
      <c r="L7" s="36" t="str">
        <f t="shared" si="3"/>
        <v/>
      </c>
      <c r="M7" s="37"/>
      <c r="N7" s="33"/>
      <c r="O7" s="34"/>
      <c r="P7" s="35" t="str">
        <f t="shared" si="4"/>
        <v/>
      </c>
      <c r="Q7" s="36" t="str">
        <f t="shared" si="5"/>
        <v/>
      </c>
      <c r="R7" s="37"/>
      <c r="S7" s="33"/>
      <c r="T7" s="34"/>
      <c r="U7" s="35" t="str">
        <f t="shared" si="6"/>
        <v/>
      </c>
      <c r="V7" s="36" t="str">
        <f t="shared" si="7"/>
        <v/>
      </c>
      <c r="W7" s="37"/>
      <c r="X7" s="33"/>
      <c r="Y7" s="34"/>
      <c r="Z7" s="35" t="str">
        <f t="shared" si="8"/>
        <v/>
      </c>
      <c r="AA7" s="36" t="str">
        <f t="shared" si="9"/>
        <v/>
      </c>
      <c r="AB7" s="37"/>
      <c r="AC7" s="33"/>
      <c r="AD7" s="34"/>
      <c r="AE7" s="35" t="str">
        <f t="shared" si="10"/>
        <v/>
      </c>
      <c r="AF7" s="36" t="str">
        <f t="shared" si="11"/>
        <v/>
      </c>
      <c r="AG7" s="37"/>
      <c r="AH7" s="33"/>
      <c r="AI7" s="34"/>
      <c r="AJ7" s="35" t="str">
        <f t="shared" si="12"/>
        <v/>
      </c>
      <c r="AK7" s="36" t="str">
        <f t="shared" si="13"/>
        <v/>
      </c>
      <c r="AL7" s="37"/>
      <c r="AM7" s="33"/>
      <c r="AN7" s="34"/>
      <c r="AO7" s="35" t="str">
        <f t="shared" si="14"/>
        <v/>
      </c>
      <c r="AP7" s="36" t="str">
        <f t="shared" si="15"/>
        <v/>
      </c>
      <c r="AQ7" s="37"/>
      <c r="AR7" s="33"/>
      <c r="AS7" s="34"/>
      <c r="AT7" s="35" t="str">
        <f t="shared" si="16"/>
        <v/>
      </c>
      <c r="AU7" s="36" t="str">
        <f t="shared" si="17"/>
        <v/>
      </c>
      <c r="AV7" s="37"/>
      <c r="AW7" s="33"/>
      <c r="AX7" s="34"/>
      <c r="AY7" s="35" t="str">
        <f t="shared" si="18"/>
        <v/>
      </c>
      <c r="AZ7" s="36" t="str">
        <f t="shared" si="19"/>
        <v/>
      </c>
      <c r="BA7" s="37"/>
      <c r="BB7" s="33"/>
      <c r="BC7" s="34"/>
      <c r="BD7" s="35" t="str">
        <f t="shared" si="20"/>
        <v/>
      </c>
      <c r="BE7" s="36" t="str">
        <f t="shared" si="21"/>
        <v/>
      </c>
      <c r="BF7" s="37"/>
      <c r="BG7" s="33"/>
      <c r="BH7" s="34"/>
      <c r="BI7" s="35" t="str">
        <f t="shared" si="22"/>
        <v/>
      </c>
      <c r="BJ7" s="36" t="str">
        <f t="shared" si="23"/>
        <v/>
      </c>
      <c r="BK7" s="37"/>
      <c r="BL7" s="33"/>
      <c r="BM7" s="34"/>
      <c r="BN7" s="35" t="str">
        <f t="shared" si="24"/>
        <v/>
      </c>
      <c r="BO7" s="36" t="str">
        <f t="shared" si="25"/>
        <v/>
      </c>
      <c r="BP7" s="37"/>
      <c r="BQ7" s="33"/>
      <c r="BR7" s="34"/>
      <c r="BS7" s="35" t="str">
        <f t="shared" si="26"/>
        <v/>
      </c>
      <c r="BT7" s="36" t="str">
        <f t="shared" si="27"/>
        <v/>
      </c>
      <c r="BU7" s="37"/>
      <c r="BV7" s="33"/>
      <c r="BW7" s="34"/>
      <c r="BX7" s="35" t="str">
        <f t="shared" si="28"/>
        <v/>
      </c>
      <c r="BY7" s="36" t="str">
        <f t="shared" si="29"/>
        <v/>
      </c>
      <c r="BZ7" s="37"/>
      <c r="CA7" s="33"/>
      <c r="CB7" s="34"/>
      <c r="CC7" s="35" t="str">
        <f t="shared" si="30"/>
        <v/>
      </c>
      <c r="CD7" s="36" t="str">
        <f t="shared" si="31"/>
        <v/>
      </c>
      <c r="CE7" s="37"/>
      <c r="CF7" s="33"/>
      <c r="CG7" s="34"/>
      <c r="CH7" s="35" t="str">
        <f t="shared" si="32"/>
        <v/>
      </c>
      <c r="CI7" s="36" t="str">
        <f t="shared" si="33"/>
        <v/>
      </c>
      <c r="CJ7" s="37"/>
      <c r="CK7" s="33"/>
      <c r="CL7" s="34"/>
      <c r="CM7" s="35" t="str">
        <f t="shared" si="34"/>
        <v/>
      </c>
      <c r="CN7" s="36" t="str">
        <f t="shared" si="35"/>
        <v/>
      </c>
      <c r="CO7" s="37"/>
      <c r="CP7" s="33"/>
      <c r="CQ7" s="34"/>
      <c r="CR7" s="35" t="str">
        <f t="shared" si="36"/>
        <v/>
      </c>
      <c r="CS7" s="36" t="str">
        <f t="shared" si="37"/>
        <v/>
      </c>
      <c r="CT7" s="37"/>
      <c r="CU7" s="33"/>
      <c r="CV7" s="34"/>
      <c r="CW7" s="35" t="str">
        <f t="shared" si="38"/>
        <v/>
      </c>
      <c r="CX7" s="36" t="str">
        <f t="shared" si="39"/>
        <v/>
      </c>
      <c r="CY7" s="37"/>
      <c r="CZ7" s="33"/>
      <c r="DA7" s="34"/>
      <c r="DB7" s="35" t="str">
        <f t="shared" si="40"/>
        <v/>
      </c>
      <c r="DC7" s="36" t="str">
        <f t="shared" si="41"/>
        <v/>
      </c>
      <c r="DD7" s="37"/>
      <c r="DE7" s="33"/>
      <c r="DF7" s="34"/>
      <c r="DG7" s="35" t="str">
        <f t="shared" si="42"/>
        <v/>
      </c>
      <c r="DH7" s="36" t="str">
        <f t="shared" si="43"/>
        <v/>
      </c>
      <c r="DI7" s="37"/>
      <c r="DJ7" s="33"/>
      <c r="DK7" s="34"/>
      <c r="DL7" s="35" t="str">
        <f t="shared" si="44"/>
        <v/>
      </c>
      <c r="DM7" s="36" t="str">
        <f t="shared" si="45"/>
        <v/>
      </c>
      <c r="DN7" s="37"/>
      <c r="DO7" s="33"/>
      <c r="DP7" s="34"/>
      <c r="DQ7" s="35" t="str">
        <f t="shared" si="46"/>
        <v/>
      </c>
      <c r="DR7" s="36" t="str">
        <f t="shared" si="47"/>
        <v/>
      </c>
      <c r="DS7" s="37"/>
      <c r="DT7" s="33"/>
      <c r="DU7" s="34"/>
      <c r="DV7" s="35" t="str">
        <f t="shared" si="48"/>
        <v/>
      </c>
      <c r="DW7" s="36" t="str">
        <f t="shared" si="49"/>
        <v/>
      </c>
      <c r="DX7" s="37"/>
      <c r="DY7" s="33"/>
      <c r="DZ7" s="34"/>
      <c r="EA7" s="35" t="str">
        <f t="shared" si="50"/>
        <v/>
      </c>
      <c r="EB7" s="36" t="str">
        <f t="shared" si="51"/>
        <v/>
      </c>
      <c r="EC7" s="37"/>
      <c r="ED7" s="33"/>
      <c r="EE7" s="34"/>
      <c r="EF7" s="35" t="str">
        <f t="shared" si="52"/>
        <v/>
      </c>
      <c r="EG7" s="36" t="str">
        <f t="shared" si="53"/>
        <v/>
      </c>
      <c r="EH7" s="37"/>
      <c r="EI7" s="33"/>
      <c r="EJ7" s="34"/>
      <c r="EK7" s="35" t="str">
        <f t="shared" si="54"/>
        <v/>
      </c>
      <c r="EL7" s="36" t="str">
        <f t="shared" si="55"/>
        <v/>
      </c>
      <c r="EM7" s="37"/>
      <c r="EN7" s="33"/>
      <c r="EO7" s="34"/>
      <c r="EP7" s="35" t="str">
        <f t="shared" si="56"/>
        <v/>
      </c>
      <c r="EQ7" s="36" t="str">
        <f t="shared" si="57"/>
        <v/>
      </c>
      <c r="ER7" s="37"/>
      <c r="ES7" s="33"/>
      <c r="ET7" s="34"/>
      <c r="EU7" s="35" t="str">
        <f t="shared" si="58"/>
        <v/>
      </c>
      <c r="EV7" s="36" t="str">
        <f t="shared" si="59"/>
        <v/>
      </c>
      <c r="EW7" s="37"/>
    </row>
    <row r="8" spans="1:153" ht="19.5" customHeight="1">
      <c r="A8" s="32">
        <f>IF(DAY(DATE(対象年度,5,5))&lt;&gt;5,"",5)</f>
        <v>5</v>
      </c>
      <c r="B8" s="32" t="str">
        <f>IF(DAY(DATE(対象年度,5,5))&lt;&gt;5,"",CHOOSE(WEEKDAY(DATE(対象年度,5,5),2),"月","火","水","木","金","土","日"))</f>
        <v>火</v>
      </c>
      <c r="C8" s="32" t="str">
        <f>IF(DAY(DATE(対象年度,5,5))&lt;&gt;5,"",IF(ISNUMBER(MATCH(DATE(対象年度,5,5),祝日リスト,0)),"祝",""))</f>
        <v>祝</v>
      </c>
      <c r="D8" s="33"/>
      <c r="E8" s="34"/>
      <c r="F8" s="35" t="str">
        <f t="shared" si="0"/>
        <v/>
      </c>
      <c r="G8" s="36" t="str">
        <f t="shared" si="1"/>
        <v/>
      </c>
      <c r="H8" s="37"/>
      <c r="I8" s="33"/>
      <c r="J8" s="34"/>
      <c r="K8" s="35" t="str">
        <f t="shared" si="2"/>
        <v/>
      </c>
      <c r="L8" s="36" t="str">
        <f t="shared" si="3"/>
        <v/>
      </c>
      <c r="M8" s="37"/>
      <c r="N8" s="33"/>
      <c r="O8" s="34"/>
      <c r="P8" s="35" t="str">
        <f t="shared" si="4"/>
        <v/>
      </c>
      <c r="Q8" s="36" t="str">
        <f t="shared" si="5"/>
        <v/>
      </c>
      <c r="R8" s="37"/>
      <c r="S8" s="33"/>
      <c r="T8" s="34"/>
      <c r="U8" s="35" t="str">
        <f t="shared" si="6"/>
        <v/>
      </c>
      <c r="V8" s="36" t="str">
        <f t="shared" si="7"/>
        <v/>
      </c>
      <c r="W8" s="37"/>
      <c r="X8" s="33"/>
      <c r="Y8" s="34"/>
      <c r="Z8" s="35" t="str">
        <f t="shared" si="8"/>
        <v/>
      </c>
      <c r="AA8" s="36" t="str">
        <f t="shared" si="9"/>
        <v/>
      </c>
      <c r="AB8" s="37"/>
      <c r="AC8" s="33"/>
      <c r="AD8" s="34"/>
      <c r="AE8" s="35" t="str">
        <f t="shared" si="10"/>
        <v/>
      </c>
      <c r="AF8" s="36" t="str">
        <f t="shared" si="11"/>
        <v/>
      </c>
      <c r="AG8" s="37"/>
      <c r="AH8" s="33"/>
      <c r="AI8" s="34"/>
      <c r="AJ8" s="35" t="str">
        <f t="shared" si="12"/>
        <v/>
      </c>
      <c r="AK8" s="36" t="str">
        <f t="shared" si="13"/>
        <v/>
      </c>
      <c r="AL8" s="37"/>
      <c r="AM8" s="33"/>
      <c r="AN8" s="34"/>
      <c r="AO8" s="35" t="str">
        <f t="shared" si="14"/>
        <v/>
      </c>
      <c r="AP8" s="36" t="str">
        <f t="shared" si="15"/>
        <v/>
      </c>
      <c r="AQ8" s="37"/>
      <c r="AR8" s="33"/>
      <c r="AS8" s="34"/>
      <c r="AT8" s="35" t="str">
        <f t="shared" si="16"/>
        <v/>
      </c>
      <c r="AU8" s="36" t="str">
        <f t="shared" si="17"/>
        <v/>
      </c>
      <c r="AV8" s="37"/>
      <c r="AW8" s="33"/>
      <c r="AX8" s="34"/>
      <c r="AY8" s="35" t="str">
        <f t="shared" si="18"/>
        <v/>
      </c>
      <c r="AZ8" s="36" t="str">
        <f t="shared" si="19"/>
        <v/>
      </c>
      <c r="BA8" s="37"/>
      <c r="BB8" s="33"/>
      <c r="BC8" s="34"/>
      <c r="BD8" s="35" t="str">
        <f t="shared" si="20"/>
        <v/>
      </c>
      <c r="BE8" s="36" t="str">
        <f t="shared" si="21"/>
        <v/>
      </c>
      <c r="BF8" s="37"/>
      <c r="BG8" s="33"/>
      <c r="BH8" s="34"/>
      <c r="BI8" s="35" t="str">
        <f t="shared" si="22"/>
        <v/>
      </c>
      <c r="BJ8" s="36" t="str">
        <f t="shared" si="23"/>
        <v/>
      </c>
      <c r="BK8" s="37"/>
      <c r="BL8" s="33"/>
      <c r="BM8" s="34"/>
      <c r="BN8" s="35" t="str">
        <f t="shared" si="24"/>
        <v/>
      </c>
      <c r="BO8" s="36" t="str">
        <f t="shared" si="25"/>
        <v/>
      </c>
      <c r="BP8" s="37"/>
      <c r="BQ8" s="33"/>
      <c r="BR8" s="34"/>
      <c r="BS8" s="35" t="str">
        <f t="shared" si="26"/>
        <v/>
      </c>
      <c r="BT8" s="36" t="str">
        <f t="shared" si="27"/>
        <v/>
      </c>
      <c r="BU8" s="37"/>
      <c r="BV8" s="33"/>
      <c r="BW8" s="34"/>
      <c r="BX8" s="35" t="str">
        <f t="shared" si="28"/>
        <v/>
      </c>
      <c r="BY8" s="36" t="str">
        <f t="shared" si="29"/>
        <v/>
      </c>
      <c r="BZ8" s="37"/>
      <c r="CA8" s="33"/>
      <c r="CB8" s="34"/>
      <c r="CC8" s="35" t="str">
        <f t="shared" si="30"/>
        <v/>
      </c>
      <c r="CD8" s="36" t="str">
        <f t="shared" si="31"/>
        <v/>
      </c>
      <c r="CE8" s="37"/>
      <c r="CF8" s="33"/>
      <c r="CG8" s="34"/>
      <c r="CH8" s="35" t="str">
        <f t="shared" si="32"/>
        <v/>
      </c>
      <c r="CI8" s="36" t="str">
        <f t="shared" si="33"/>
        <v/>
      </c>
      <c r="CJ8" s="37"/>
      <c r="CK8" s="33"/>
      <c r="CL8" s="34"/>
      <c r="CM8" s="35" t="str">
        <f t="shared" si="34"/>
        <v/>
      </c>
      <c r="CN8" s="36" t="str">
        <f t="shared" si="35"/>
        <v/>
      </c>
      <c r="CO8" s="37"/>
      <c r="CP8" s="33"/>
      <c r="CQ8" s="34"/>
      <c r="CR8" s="35" t="str">
        <f t="shared" si="36"/>
        <v/>
      </c>
      <c r="CS8" s="36" t="str">
        <f t="shared" si="37"/>
        <v/>
      </c>
      <c r="CT8" s="37"/>
      <c r="CU8" s="33"/>
      <c r="CV8" s="34"/>
      <c r="CW8" s="35" t="str">
        <f t="shared" si="38"/>
        <v/>
      </c>
      <c r="CX8" s="36" t="str">
        <f t="shared" si="39"/>
        <v/>
      </c>
      <c r="CY8" s="37"/>
      <c r="CZ8" s="33"/>
      <c r="DA8" s="34"/>
      <c r="DB8" s="35" t="str">
        <f t="shared" si="40"/>
        <v/>
      </c>
      <c r="DC8" s="36" t="str">
        <f t="shared" si="41"/>
        <v/>
      </c>
      <c r="DD8" s="37"/>
      <c r="DE8" s="33"/>
      <c r="DF8" s="34"/>
      <c r="DG8" s="35" t="str">
        <f t="shared" si="42"/>
        <v/>
      </c>
      <c r="DH8" s="36" t="str">
        <f t="shared" si="43"/>
        <v/>
      </c>
      <c r="DI8" s="37"/>
      <c r="DJ8" s="33"/>
      <c r="DK8" s="34"/>
      <c r="DL8" s="35" t="str">
        <f t="shared" si="44"/>
        <v/>
      </c>
      <c r="DM8" s="36" t="str">
        <f t="shared" si="45"/>
        <v/>
      </c>
      <c r="DN8" s="37"/>
      <c r="DO8" s="33"/>
      <c r="DP8" s="34"/>
      <c r="DQ8" s="35" t="str">
        <f t="shared" si="46"/>
        <v/>
      </c>
      <c r="DR8" s="36" t="str">
        <f t="shared" si="47"/>
        <v/>
      </c>
      <c r="DS8" s="37"/>
      <c r="DT8" s="33"/>
      <c r="DU8" s="34"/>
      <c r="DV8" s="35" t="str">
        <f t="shared" si="48"/>
        <v/>
      </c>
      <c r="DW8" s="36" t="str">
        <f t="shared" si="49"/>
        <v/>
      </c>
      <c r="DX8" s="37"/>
      <c r="DY8" s="33"/>
      <c r="DZ8" s="34"/>
      <c r="EA8" s="35" t="str">
        <f t="shared" si="50"/>
        <v/>
      </c>
      <c r="EB8" s="36" t="str">
        <f t="shared" si="51"/>
        <v/>
      </c>
      <c r="EC8" s="37"/>
      <c r="ED8" s="33"/>
      <c r="EE8" s="34"/>
      <c r="EF8" s="35" t="str">
        <f t="shared" si="52"/>
        <v/>
      </c>
      <c r="EG8" s="36" t="str">
        <f t="shared" si="53"/>
        <v/>
      </c>
      <c r="EH8" s="37"/>
      <c r="EI8" s="33"/>
      <c r="EJ8" s="34"/>
      <c r="EK8" s="35" t="str">
        <f t="shared" si="54"/>
        <v/>
      </c>
      <c r="EL8" s="36" t="str">
        <f t="shared" si="55"/>
        <v/>
      </c>
      <c r="EM8" s="37"/>
      <c r="EN8" s="33"/>
      <c r="EO8" s="34"/>
      <c r="EP8" s="35" t="str">
        <f t="shared" si="56"/>
        <v/>
      </c>
      <c r="EQ8" s="36" t="str">
        <f t="shared" si="57"/>
        <v/>
      </c>
      <c r="ER8" s="37"/>
      <c r="ES8" s="33"/>
      <c r="ET8" s="34"/>
      <c r="EU8" s="35" t="str">
        <f t="shared" si="58"/>
        <v/>
      </c>
      <c r="EV8" s="36" t="str">
        <f t="shared" si="59"/>
        <v/>
      </c>
      <c r="EW8" s="37"/>
    </row>
    <row r="9" spans="1:153" ht="19.5" customHeight="1">
      <c r="A9" s="32">
        <f>IF(DAY(DATE(対象年度,5,6))&lt;&gt;6,"",6)</f>
        <v>6</v>
      </c>
      <c r="B9" s="32" t="str">
        <f>IF(DAY(DATE(対象年度,5,6))&lt;&gt;6,"",CHOOSE(WEEKDAY(DATE(対象年度,5,6),2),"月","火","水","木","金","土","日"))</f>
        <v>水</v>
      </c>
      <c r="C9" s="32" t="str">
        <f>IF(DAY(DATE(対象年度,5,6))&lt;&gt;6,"",IF(ISNUMBER(MATCH(DATE(対象年度,5,6),祝日リスト,0)),"祝",""))</f>
        <v>祝</v>
      </c>
      <c r="D9" s="33"/>
      <c r="E9" s="34"/>
      <c r="F9" s="35" t="str">
        <f t="shared" si="0"/>
        <v/>
      </c>
      <c r="G9" s="36" t="str">
        <f t="shared" si="1"/>
        <v/>
      </c>
      <c r="H9" s="37"/>
      <c r="I9" s="33"/>
      <c r="J9" s="34"/>
      <c r="K9" s="35" t="str">
        <f t="shared" si="2"/>
        <v/>
      </c>
      <c r="L9" s="36" t="str">
        <f t="shared" si="3"/>
        <v/>
      </c>
      <c r="M9" s="37"/>
      <c r="N9" s="33"/>
      <c r="O9" s="34"/>
      <c r="P9" s="35" t="str">
        <f t="shared" si="4"/>
        <v/>
      </c>
      <c r="Q9" s="36" t="str">
        <f t="shared" si="5"/>
        <v/>
      </c>
      <c r="R9" s="37"/>
      <c r="S9" s="33"/>
      <c r="T9" s="34"/>
      <c r="U9" s="35" t="str">
        <f t="shared" si="6"/>
        <v/>
      </c>
      <c r="V9" s="36" t="str">
        <f t="shared" si="7"/>
        <v/>
      </c>
      <c r="W9" s="37"/>
      <c r="X9" s="33"/>
      <c r="Y9" s="34"/>
      <c r="Z9" s="35" t="str">
        <f t="shared" si="8"/>
        <v/>
      </c>
      <c r="AA9" s="36" t="str">
        <f t="shared" si="9"/>
        <v/>
      </c>
      <c r="AB9" s="37"/>
      <c r="AC9" s="33"/>
      <c r="AD9" s="34"/>
      <c r="AE9" s="35" t="str">
        <f t="shared" si="10"/>
        <v/>
      </c>
      <c r="AF9" s="36" t="str">
        <f t="shared" si="11"/>
        <v/>
      </c>
      <c r="AG9" s="37"/>
      <c r="AH9" s="33"/>
      <c r="AI9" s="34"/>
      <c r="AJ9" s="35" t="str">
        <f t="shared" si="12"/>
        <v/>
      </c>
      <c r="AK9" s="36" t="str">
        <f t="shared" si="13"/>
        <v/>
      </c>
      <c r="AL9" s="37"/>
      <c r="AM9" s="33"/>
      <c r="AN9" s="34"/>
      <c r="AO9" s="35" t="str">
        <f t="shared" si="14"/>
        <v/>
      </c>
      <c r="AP9" s="36" t="str">
        <f t="shared" si="15"/>
        <v/>
      </c>
      <c r="AQ9" s="37"/>
      <c r="AR9" s="33"/>
      <c r="AS9" s="34"/>
      <c r="AT9" s="35" t="str">
        <f t="shared" si="16"/>
        <v/>
      </c>
      <c r="AU9" s="36" t="str">
        <f t="shared" si="17"/>
        <v/>
      </c>
      <c r="AV9" s="37"/>
      <c r="AW9" s="33"/>
      <c r="AX9" s="34"/>
      <c r="AY9" s="35" t="str">
        <f t="shared" si="18"/>
        <v/>
      </c>
      <c r="AZ9" s="36" t="str">
        <f t="shared" si="19"/>
        <v/>
      </c>
      <c r="BA9" s="37"/>
      <c r="BB9" s="33"/>
      <c r="BC9" s="34"/>
      <c r="BD9" s="35" t="str">
        <f t="shared" si="20"/>
        <v/>
      </c>
      <c r="BE9" s="36" t="str">
        <f t="shared" si="21"/>
        <v/>
      </c>
      <c r="BF9" s="37"/>
      <c r="BG9" s="33"/>
      <c r="BH9" s="34"/>
      <c r="BI9" s="35" t="str">
        <f t="shared" si="22"/>
        <v/>
      </c>
      <c r="BJ9" s="36" t="str">
        <f t="shared" si="23"/>
        <v/>
      </c>
      <c r="BK9" s="37"/>
      <c r="BL9" s="33"/>
      <c r="BM9" s="34"/>
      <c r="BN9" s="35" t="str">
        <f t="shared" si="24"/>
        <v/>
      </c>
      <c r="BO9" s="36" t="str">
        <f t="shared" si="25"/>
        <v/>
      </c>
      <c r="BP9" s="37"/>
      <c r="BQ9" s="33"/>
      <c r="BR9" s="34"/>
      <c r="BS9" s="35" t="str">
        <f t="shared" si="26"/>
        <v/>
      </c>
      <c r="BT9" s="36" t="str">
        <f t="shared" si="27"/>
        <v/>
      </c>
      <c r="BU9" s="37"/>
      <c r="BV9" s="33"/>
      <c r="BW9" s="34"/>
      <c r="BX9" s="35" t="str">
        <f t="shared" si="28"/>
        <v/>
      </c>
      <c r="BY9" s="36" t="str">
        <f t="shared" si="29"/>
        <v/>
      </c>
      <c r="BZ9" s="37"/>
      <c r="CA9" s="33"/>
      <c r="CB9" s="34"/>
      <c r="CC9" s="35" t="str">
        <f t="shared" si="30"/>
        <v/>
      </c>
      <c r="CD9" s="36" t="str">
        <f t="shared" si="31"/>
        <v/>
      </c>
      <c r="CE9" s="37"/>
      <c r="CF9" s="33"/>
      <c r="CG9" s="34"/>
      <c r="CH9" s="35" t="str">
        <f t="shared" si="32"/>
        <v/>
      </c>
      <c r="CI9" s="36" t="str">
        <f t="shared" si="33"/>
        <v/>
      </c>
      <c r="CJ9" s="37"/>
      <c r="CK9" s="33"/>
      <c r="CL9" s="34"/>
      <c r="CM9" s="35" t="str">
        <f t="shared" si="34"/>
        <v/>
      </c>
      <c r="CN9" s="36" t="str">
        <f t="shared" si="35"/>
        <v/>
      </c>
      <c r="CO9" s="37"/>
      <c r="CP9" s="33"/>
      <c r="CQ9" s="34"/>
      <c r="CR9" s="35" t="str">
        <f t="shared" si="36"/>
        <v/>
      </c>
      <c r="CS9" s="36" t="str">
        <f t="shared" si="37"/>
        <v/>
      </c>
      <c r="CT9" s="37"/>
      <c r="CU9" s="33"/>
      <c r="CV9" s="34"/>
      <c r="CW9" s="35" t="str">
        <f t="shared" si="38"/>
        <v/>
      </c>
      <c r="CX9" s="36" t="str">
        <f t="shared" si="39"/>
        <v/>
      </c>
      <c r="CY9" s="37"/>
      <c r="CZ9" s="33"/>
      <c r="DA9" s="34"/>
      <c r="DB9" s="35" t="str">
        <f t="shared" si="40"/>
        <v/>
      </c>
      <c r="DC9" s="36" t="str">
        <f t="shared" si="41"/>
        <v/>
      </c>
      <c r="DD9" s="37"/>
      <c r="DE9" s="33"/>
      <c r="DF9" s="34"/>
      <c r="DG9" s="35" t="str">
        <f t="shared" si="42"/>
        <v/>
      </c>
      <c r="DH9" s="36" t="str">
        <f t="shared" si="43"/>
        <v/>
      </c>
      <c r="DI9" s="37"/>
      <c r="DJ9" s="33"/>
      <c r="DK9" s="34"/>
      <c r="DL9" s="35" t="str">
        <f t="shared" si="44"/>
        <v/>
      </c>
      <c r="DM9" s="36" t="str">
        <f t="shared" si="45"/>
        <v/>
      </c>
      <c r="DN9" s="37"/>
      <c r="DO9" s="33"/>
      <c r="DP9" s="34"/>
      <c r="DQ9" s="35" t="str">
        <f t="shared" si="46"/>
        <v/>
      </c>
      <c r="DR9" s="36" t="str">
        <f t="shared" si="47"/>
        <v/>
      </c>
      <c r="DS9" s="37"/>
      <c r="DT9" s="33"/>
      <c r="DU9" s="34"/>
      <c r="DV9" s="35" t="str">
        <f t="shared" si="48"/>
        <v/>
      </c>
      <c r="DW9" s="36" t="str">
        <f t="shared" si="49"/>
        <v/>
      </c>
      <c r="DX9" s="37"/>
      <c r="DY9" s="33"/>
      <c r="DZ9" s="34"/>
      <c r="EA9" s="35" t="str">
        <f t="shared" si="50"/>
        <v/>
      </c>
      <c r="EB9" s="36" t="str">
        <f t="shared" si="51"/>
        <v/>
      </c>
      <c r="EC9" s="37"/>
      <c r="ED9" s="33"/>
      <c r="EE9" s="34"/>
      <c r="EF9" s="35" t="str">
        <f t="shared" si="52"/>
        <v/>
      </c>
      <c r="EG9" s="36" t="str">
        <f t="shared" si="53"/>
        <v/>
      </c>
      <c r="EH9" s="37"/>
      <c r="EI9" s="33"/>
      <c r="EJ9" s="34"/>
      <c r="EK9" s="35" t="str">
        <f t="shared" si="54"/>
        <v/>
      </c>
      <c r="EL9" s="36" t="str">
        <f t="shared" si="55"/>
        <v/>
      </c>
      <c r="EM9" s="37"/>
      <c r="EN9" s="33"/>
      <c r="EO9" s="34"/>
      <c r="EP9" s="35" t="str">
        <f t="shared" si="56"/>
        <v/>
      </c>
      <c r="EQ9" s="36" t="str">
        <f t="shared" si="57"/>
        <v/>
      </c>
      <c r="ER9" s="37"/>
      <c r="ES9" s="33"/>
      <c r="ET9" s="34"/>
      <c r="EU9" s="35" t="str">
        <f t="shared" si="58"/>
        <v/>
      </c>
      <c r="EV9" s="36" t="str">
        <f t="shared" si="59"/>
        <v/>
      </c>
      <c r="EW9" s="37"/>
    </row>
    <row r="10" spans="1:153" ht="19.5" customHeight="1">
      <c r="A10" s="32">
        <f>IF(DAY(DATE(対象年度,5,7))&lt;&gt;7,"",7)</f>
        <v>7</v>
      </c>
      <c r="B10" s="32" t="str">
        <f>IF(DAY(DATE(対象年度,5,7))&lt;&gt;7,"",CHOOSE(WEEKDAY(DATE(対象年度,5,7),2),"月","火","水","木","金","土","日"))</f>
        <v>木</v>
      </c>
      <c r="C10" s="32" t="str">
        <f>IF(DAY(DATE(対象年度,5,7))&lt;&gt;7,"",IF(ISNUMBER(MATCH(DATE(対象年度,5,7),祝日リスト,0)),"祝",""))</f>
        <v/>
      </c>
      <c r="D10" s="33"/>
      <c r="E10" s="34"/>
      <c r="F10" s="35" t="str">
        <f t="shared" si="0"/>
        <v/>
      </c>
      <c r="G10" s="36" t="str">
        <f t="shared" si="1"/>
        <v/>
      </c>
      <c r="H10" s="37"/>
      <c r="I10" s="33"/>
      <c r="J10" s="34"/>
      <c r="K10" s="35" t="str">
        <f t="shared" si="2"/>
        <v/>
      </c>
      <c r="L10" s="36" t="str">
        <f t="shared" si="3"/>
        <v/>
      </c>
      <c r="M10" s="37"/>
      <c r="N10" s="33"/>
      <c r="O10" s="34"/>
      <c r="P10" s="35" t="str">
        <f t="shared" si="4"/>
        <v/>
      </c>
      <c r="Q10" s="36" t="str">
        <f t="shared" si="5"/>
        <v/>
      </c>
      <c r="R10" s="37"/>
      <c r="S10" s="33"/>
      <c r="T10" s="34"/>
      <c r="U10" s="35" t="str">
        <f t="shared" si="6"/>
        <v/>
      </c>
      <c r="V10" s="36" t="str">
        <f t="shared" si="7"/>
        <v/>
      </c>
      <c r="W10" s="37"/>
      <c r="X10" s="33"/>
      <c r="Y10" s="34"/>
      <c r="Z10" s="35" t="str">
        <f t="shared" si="8"/>
        <v/>
      </c>
      <c r="AA10" s="36" t="str">
        <f t="shared" si="9"/>
        <v/>
      </c>
      <c r="AB10" s="37"/>
      <c r="AC10" s="33"/>
      <c r="AD10" s="34"/>
      <c r="AE10" s="35" t="str">
        <f t="shared" si="10"/>
        <v/>
      </c>
      <c r="AF10" s="36" t="str">
        <f t="shared" si="11"/>
        <v/>
      </c>
      <c r="AG10" s="37"/>
      <c r="AH10" s="33"/>
      <c r="AI10" s="34"/>
      <c r="AJ10" s="35" t="str">
        <f t="shared" si="12"/>
        <v/>
      </c>
      <c r="AK10" s="36" t="str">
        <f t="shared" si="13"/>
        <v/>
      </c>
      <c r="AL10" s="37"/>
      <c r="AM10" s="33"/>
      <c r="AN10" s="34"/>
      <c r="AO10" s="35" t="str">
        <f t="shared" si="14"/>
        <v/>
      </c>
      <c r="AP10" s="36" t="str">
        <f t="shared" si="15"/>
        <v/>
      </c>
      <c r="AQ10" s="37"/>
      <c r="AR10" s="33"/>
      <c r="AS10" s="34"/>
      <c r="AT10" s="35" t="str">
        <f t="shared" si="16"/>
        <v/>
      </c>
      <c r="AU10" s="36" t="str">
        <f t="shared" si="17"/>
        <v/>
      </c>
      <c r="AV10" s="37"/>
      <c r="AW10" s="33"/>
      <c r="AX10" s="34"/>
      <c r="AY10" s="35" t="str">
        <f t="shared" si="18"/>
        <v/>
      </c>
      <c r="AZ10" s="36" t="str">
        <f t="shared" si="19"/>
        <v/>
      </c>
      <c r="BA10" s="37"/>
      <c r="BB10" s="33"/>
      <c r="BC10" s="34"/>
      <c r="BD10" s="35" t="str">
        <f t="shared" si="20"/>
        <v/>
      </c>
      <c r="BE10" s="36" t="str">
        <f t="shared" si="21"/>
        <v/>
      </c>
      <c r="BF10" s="37"/>
      <c r="BG10" s="33"/>
      <c r="BH10" s="34"/>
      <c r="BI10" s="35" t="str">
        <f t="shared" si="22"/>
        <v/>
      </c>
      <c r="BJ10" s="36" t="str">
        <f t="shared" si="23"/>
        <v/>
      </c>
      <c r="BK10" s="37"/>
      <c r="BL10" s="33"/>
      <c r="BM10" s="34"/>
      <c r="BN10" s="35" t="str">
        <f t="shared" si="24"/>
        <v/>
      </c>
      <c r="BO10" s="36" t="str">
        <f t="shared" si="25"/>
        <v/>
      </c>
      <c r="BP10" s="37"/>
      <c r="BQ10" s="33"/>
      <c r="BR10" s="34"/>
      <c r="BS10" s="35" t="str">
        <f t="shared" si="26"/>
        <v/>
      </c>
      <c r="BT10" s="36" t="str">
        <f t="shared" si="27"/>
        <v/>
      </c>
      <c r="BU10" s="37"/>
      <c r="BV10" s="33"/>
      <c r="BW10" s="34"/>
      <c r="BX10" s="35" t="str">
        <f t="shared" si="28"/>
        <v/>
      </c>
      <c r="BY10" s="36" t="str">
        <f t="shared" si="29"/>
        <v/>
      </c>
      <c r="BZ10" s="37"/>
      <c r="CA10" s="33"/>
      <c r="CB10" s="34"/>
      <c r="CC10" s="35" t="str">
        <f t="shared" si="30"/>
        <v/>
      </c>
      <c r="CD10" s="36" t="str">
        <f t="shared" si="31"/>
        <v/>
      </c>
      <c r="CE10" s="37"/>
      <c r="CF10" s="33"/>
      <c r="CG10" s="34"/>
      <c r="CH10" s="35" t="str">
        <f t="shared" si="32"/>
        <v/>
      </c>
      <c r="CI10" s="36" t="str">
        <f t="shared" si="33"/>
        <v/>
      </c>
      <c r="CJ10" s="37"/>
      <c r="CK10" s="33"/>
      <c r="CL10" s="34"/>
      <c r="CM10" s="35" t="str">
        <f t="shared" si="34"/>
        <v/>
      </c>
      <c r="CN10" s="36" t="str">
        <f t="shared" si="35"/>
        <v/>
      </c>
      <c r="CO10" s="37"/>
      <c r="CP10" s="33"/>
      <c r="CQ10" s="34"/>
      <c r="CR10" s="35" t="str">
        <f t="shared" si="36"/>
        <v/>
      </c>
      <c r="CS10" s="36" t="str">
        <f t="shared" si="37"/>
        <v/>
      </c>
      <c r="CT10" s="37"/>
      <c r="CU10" s="33"/>
      <c r="CV10" s="34"/>
      <c r="CW10" s="35" t="str">
        <f t="shared" si="38"/>
        <v/>
      </c>
      <c r="CX10" s="36" t="str">
        <f t="shared" si="39"/>
        <v/>
      </c>
      <c r="CY10" s="37"/>
      <c r="CZ10" s="33"/>
      <c r="DA10" s="34"/>
      <c r="DB10" s="35" t="str">
        <f t="shared" si="40"/>
        <v/>
      </c>
      <c r="DC10" s="36" t="str">
        <f t="shared" si="41"/>
        <v/>
      </c>
      <c r="DD10" s="37"/>
      <c r="DE10" s="33"/>
      <c r="DF10" s="34"/>
      <c r="DG10" s="35" t="str">
        <f t="shared" si="42"/>
        <v/>
      </c>
      <c r="DH10" s="36" t="str">
        <f t="shared" si="43"/>
        <v/>
      </c>
      <c r="DI10" s="37"/>
      <c r="DJ10" s="33"/>
      <c r="DK10" s="34"/>
      <c r="DL10" s="35" t="str">
        <f t="shared" si="44"/>
        <v/>
      </c>
      <c r="DM10" s="36" t="str">
        <f t="shared" si="45"/>
        <v/>
      </c>
      <c r="DN10" s="37"/>
      <c r="DO10" s="33"/>
      <c r="DP10" s="34"/>
      <c r="DQ10" s="35" t="str">
        <f t="shared" si="46"/>
        <v/>
      </c>
      <c r="DR10" s="36" t="str">
        <f t="shared" si="47"/>
        <v/>
      </c>
      <c r="DS10" s="37"/>
      <c r="DT10" s="33"/>
      <c r="DU10" s="34"/>
      <c r="DV10" s="35" t="str">
        <f t="shared" si="48"/>
        <v/>
      </c>
      <c r="DW10" s="36" t="str">
        <f t="shared" si="49"/>
        <v/>
      </c>
      <c r="DX10" s="37"/>
      <c r="DY10" s="33"/>
      <c r="DZ10" s="34"/>
      <c r="EA10" s="35" t="str">
        <f t="shared" si="50"/>
        <v/>
      </c>
      <c r="EB10" s="36" t="str">
        <f t="shared" si="51"/>
        <v/>
      </c>
      <c r="EC10" s="37"/>
      <c r="ED10" s="33"/>
      <c r="EE10" s="34"/>
      <c r="EF10" s="35" t="str">
        <f t="shared" si="52"/>
        <v/>
      </c>
      <c r="EG10" s="36" t="str">
        <f t="shared" si="53"/>
        <v/>
      </c>
      <c r="EH10" s="37"/>
      <c r="EI10" s="33"/>
      <c r="EJ10" s="34"/>
      <c r="EK10" s="35" t="str">
        <f t="shared" si="54"/>
        <v/>
      </c>
      <c r="EL10" s="36" t="str">
        <f t="shared" si="55"/>
        <v/>
      </c>
      <c r="EM10" s="37"/>
      <c r="EN10" s="33"/>
      <c r="EO10" s="34"/>
      <c r="EP10" s="35" t="str">
        <f t="shared" si="56"/>
        <v/>
      </c>
      <c r="EQ10" s="36" t="str">
        <f t="shared" si="57"/>
        <v/>
      </c>
      <c r="ER10" s="37"/>
      <c r="ES10" s="33"/>
      <c r="ET10" s="34"/>
      <c r="EU10" s="35" t="str">
        <f t="shared" si="58"/>
        <v/>
      </c>
      <c r="EV10" s="36" t="str">
        <f t="shared" si="59"/>
        <v/>
      </c>
      <c r="EW10" s="37"/>
    </row>
    <row r="11" spans="1:153" ht="19.5" customHeight="1">
      <c r="A11" s="32">
        <f>IF(DAY(DATE(対象年度,5,8))&lt;&gt;8,"",8)</f>
        <v>8</v>
      </c>
      <c r="B11" s="32" t="str">
        <f>IF(DAY(DATE(対象年度,5,8))&lt;&gt;8,"",CHOOSE(WEEKDAY(DATE(対象年度,5,8),2),"月","火","水","木","金","土","日"))</f>
        <v>金</v>
      </c>
      <c r="C11" s="32" t="str">
        <f>IF(DAY(DATE(対象年度,5,8))&lt;&gt;8,"",IF(ISNUMBER(MATCH(DATE(対象年度,5,8),祝日リスト,0)),"祝",""))</f>
        <v/>
      </c>
      <c r="D11" s="33"/>
      <c r="E11" s="34"/>
      <c r="F11" s="35" t="str">
        <f t="shared" si="0"/>
        <v/>
      </c>
      <c r="G11" s="36" t="str">
        <f t="shared" si="1"/>
        <v/>
      </c>
      <c r="H11" s="37"/>
      <c r="I11" s="33"/>
      <c r="J11" s="34"/>
      <c r="K11" s="35" t="str">
        <f t="shared" si="2"/>
        <v/>
      </c>
      <c r="L11" s="36" t="str">
        <f t="shared" si="3"/>
        <v/>
      </c>
      <c r="M11" s="37"/>
      <c r="N11" s="33"/>
      <c r="O11" s="34"/>
      <c r="P11" s="35" t="str">
        <f t="shared" si="4"/>
        <v/>
      </c>
      <c r="Q11" s="36" t="str">
        <f t="shared" si="5"/>
        <v/>
      </c>
      <c r="R11" s="37"/>
      <c r="S11" s="33"/>
      <c r="T11" s="34"/>
      <c r="U11" s="35" t="str">
        <f t="shared" si="6"/>
        <v/>
      </c>
      <c r="V11" s="36" t="str">
        <f t="shared" si="7"/>
        <v/>
      </c>
      <c r="W11" s="37"/>
      <c r="X11" s="33"/>
      <c r="Y11" s="34"/>
      <c r="Z11" s="35" t="str">
        <f t="shared" si="8"/>
        <v/>
      </c>
      <c r="AA11" s="36" t="str">
        <f t="shared" si="9"/>
        <v/>
      </c>
      <c r="AB11" s="37"/>
      <c r="AC11" s="33"/>
      <c r="AD11" s="34"/>
      <c r="AE11" s="35" t="str">
        <f t="shared" si="10"/>
        <v/>
      </c>
      <c r="AF11" s="36" t="str">
        <f t="shared" si="11"/>
        <v/>
      </c>
      <c r="AG11" s="37"/>
      <c r="AH11" s="33"/>
      <c r="AI11" s="34"/>
      <c r="AJ11" s="35" t="str">
        <f t="shared" si="12"/>
        <v/>
      </c>
      <c r="AK11" s="36" t="str">
        <f t="shared" si="13"/>
        <v/>
      </c>
      <c r="AL11" s="37"/>
      <c r="AM11" s="33"/>
      <c r="AN11" s="34"/>
      <c r="AO11" s="35" t="str">
        <f t="shared" si="14"/>
        <v/>
      </c>
      <c r="AP11" s="36" t="str">
        <f t="shared" si="15"/>
        <v/>
      </c>
      <c r="AQ11" s="37"/>
      <c r="AR11" s="33"/>
      <c r="AS11" s="34"/>
      <c r="AT11" s="35" t="str">
        <f t="shared" si="16"/>
        <v/>
      </c>
      <c r="AU11" s="36" t="str">
        <f t="shared" si="17"/>
        <v/>
      </c>
      <c r="AV11" s="37"/>
      <c r="AW11" s="33"/>
      <c r="AX11" s="34"/>
      <c r="AY11" s="35" t="str">
        <f t="shared" si="18"/>
        <v/>
      </c>
      <c r="AZ11" s="36" t="str">
        <f t="shared" si="19"/>
        <v/>
      </c>
      <c r="BA11" s="37"/>
      <c r="BB11" s="33"/>
      <c r="BC11" s="34"/>
      <c r="BD11" s="35" t="str">
        <f t="shared" si="20"/>
        <v/>
      </c>
      <c r="BE11" s="36" t="str">
        <f t="shared" si="21"/>
        <v/>
      </c>
      <c r="BF11" s="37"/>
      <c r="BG11" s="33"/>
      <c r="BH11" s="34"/>
      <c r="BI11" s="35" t="str">
        <f t="shared" si="22"/>
        <v/>
      </c>
      <c r="BJ11" s="36" t="str">
        <f t="shared" si="23"/>
        <v/>
      </c>
      <c r="BK11" s="37"/>
      <c r="BL11" s="33"/>
      <c r="BM11" s="34"/>
      <c r="BN11" s="35" t="str">
        <f t="shared" si="24"/>
        <v/>
      </c>
      <c r="BO11" s="36" t="str">
        <f t="shared" si="25"/>
        <v/>
      </c>
      <c r="BP11" s="37"/>
      <c r="BQ11" s="33"/>
      <c r="BR11" s="34"/>
      <c r="BS11" s="35" t="str">
        <f t="shared" si="26"/>
        <v/>
      </c>
      <c r="BT11" s="36" t="str">
        <f t="shared" si="27"/>
        <v/>
      </c>
      <c r="BU11" s="37"/>
      <c r="BV11" s="33"/>
      <c r="BW11" s="34"/>
      <c r="BX11" s="35" t="str">
        <f t="shared" si="28"/>
        <v/>
      </c>
      <c r="BY11" s="36" t="str">
        <f t="shared" si="29"/>
        <v/>
      </c>
      <c r="BZ11" s="37"/>
      <c r="CA11" s="33"/>
      <c r="CB11" s="34"/>
      <c r="CC11" s="35" t="str">
        <f t="shared" si="30"/>
        <v/>
      </c>
      <c r="CD11" s="36" t="str">
        <f t="shared" si="31"/>
        <v/>
      </c>
      <c r="CE11" s="37"/>
      <c r="CF11" s="33"/>
      <c r="CG11" s="34"/>
      <c r="CH11" s="35" t="str">
        <f t="shared" si="32"/>
        <v/>
      </c>
      <c r="CI11" s="36" t="str">
        <f t="shared" si="33"/>
        <v/>
      </c>
      <c r="CJ11" s="37"/>
      <c r="CK11" s="33"/>
      <c r="CL11" s="34"/>
      <c r="CM11" s="35" t="str">
        <f t="shared" si="34"/>
        <v/>
      </c>
      <c r="CN11" s="36" t="str">
        <f t="shared" si="35"/>
        <v/>
      </c>
      <c r="CO11" s="37"/>
      <c r="CP11" s="33"/>
      <c r="CQ11" s="34"/>
      <c r="CR11" s="35" t="str">
        <f t="shared" si="36"/>
        <v/>
      </c>
      <c r="CS11" s="36" t="str">
        <f t="shared" si="37"/>
        <v/>
      </c>
      <c r="CT11" s="37"/>
      <c r="CU11" s="33"/>
      <c r="CV11" s="34"/>
      <c r="CW11" s="35" t="str">
        <f t="shared" si="38"/>
        <v/>
      </c>
      <c r="CX11" s="36" t="str">
        <f t="shared" si="39"/>
        <v/>
      </c>
      <c r="CY11" s="37"/>
      <c r="CZ11" s="33"/>
      <c r="DA11" s="34"/>
      <c r="DB11" s="35" t="str">
        <f t="shared" si="40"/>
        <v/>
      </c>
      <c r="DC11" s="36" t="str">
        <f t="shared" si="41"/>
        <v/>
      </c>
      <c r="DD11" s="37"/>
      <c r="DE11" s="33"/>
      <c r="DF11" s="34"/>
      <c r="DG11" s="35" t="str">
        <f t="shared" si="42"/>
        <v/>
      </c>
      <c r="DH11" s="36" t="str">
        <f t="shared" si="43"/>
        <v/>
      </c>
      <c r="DI11" s="37"/>
      <c r="DJ11" s="33"/>
      <c r="DK11" s="34"/>
      <c r="DL11" s="35" t="str">
        <f t="shared" si="44"/>
        <v/>
      </c>
      <c r="DM11" s="36" t="str">
        <f t="shared" si="45"/>
        <v/>
      </c>
      <c r="DN11" s="37"/>
      <c r="DO11" s="33"/>
      <c r="DP11" s="34"/>
      <c r="DQ11" s="35" t="str">
        <f t="shared" si="46"/>
        <v/>
      </c>
      <c r="DR11" s="36" t="str">
        <f t="shared" si="47"/>
        <v/>
      </c>
      <c r="DS11" s="37"/>
      <c r="DT11" s="33"/>
      <c r="DU11" s="34"/>
      <c r="DV11" s="35" t="str">
        <f t="shared" si="48"/>
        <v/>
      </c>
      <c r="DW11" s="36" t="str">
        <f t="shared" si="49"/>
        <v/>
      </c>
      <c r="DX11" s="37"/>
      <c r="DY11" s="33"/>
      <c r="DZ11" s="34"/>
      <c r="EA11" s="35" t="str">
        <f t="shared" si="50"/>
        <v/>
      </c>
      <c r="EB11" s="36" t="str">
        <f t="shared" si="51"/>
        <v/>
      </c>
      <c r="EC11" s="37"/>
      <c r="ED11" s="33"/>
      <c r="EE11" s="34"/>
      <c r="EF11" s="35" t="str">
        <f t="shared" si="52"/>
        <v/>
      </c>
      <c r="EG11" s="36" t="str">
        <f t="shared" si="53"/>
        <v/>
      </c>
      <c r="EH11" s="37"/>
      <c r="EI11" s="33"/>
      <c r="EJ11" s="34"/>
      <c r="EK11" s="35" t="str">
        <f t="shared" si="54"/>
        <v/>
      </c>
      <c r="EL11" s="36" t="str">
        <f t="shared" si="55"/>
        <v/>
      </c>
      <c r="EM11" s="37"/>
      <c r="EN11" s="33"/>
      <c r="EO11" s="34"/>
      <c r="EP11" s="35" t="str">
        <f t="shared" si="56"/>
        <v/>
      </c>
      <c r="EQ11" s="36" t="str">
        <f t="shared" si="57"/>
        <v/>
      </c>
      <c r="ER11" s="37"/>
      <c r="ES11" s="33"/>
      <c r="ET11" s="34"/>
      <c r="EU11" s="35" t="str">
        <f t="shared" si="58"/>
        <v/>
      </c>
      <c r="EV11" s="36" t="str">
        <f t="shared" si="59"/>
        <v/>
      </c>
      <c r="EW11" s="37"/>
    </row>
    <row r="12" spans="1:153" ht="19.5" customHeight="1">
      <c r="A12" s="32">
        <f>IF(DAY(DATE(対象年度,5,9))&lt;&gt;9,"",9)</f>
        <v>9</v>
      </c>
      <c r="B12" s="32" t="str">
        <f>IF(DAY(DATE(対象年度,5,9))&lt;&gt;9,"",CHOOSE(WEEKDAY(DATE(対象年度,5,9),2),"月","火","水","木","金","土","日"))</f>
        <v>土</v>
      </c>
      <c r="C12" s="32" t="str">
        <f>IF(DAY(DATE(対象年度,5,9))&lt;&gt;9,"",IF(ISNUMBER(MATCH(DATE(対象年度,5,9),祝日リスト,0)),"祝",""))</f>
        <v/>
      </c>
      <c r="D12" s="33"/>
      <c r="E12" s="34"/>
      <c r="F12" s="35" t="str">
        <f t="shared" si="0"/>
        <v/>
      </c>
      <c r="G12" s="36" t="str">
        <f t="shared" si="1"/>
        <v/>
      </c>
      <c r="H12" s="37"/>
      <c r="I12" s="33"/>
      <c r="J12" s="34"/>
      <c r="K12" s="35" t="str">
        <f t="shared" si="2"/>
        <v/>
      </c>
      <c r="L12" s="36" t="str">
        <f t="shared" si="3"/>
        <v/>
      </c>
      <c r="M12" s="37"/>
      <c r="N12" s="33"/>
      <c r="O12" s="34"/>
      <c r="P12" s="35" t="str">
        <f t="shared" si="4"/>
        <v/>
      </c>
      <c r="Q12" s="36" t="str">
        <f t="shared" si="5"/>
        <v/>
      </c>
      <c r="R12" s="37"/>
      <c r="S12" s="33"/>
      <c r="T12" s="34"/>
      <c r="U12" s="35" t="str">
        <f t="shared" si="6"/>
        <v/>
      </c>
      <c r="V12" s="36" t="str">
        <f t="shared" si="7"/>
        <v/>
      </c>
      <c r="W12" s="37"/>
      <c r="X12" s="33"/>
      <c r="Y12" s="34"/>
      <c r="Z12" s="35" t="str">
        <f t="shared" si="8"/>
        <v/>
      </c>
      <c r="AA12" s="36" t="str">
        <f t="shared" si="9"/>
        <v/>
      </c>
      <c r="AB12" s="37"/>
      <c r="AC12" s="33"/>
      <c r="AD12" s="34"/>
      <c r="AE12" s="35" t="str">
        <f t="shared" si="10"/>
        <v/>
      </c>
      <c r="AF12" s="36" t="str">
        <f t="shared" si="11"/>
        <v/>
      </c>
      <c r="AG12" s="37"/>
      <c r="AH12" s="33"/>
      <c r="AI12" s="34"/>
      <c r="AJ12" s="35" t="str">
        <f t="shared" si="12"/>
        <v/>
      </c>
      <c r="AK12" s="36" t="str">
        <f t="shared" si="13"/>
        <v/>
      </c>
      <c r="AL12" s="37"/>
      <c r="AM12" s="33"/>
      <c r="AN12" s="34"/>
      <c r="AO12" s="35" t="str">
        <f t="shared" si="14"/>
        <v/>
      </c>
      <c r="AP12" s="36" t="str">
        <f t="shared" si="15"/>
        <v/>
      </c>
      <c r="AQ12" s="37"/>
      <c r="AR12" s="33"/>
      <c r="AS12" s="34"/>
      <c r="AT12" s="35" t="str">
        <f t="shared" si="16"/>
        <v/>
      </c>
      <c r="AU12" s="36" t="str">
        <f t="shared" si="17"/>
        <v/>
      </c>
      <c r="AV12" s="37"/>
      <c r="AW12" s="33"/>
      <c r="AX12" s="34"/>
      <c r="AY12" s="35" t="str">
        <f t="shared" si="18"/>
        <v/>
      </c>
      <c r="AZ12" s="36" t="str">
        <f t="shared" si="19"/>
        <v/>
      </c>
      <c r="BA12" s="37"/>
      <c r="BB12" s="33"/>
      <c r="BC12" s="34"/>
      <c r="BD12" s="35" t="str">
        <f t="shared" si="20"/>
        <v/>
      </c>
      <c r="BE12" s="36" t="str">
        <f t="shared" si="21"/>
        <v/>
      </c>
      <c r="BF12" s="37"/>
      <c r="BG12" s="33"/>
      <c r="BH12" s="34"/>
      <c r="BI12" s="35" t="str">
        <f t="shared" si="22"/>
        <v/>
      </c>
      <c r="BJ12" s="36" t="str">
        <f t="shared" si="23"/>
        <v/>
      </c>
      <c r="BK12" s="37"/>
      <c r="BL12" s="33"/>
      <c r="BM12" s="34"/>
      <c r="BN12" s="35" t="str">
        <f t="shared" si="24"/>
        <v/>
      </c>
      <c r="BO12" s="36" t="str">
        <f t="shared" si="25"/>
        <v/>
      </c>
      <c r="BP12" s="37"/>
      <c r="BQ12" s="33"/>
      <c r="BR12" s="34"/>
      <c r="BS12" s="35" t="str">
        <f t="shared" si="26"/>
        <v/>
      </c>
      <c r="BT12" s="36" t="str">
        <f t="shared" si="27"/>
        <v/>
      </c>
      <c r="BU12" s="37"/>
      <c r="BV12" s="33"/>
      <c r="BW12" s="34"/>
      <c r="BX12" s="35" t="str">
        <f t="shared" si="28"/>
        <v/>
      </c>
      <c r="BY12" s="36" t="str">
        <f t="shared" si="29"/>
        <v/>
      </c>
      <c r="BZ12" s="37"/>
      <c r="CA12" s="33"/>
      <c r="CB12" s="34"/>
      <c r="CC12" s="35" t="str">
        <f t="shared" si="30"/>
        <v/>
      </c>
      <c r="CD12" s="36" t="str">
        <f t="shared" si="31"/>
        <v/>
      </c>
      <c r="CE12" s="37"/>
      <c r="CF12" s="33"/>
      <c r="CG12" s="34"/>
      <c r="CH12" s="35" t="str">
        <f t="shared" si="32"/>
        <v/>
      </c>
      <c r="CI12" s="36" t="str">
        <f t="shared" si="33"/>
        <v/>
      </c>
      <c r="CJ12" s="37"/>
      <c r="CK12" s="33"/>
      <c r="CL12" s="34"/>
      <c r="CM12" s="35" t="str">
        <f t="shared" si="34"/>
        <v/>
      </c>
      <c r="CN12" s="36" t="str">
        <f t="shared" si="35"/>
        <v/>
      </c>
      <c r="CO12" s="37"/>
      <c r="CP12" s="33"/>
      <c r="CQ12" s="34"/>
      <c r="CR12" s="35" t="str">
        <f t="shared" si="36"/>
        <v/>
      </c>
      <c r="CS12" s="36" t="str">
        <f t="shared" si="37"/>
        <v/>
      </c>
      <c r="CT12" s="37"/>
      <c r="CU12" s="33"/>
      <c r="CV12" s="34"/>
      <c r="CW12" s="35" t="str">
        <f t="shared" si="38"/>
        <v/>
      </c>
      <c r="CX12" s="36" t="str">
        <f t="shared" si="39"/>
        <v/>
      </c>
      <c r="CY12" s="37"/>
      <c r="CZ12" s="33"/>
      <c r="DA12" s="34"/>
      <c r="DB12" s="35" t="str">
        <f t="shared" si="40"/>
        <v/>
      </c>
      <c r="DC12" s="36" t="str">
        <f t="shared" si="41"/>
        <v/>
      </c>
      <c r="DD12" s="37"/>
      <c r="DE12" s="33"/>
      <c r="DF12" s="34"/>
      <c r="DG12" s="35" t="str">
        <f t="shared" si="42"/>
        <v/>
      </c>
      <c r="DH12" s="36" t="str">
        <f t="shared" si="43"/>
        <v/>
      </c>
      <c r="DI12" s="37"/>
      <c r="DJ12" s="33"/>
      <c r="DK12" s="34"/>
      <c r="DL12" s="35" t="str">
        <f t="shared" si="44"/>
        <v/>
      </c>
      <c r="DM12" s="36" t="str">
        <f t="shared" si="45"/>
        <v/>
      </c>
      <c r="DN12" s="37"/>
      <c r="DO12" s="33"/>
      <c r="DP12" s="34"/>
      <c r="DQ12" s="35" t="str">
        <f t="shared" si="46"/>
        <v/>
      </c>
      <c r="DR12" s="36" t="str">
        <f t="shared" si="47"/>
        <v/>
      </c>
      <c r="DS12" s="37"/>
      <c r="DT12" s="33"/>
      <c r="DU12" s="34"/>
      <c r="DV12" s="35" t="str">
        <f t="shared" si="48"/>
        <v/>
      </c>
      <c r="DW12" s="36" t="str">
        <f t="shared" si="49"/>
        <v/>
      </c>
      <c r="DX12" s="37"/>
      <c r="DY12" s="33"/>
      <c r="DZ12" s="34"/>
      <c r="EA12" s="35" t="str">
        <f t="shared" si="50"/>
        <v/>
      </c>
      <c r="EB12" s="36" t="str">
        <f t="shared" si="51"/>
        <v/>
      </c>
      <c r="EC12" s="37"/>
      <c r="ED12" s="33"/>
      <c r="EE12" s="34"/>
      <c r="EF12" s="35" t="str">
        <f t="shared" si="52"/>
        <v/>
      </c>
      <c r="EG12" s="36" t="str">
        <f t="shared" si="53"/>
        <v/>
      </c>
      <c r="EH12" s="37"/>
      <c r="EI12" s="33"/>
      <c r="EJ12" s="34"/>
      <c r="EK12" s="35" t="str">
        <f t="shared" si="54"/>
        <v/>
      </c>
      <c r="EL12" s="36" t="str">
        <f t="shared" si="55"/>
        <v/>
      </c>
      <c r="EM12" s="37"/>
      <c r="EN12" s="33"/>
      <c r="EO12" s="34"/>
      <c r="EP12" s="35" t="str">
        <f t="shared" si="56"/>
        <v/>
      </c>
      <c r="EQ12" s="36" t="str">
        <f t="shared" si="57"/>
        <v/>
      </c>
      <c r="ER12" s="37"/>
      <c r="ES12" s="33"/>
      <c r="ET12" s="34"/>
      <c r="EU12" s="35" t="str">
        <f t="shared" si="58"/>
        <v/>
      </c>
      <c r="EV12" s="36" t="str">
        <f t="shared" si="59"/>
        <v/>
      </c>
      <c r="EW12" s="37"/>
    </row>
    <row r="13" spans="1:153" ht="19.5" customHeight="1">
      <c r="A13" s="32">
        <f>IF(DAY(DATE(対象年度,5,10))&lt;&gt;10,"",10)</f>
        <v>10</v>
      </c>
      <c r="B13" s="32" t="str">
        <f>IF(DAY(DATE(対象年度,5,10))&lt;&gt;10,"",CHOOSE(WEEKDAY(DATE(対象年度,5,10),2),"月","火","水","木","金","土","日"))</f>
        <v>日</v>
      </c>
      <c r="C13" s="32" t="str">
        <f>IF(DAY(DATE(対象年度,5,10))&lt;&gt;10,"",IF(ISNUMBER(MATCH(DATE(対象年度,5,10),祝日リスト,0)),"祝",""))</f>
        <v/>
      </c>
      <c r="D13" s="33"/>
      <c r="E13" s="34"/>
      <c r="F13" s="35" t="str">
        <f t="shared" si="0"/>
        <v/>
      </c>
      <c r="G13" s="36" t="str">
        <f t="shared" si="1"/>
        <v/>
      </c>
      <c r="H13" s="37"/>
      <c r="I13" s="33"/>
      <c r="J13" s="34"/>
      <c r="K13" s="35" t="str">
        <f t="shared" si="2"/>
        <v/>
      </c>
      <c r="L13" s="36" t="str">
        <f t="shared" si="3"/>
        <v/>
      </c>
      <c r="M13" s="37"/>
      <c r="N13" s="33"/>
      <c r="O13" s="34"/>
      <c r="P13" s="35" t="str">
        <f t="shared" si="4"/>
        <v/>
      </c>
      <c r="Q13" s="36" t="str">
        <f t="shared" si="5"/>
        <v/>
      </c>
      <c r="R13" s="37"/>
      <c r="S13" s="33"/>
      <c r="T13" s="34"/>
      <c r="U13" s="35" t="str">
        <f t="shared" si="6"/>
        <v/>
      </c>
      <c r="V13" s="36" t="str">
        <f t="shared" si="7"/>
        <v/>
      </c>
      <c r="W13" s="37"/>
      <c r="X13" s="33"/>
      <c r="Y13" s="34"/>
      <c r="Z13" s="35" t="str">
        <f t="shared" si="8"/>
        <v/>
      </c>
      <c r="AA13" s="36" t="str">
        <f t="shared" si="9"/>
        <v/>
      </c>
      <c r="AB13" s="37"/>
      <c r="AC13" s="33"/>
      <c r="AD13" s="34"/>
      <c r="AE13" s="35" t="str">
        <f t="shared" si="10"/>
        <v/>
      </c>
      <c r="AF13" s="36" t="str">
        <f t="shared" si="11"/>
        <v/>
      </c>
      <c r="AG13" s="37"/>
      <c r="AH13" s="33"/>
      <c r="AI13" s="34"/>
      <c r="AJ13" s="35" t="str">
        <f t="shared" si="12"/>
        <v/>
      </c>
      <c r="AK13" s="36" t="str">
        <f t="shared" si="13"/>
        <v/>
      </c>
      <c r="AL13" s="37"/>
      <c r="AM13" s="33"/>
      <c r="AN13" s="34"/>
      <c r="AO13" s="35" t="str">
        <f t="shared" si="14"/>
        <v/>
      </c>
      <c r="AP13" s="36" t="str">
        <f t="shared" si="15"/>
        <v/>
      </c>
      <c r="AQ13" s="37"/>
      <c r="AR13" s="33"/>
      <c r="AS13" s="34"/>
      <c r="AT13" s="35" t="str">
        <f t="shared" si="16"/>
        <v/>
      </c>
      <c r="AU13" s="36" t="str">
        <f t="shared" si="17"/>
        <v/>
      </c>
      <c r="AV13" s="37"/>
      <c r="AW13" s="33"/>
      <c r="AX13" s="34"/>
      <c r="AY13" s="35" t="str">
        <f t="shared" si="18"/>
        <v/>
      </c>
      <c r="AZ13" s="36" t="str">
        <f t="shared" si="19"/>
        <v/>
      </c>
      <c r="BA13" s="37"/>
      <c r="BB13" s="33"/>
      <c r="BC13" s="34"/>
      <c r="BD13" s="35" t="str">
        <f t="shared" si="20"/>
        <v/>
      </c>
      <c r="BE13" s="36" t="str">
        <f t="shared" si="21"/>
        <v/>
      </c>
      <c r="BF13" s="37"/>
      <c r="BG13" s="33"/>
      <c r="BH13" s="34"/>
      <c r="BI13" s="35" t="str">
        <f t="shared" si="22"/>
        <v/>
      </c>
      <c r="BJ13" s="36" t="str">
        <f t="shared" si="23"/>
        <v/>
      </c>
      <c r="BK13" s="37"/>
      <c r="BL13" s="33"/>
      <c r="BM13" s="34"/>
      <c r="BN13" s="35" t="str">
        <f t="shared" si="24"/>
        <v/>
      </c>
      <c r="BO13" s="36" t="str">
        <f t="shared" si="25"/>
        <v/>
      </c>
      <c r="BP13" s="37"/>
      <c r="BQ13" s="33"/>
      <c r="BR13" s="34"/>
      <c r="BS13" s="35" t="str">
        <f t="shared" si="26"/>
        <v/>
      </c>
      <c r="BT13" s="36" t="str">
        <f t="shared" si="27"/>
        <v/>
      </c>
      <c r="BU13" s="37"/>
      <c r="BV13" s="33"/>
      <c r="BW13" s="34"/>
      <c r="BX13" s="35" t="str">
        <f t="shared" si="28"/>
        <v/>
      </c>
      <c r="BY13" s="36" t="str">
        <f t="shared" si="29"/>
        <v/>
      </c>
      <c r="BZ13" s="37"/>
      <c r="CA13" s="33"/>
      <c r="CB13" s="34"/>
      <c r="CC13" s="35" t="str">
        <f t="shared" si="30"/>
        <v/>
      </c>
      <c r="CD13" s="36" t="str">
        <f t="shared" si="31"/>
        <v/>
      </c>
      <c r="CE13" s="37"/>
      <c r="CF13" s="33"/>
      <c r="CG13" s="34"/>
      <c r="CH13" s="35" t="str">
        <f t="shared" si="32"/>
        <v/>
      </c>
      <c r="CI13" s="36" t="str">
        <f t="shared" si="33"/>
        <v/>
      </c>
      <c r="CJ13" s="37"/>
      <c r="CK13" s="33"/>
      <c r="CL13" s="34"/>
      <c r="CM13" s="35" t="str">
        <f t="shared" si="34"/>
        <v/>
      </c>
      <c r="CN13" s="36" t="str">
        <f t="shared" si="35"/>
        <v/>
      </c>
      <c r="CO13" s="37"/>
      <c r="CP13" s="33"/>
      <c r="CQ13" s="34"/>
      <c r="CR13" s="35" t="str">
        <f t="shared" si="36"/>
        <v/>
      </c>
      <c r="CS13" s="36" t="str">
        <f t="shared" si="37"/>
        <v/>
      </c>
      <c r="CT13" s="37"/>
      <c r="CU13" s="33"/>
      <c r="CV13" s="34"/>
      <c r="CW13" s="35" t="str">
        <f t="shared" si="38"/>
        <v/>
      </c>
      <c r="CX13" s="36" t="str">
        <f t="shared" si="39"/>
        <v/>
      </c>
      <c r="CY13" s="37"/>
      <c r="CZ13" s="33"/>
      <c r="DA13" s="34"/>
      <c r="DB13" s="35" t="str">
        <f t="shared" si="40"/>
        <v/>
      </c>
      <c r="DC13" s="36" t="str">
        <f t="shared" si="41"/>
        <v/>
      </c>
      <c r="DD13" s="37"/>
      <c r="DE13" s="33"/>
      <c r="DF13" s="34"/>
      <c r="DG13" s="35" t="str">
        <f t="shared" si="42"/>
        <v/>
      </c>
      <c r="DH13" s="36" t="str">
        <f t="shared" si="43"/>
        <v/>
      </c>
      <c r="DI13" s="37"/>
      <c r="DJ13" s="33"/>
      <c r="DK13" s="34"/>
      <c r="DL13" s="35" t="str">
        <f t="shared" si="44"/>
        <v/>
      </c>
      <c r="DM13" s="36" t="str">
        <f t="shared" si="45"/>
        <v/>
      </c>
      <c r="DN13" s="37"/>
      <c r="DO13" s="33"/>
      <c r="DP13" s="34"/>
      <c r="DQ13" s="35" t="str">
        <f t="shared" si="46"/>
        <v/>
      </c>
      <c r="DR13" s="36" t="str">
        <f t="shared" si="47"/>
        <v/>
      </c>
      <c r="DS13" s="37"/>
      <c r="DT13" s="33"/>
      <c r="DU13" s="34"/>
      <c r="DV13" s="35" t="str">
        <f t="shared" si="48"/>
        <v/>
      </c>
      <c r="DW13" s="36" t="str">
        <f t="shared" si="49"/>
        <v/>
      </c>
      <c r="DX13" s="37"/>
      <c r="DY13" s="33"/>
      <c r="DZ13" s="34"/>
      <c r="EA13" s="35" t="str">
        <f t="shared" si="50"/>
        <v/>
      </c>
      <c r="EB13" s="36" t="str">
        <f t="shared" si="51"/>
        <v/>
      </c>
      <c r="EC13" s="37"/>
      <c r="ED13" s="33"/>
      <c r="EE13" s="34"/>
      <c r="EF13" s="35" t="str">
        <f t="shared" si="52"/>
        <v/>
      </c>
      <c r="EG13" s="36" t="str">
        <f t="shared" si="53"/>
        <v/>
      </c>
      <c r="EH13" s="37"/>
      <c r="EI13" s="33"/>
      <c r="EJ13" s="34"/>
      <c r="EK13" s="35" t="str">
        <f t="shared" si="54"/>
        <v/>
      </c>
      <c r="EL13" s="36" t="str">
        <f t="shared" si="55"/>
        <v/>
      </c>
      <c r="EM13" s="37"/>
      <c r="EN13" s="33"/>
      <c r="EO13" s="34"/>
      <c r="EP13" s="35" t="str">
        <f t="shared" si="56"/>
        <v/>
      </c>
      <c r="EQ13" s="36" t="str">
        <f t="shared" si="57"/>
        <v/>
      </c>
      <c r="ER13" s="37"/>
      <c r="ES13" s="33"/>
      <c r="ET13" s="34"/>
      <c r="EU13" s="35" t="str">
        <f t="shared" si="58"/>
        <v/>
      </c>
      <c r="EV13" s="36" t="str">
        <f t="shared" si="59"/>
        <v/>
      </c>
      <c r="EW13" s="37"/>
    </row>
    <row r="14" spans="1:153" ht="19.5" customHeight="1">
      <c r="A14" s="32">
        <f>IF(DAY(DATE(対象年度,5,11))&lt;&gt;11,"",11)</f>
        <v>11</v>
      </c>
      <c r="B14" s="32" t="str">
        <f>IF(DAY(DATE(対象年度,5,11))&lt;&gt;11,"",CHOOSE(WEEKDAY(DATE(対象年度,5,11),2),"月","火","水","木","金","土","日"))</f>
        <v>月</v>
      </c>
      <c r="C14" s="32" t="str">
        <f>IF(DAY(DATE(対象年度,5,11))&lt;&gt;11,"",IF(ISNUMBER(MATCH(DATE(対象年度,5,11),祝日リスト,0)),"祝",""))</f>
        <v/>
      </c>
      <c r="D14" s="33"/>
      <c r="E14" s="34"/>
      <c r="F14" s="35" t="str">
        <f t="shared" si="0"/>
        <v/>
      </c>
      <c r="G14" s="36" t="str">
        <f t="shared" si="1"/>
        <v/>
      </c>
      <c r="H14" s="37"/>
      <c r="I14" s="33"/>
      <c r="J14" s="34"/>
      <c r="K14" s="35" t="str">
        <f t="shared" si="2"/>
        <v/>
      </c>
      <c r="L14" s="36" t="str">
        <f t="shared" si="3"/>
        <v/>
      </c>
      <c r="M14" s="37"/>
      <c r="N14" s="33"/>
      <c r="O14" s="34"/>
      <c r="P14" s="35" t="str">
        <f t="shared" si="4"/>
        <v/>
      </c>
      <c r="Q14" s="36" t="str">
        <f t="shared" si="5"/>
        <v/>
      </c>
      <c r="R14" s="37"/>
      <c r="S14" s="33"/>
      <c r="T14" s="34"/>
      <c r="U14" s="35" t="str">
        <f t="shared" si="6"/>
        <v/>
      </c>
      <c r="V14" s="36" t="str">
        <f t="shared" si="7"/>
        <v/>
      </c>
      <c r="W14" s="37"/>
      <c r="X14" s="33"/>
      <c r="Y14" s="34"/>
      <c r="Z14" s="35" t="str">
        <f t="shared" si="8"/>
        <v/>
      </c>
      <c r="AA14" s="36" t="str">
        <f t="shared" si="9"/>
        <v/>
      </c>
      <c r="AB14" s="37"/>
      <c r="AC14" s="33"/>
      <c r="AD14" s="34"/>
      <c r="AE14" s="35" t="str">
        <f t="shared" si="10"/>
        <v/>
      </c>
      <c r="AF14" s="36" t="str">
        <f t="shared" si="11"/>
        <v/>
      </c>
      <c r="AG14" s="37"/>
      <c r="AH14" s="33"/>
      <c r="AI14" s="34"/>
      <c r="AJ14" s="35" t="str">
        <f t="shared" si="12"/>
        <v/>
      </c>
      <c r="AK14" s="36" t="str">
        <f t="shared" si="13"/>
        <v/>
      </c>
      <c r="AL14" s="37"/>
      <c r="AM14" s="33"/>
      <c r="AN14" s="34"/>
      <c r="AO14" s="35" t="str">
        <f t="shared" si="14"/>
        <v/>
      </c>
      <c r="AP14" s="36" t="str">
        <f t="shared" si="15"/>
        <v/>
      </c>
      <c r="AQ14" s="37"/>
      <c r="AR14" s="33"/>
      <c r="AS14" s="34"/>
      <c r="AT14" s="35" t="str">
        <f t="shared" si="16"/>
        <v/>
      </c>
      <c r="AU14" s="36" t="str">
        <f t="shared" si="17"/>
        <v/>
      </c>
      <c r="AV14" s="37"/>
      <c r="AW14" s="33"/>
      <c r="AX14" s="34"/>
      <c r="AY14" s="35" t="str">
        <f t="shared" si="18"/>
        <v/>
      </c>
      <c r="AZ14" s="36" t="str">
        <f t="shared" si="19"/>
        <v/>
      </c>
      <c r="BA14" s="37"/>
      <c r="BB14" s="33"/>
      <c r="BC14" s="34"/>
      <c r="BD14" s="35" t="str">
        <f t="shared" si="20"/>
        <v/>
      </c>
      <c r="BE14" s="36" t="str">
        <f t="shared" si="21"/>
        <v/>
      </c>
      <c r="BF14" s="37"/>
      <c r="BG14" s="33"/>
      <c r="BH14" s="34"/>
      <c r="BI14" s="35" t="str">
        <f t="shared" si="22"/>
        <v/>
      </c>
      <c r="BJ14" s="36" t="str">
        <f t="shared" si="23"/>
        <v/>
      </c>
      <c r="BK14" s="37"/>
      <c r="BL14" s="33"/>
      <c r="BM14" s="34"/>
      <c r="BN14" s="35" t="str">
        <f t="shared" si="24"/>
        <v/>
      </c>
      <c r="BO14" s="36" t="str">
        <f t="shared" si="25"/>
        <v/>
      </c>
      <c r="BP14" s="37"/>
      <c r="BQ14" s="33"/>
      <c r="BR14" s="34"/>
      <c r="BS14" s="35" t="str">
        <f t="shared" si="26"/>
        <v/>
      </c>
      <c r="BT14" s="36" t="str">
        <f t="shared" si="27"/>
        <v/>
      </c>
      <c r="BU14" s="37"/>
      <c r="BV14" s="33"/>
      <c r="BW14" s="34"/>
      <c r="BX14" s="35" t="str">
        <f t="shared" si="28"/>
        <v/>
      </c>
      <c r="BY14" s="36" t="str">
        <f t="shared" si="29"/>
        <v/>
      </c>
      <c r="BZ14" s="37"/>
      <c r="CA14" s="33"/>
      <c r="CB14" s="34"/>
      <c r="CC14" s="35" t="str">
        <f t="shared" si="30"/>
        <v/>
      </c>
      <c r="CD14" s="36" t="str">
        <f t="shared" si="31"/>
        <v/>
      </c>
      <c r="CE14" s="37"/>
      <c r="CF14" s="33"/>
      <c r="CG14" s="34"/>
      <c r="CH14" s="35" t="str">
        <f t="shared" si="32"/>
        <v/>
      </c>
      <c r="CI14" s="36" t="str">
        <f t="shared" si="33"/>
        <v/>
      </c>
      <c r="CJ14" s="37"/>
      <c r="CK14" s="33"/>
      <c r="CL14" s="34"/>
      <c r="CM14" s="35" t="str">
        <f t="shared" si="34"/>
        <v/>
      </c>
      <c r="CN14" s="36" t="str">
        <f t="shared" si="35"/>
        <v/>
      </c>
      <c r="CO14" s="37"/>
      <c r="CP14" s="33"/>
      <c r="CQ14" s="34"/>
      <c r="CR14" s="35" t="str">
        <f t="shared" si="36"/>
        <v/>
      </c>
      <c r="CS14" s="36" t="str">
        <f t="shared" si="37"/>
        <v/>
      </c>
      <c r="CT14" s="37"/>
      <c r="CU14" s="33"/>
      <c r="CV14" s="34"/>
      <c r="CW14" s="35" t="str">
        <f t="shared" si="38"/>
        <v/>
      </c>
      <c r="CX14" s="36" t="str">
        <f t="shared" si="39"/>
        <v/>
      </c>
      <c r="CY14" s="37"/>
      <c r="CZ14" s="33"/>
      <c r="DA14" s="34"/>
      <c r="DB14" s="35" t="str">
        <f t="shared" si="40"/>
        <v/>
      </c>
      <c r="DC14" s="36" t="str">
        <f t="shared" si="41"/>
        <v/>
      </c>
      <c r="DD14" s="37"/>
      <c r="DE14" s="33"/>
      <c r="DF14" s="34"/>
      <c r="DG14" s="35" t="str">
        <f t="shared" si="42"/>
        <v/>
      </c>
      <c r="DH14" s="36" t="str">
        <f t="shared" si="43"/>
        <v/>
      </c>
      <c r="DI14" s="37"/>
      <c r="DJ14" s="33"/>
      <c r="DK14" s="34"/>
      <c r="DL14" s="35" t="str">
        <f t="shared" si="44"/>
        <v/>
      </c>
      <c r="DM14" s="36" t="str">
        <f t="shared" si="45"/>
        <v/>
      </c>
      <c r="DN14" s="37"/>
      <c r="DO14" s="33"/>
      <c r="DP14" s="34"/>
      <c r="DQ14" s="35" t="str">
        <f t="shared" si="46"/>
        <v/>
      </c>
      <c r="DR14" s="36" t="str">
        <f t="shared" si="47"/>
        <v/>
      </c>
      <c r="DS14" s="37"/>
      <c r="DT14" s="33"/>
      <c r="DU14" s="34"/>
      <c r="DV14" s="35" t="str">
        <f t="shared" si="48"/>
        <v/>
      </c>
      <c r="DW14" s="36" t="str">
        <f t="shared" si="49"/>
        <v/>
      </c>
      <c r="DX14" s="37"/>
      <c r="DY14" s="33"/>
      <c r="DZ14" s="34"/>
      <c r="EA14" s="35" t="str">
        <f t="shared" si="50"/>
        <v/>
      </c>
      <c r="EB14" s="36" t="str">
        <f t="shared" si="51"/>
        <v/>
      </c>
      <c r="EC14" s="37"/>
      <c r="ED14" s="33"/>
      <c r="EE14" s="34"/>
      <c r="EF14" s="35" t="str">
        <f t="shared" si="52"/>
        <v/>
      </c>
      <c r="EG14" s="36" t="str">
        <f t="shared" si="53"/>
        <v/>
      </c>
      <c r="EH14" s="37"/>
      <c r="EI14" s="33"/>
      <c r="EJ14" s="34"/>
      <c r="EK14" s="35" t="str">
        <f t="shared" si="54"/>
        <v/>
      </c>
      <c r="EL14" s="36" t="str">
        <f t="shared" si="55"/>
        <v/>
      </c>
      <c r="EM14" s="37"/>
      <c r="EN14" s="33"/>
      <c r="EO14" s="34"/>
      <c r="EP14" s="35" t="str">
        <f t="shared" si="56"/>
        <v/>
      </c>
      <c r="EQ14" s="36" t="str">
        <f t="shared" si="57"/>
        <v/>
      </c>
      <c r="ER14" s="37"/>
      <c r="ES14" s="33"/>
      <c r="ET14" s="34"/>
      <c r="EU14" s="35" t="str">
        <f t="shared" si="58"/>
        <v/>
      </c>
      <c r="EV14" s="36" t="str">
        <f t="shared" si="59"/>
        <v/>
      </c>
      <c r="EW14" s="37"/>
    </row>
    <row r="15" spans="1:153" ht="19.5" customHeight="1">
      <c r="A15" s="32">
        <f>IF(DAY(DATE(対象年度,5,12))&lt;&gt;12,"",12)</f>
        <v>12</v>
      </c>
      <c r="B15" s="32" t="str">
        <f>IF(DAY(DATE(対象年度,5,12))&lt;&gt;12,"",CHOOSE(WEEKDAY(DATE(対象年度,5,12),2),"月","火","水","木","金","土","日"))</f>
        <v>火</v>
      </c>
      <c r="C15" s="32" t="str">
        <f>IF(DAY(DATE(対象年度,5,12))&lt;&gt;12,"",IF(ISNUMBER(MATCH(DATE(対象年度,5,12),祝日リスト,0)),"祝",""))</f>
        <v/>
      </c>
      <c r="D15" s="33"/>
      <c r="E15" s="34"/>
      <c r="F15" s="35" t="str">
        <f t="shared" si="0"/>
        <v/>
      </c>
      <c r="G15" s="36" t="str">
        <f t="shared" si="1"/>
        <v/>
      </c>
      <c r="H15" s="37"/>
      <c r="I15" s="33"/>
      <c r="J15" s="34"/>
      <c r="K15" s="35" t="str">
        <f t="shared" si="2"/>
        <v/>
      </c>
      <c r="L15" s="36" t="str">
        <f t="shared" si="3"/>
        <v/>
      </c>
      <c r="M15" s="37"/>
      <c r="N15" s="33"/>
      <c r="O15" s="34"/>
      <c r="P15" s="35" t="str">
        <f t="shared" si="4"/>
        <v/>
      </c>
      <c r="Q15" s="36" t="str">
        <f t="shared" si="5"/>
        <v/>
      </c>
      <c r="R15" s="37"/>
      <c r="S15" s="33"/>
      <c r="T15" s="34"/>
      <c r="U15" s="35" t="str">
        <f t="shared" si="6"/>
        <v/>
      </c>
      <c r="V15" s="36" t="str">
        <f t="shared" si="7"/>
        <v/>
      </c>
      <c r="W15" s="37"/>
      <c r="X15" s="33"/>
      <c r="Y15" s="34"/>
      <c r="Z15" s="35" t="str">
        <f t="shared" si="8"/>
        <v/>
      </c>
      <c r="AA15" s="36" t="str">
        <f t="shared" si="9"/>
        <v/>
      </c>
      <c r="AB15" s="37"/>
      <c r="AC15" s="33"/>
      <c r="AD15" s="34"/>
      <c r="AE15" s="35" t="str">
        <f t="shared" si="10"/>
        <v/>
      </c>
      <c r="AF15" s="36" t="str">
        <f t="shared" si="11"/>
        <v/>
      </c>
      <c r="AG15" s="37"/>
      <c r="AH15" s="33"/>
      <c r="AI15" s="34"/>
      <c r="AJ15" s="35" t="str">
        <f t="shared" si="12"/>
        <v/>
      </c>
      <c r="AK15" s="36" t="str">
        <f t="shared" si="13"/>
        <v/>
      </c>
      <c r="AL15" s="37"/>
      <c r="AM15" s="33"/>
      <c r="AN15" s="34"/>
      <c r="AO15" s="35" t="str">
        <f t="shared" si="14"/>
        <v/>
      </c>
      <c r="AP15" s="36" t="str">
        <f t="shared" si="15"/>
        <v/>
      </c>
      <c r="AQ15" s="37"/>
      <c r="AR15" s="33"/>
      <c r="AS15" s="34"/>
      <c r="AT15" s="35" t="str">
        <f t="shared" si="16"/>
        <v/>
      </c>
      <c r="AU15" s="36" t="str">
        <f t="shared" si="17"/>
        <v/>
      </c>
      <c r="AV15" s="37"/>
      <c r="AW15" s="33"/>
      <c r="AX15" s="34"/>
      <c r="AY15" s="35" t="str">
        <f t="shared" si="18"/>
        <v/>
      </c>
      <c r="AZ15" s="36" t="str">
        <f t="shared" si="19"/>
        <v/>
      </c>
      <c r="BA15" s="37"/>
      <c r="BB15" s="33"/>
      <c r="BC15" s="34"/>
      <c r="BD15" s="35" t="str">
        <f t="shared" si="20"/>
        <v/>
      </c>
      <c r="BE15" s="36" t="str">
        <f t="shared" si="21"/>
        <v/>
      </c>
      <c r="BF15" s="37"/>
      <c r="BG15" s="33"/>
      <c r="BH15" s="34"/>
      <c r="BI15" s="35" t="str">
        <f t="shared" si="22"/>
        <v/>
      </c>
      <c r="BJ15" s="36" t="str">
        <f t="shared" si="23"/>
        <v/>
      </c>
      <c r="BK15" s="37"/>
      <c r="BL15" s="33"/>
      <c r="BM15" s="34"/>
      <c r="BN15" s="35" t="str">
        <f t="shared" si="24"/>
        <v/>
      </c>
      <c r="BO15" s="36" t="str">
        <f t="shared" si="25"/>
        <v/>
      </c>
      <c r="BP15" s="37"/>
      <c r="BQ15" s="33"/>
      <c r="BR15" s="34"/>
      <c r="BS15" s="35" t="str">
        <f t="shared" si="26"/>
        <v/>
      </c>
      <c r="BT15" s="36" t="str">
        <f t="shared" si="27"/>
        <v/>
      </c>
      <c r="BU15" s="37"/>
      <c r="BV15" s="33"/>
      <c r="BW15" s="34"/>
      <c r="BX15" s="35" t="str">
        <f t="shared" si="28"/>
        <v/>
      </c>
      <c r="BY15" s="36" t="str">
        <f t="shared" si="29"/>
        <v/>
      </c>
      <c r="BZ15" s="37"/>
      <c r="CA15" s="33"/>
      <c r="CB15" s="34"/>
      <c r="CC15" s="35" t="str">
        <f t="shared" si="30"/>
        <v/>
      </c>
      <c r="CD15" s="36" t="str">
        <f t="shared" si="31"/>
        <v/>
      </c>
      <c r="CE15" s="37"/>
      <c r="CF15" s="33"/>
      <c r="CG15" s="34"/>
      <c r="CH15" s="35" t="str">
        <f t="shared" si="32"/>
        <v/>
      </c>
      <c r="CI15" s="36" t="str">
        <f t="shared" si="33"/>
        <v/>
      </c>
      <c r="CJ15" s="37"/>
      <c r="CK15" s="33"/>
      <c r="CL15" s="34"/>
      <c r="CM15" s="35" t="str">
        <f t="shared" si="34"/>
        <v/>
      </c>
      <c r="CN15" s="36" t="str">
        <f t="shared" si="35"/>
        <v/>
      </c>
      <c r="CO15" s="37"/>
      <c r="CP15" s="33"/>
      <c r="CQ15" s="34"/>
      <c r="CR15" s="35" t="str">
        <f t="shared" si="36"/>
        <v/>
      </c>
      <c r="CS15" s="36" t="str">
        <f t="shared" si="37"/>
        <v/>
      </c>
      <c r="CT15" s="37"/>
      <c r="CU15" s="33"/>
      <c r="CV15" s="34"/>
      <c r="CW15" s="35" t="str">
        <f t="shared" si="38"/>
        <v/>
      </c>
      <c r="CX15" s="36" t="str">
        <f t="shared" si="39"/>
        <v/>
      </c>
      <c r="CY15" s="37"/>
      <c r="CZ15" s="33"/>
      <c r="DA15" s="34"/>
      <c r="DB15" s="35" t="str">
        <f t="shared" si="40"/>
        <v/>
      </c>
      <c r="DC15" s="36" t="str">
        <f t="shared" si="41"/>
        <v/>
      </c>
      <c r="DD15" s="37"/>
      <c r="DE15" s="33"/>
      <c r="DF15" s="34"/>
      <c r="DG15" s="35" t="str">
        <f t="shared" si="42"/>
        <v/>
      </c>
      <c r="DH15" s="36" t="str">
        <f t="shared" si="43"/>
        <v/>
      </c>
      <c r="DI15" s="37"/>
      <c r="DJ15" s="33"/>
      <c r="DK15" s="34"/>
      <c r="DL15" s="35" t="str">
        <f t="shared" si="44"/>
        <v/>
      </c>
      <c r="DM15" s="36" t="str">
        <f t="shared" si="45"/>
        <v/>
      </c>
      <c r="DN15" s="37"/>
      <c r="DO15" s="33"/>
      <c r="DP15" s="34"/>
      <c r="DQ15" s="35" t="str">
        <f t="shared" si="46"/>
        <v/>
      </c>
      <c r="DR15" s="36" t="str">
        <f t="shared" si="47"/>
        <v/>
      </c>
      <c r="DS15" s="37"/>
      <c r="DT15" s="33"/>
      <c r="DU15" s="34"/>
      <c r="DV15" s="35" t="str">
        <f t="shared" si="48"/>
        <v/>
      </c>
      <c r="DW15" s="36" t="str">
        <f t="shared" si="49"/>
        <v/>
      </c>
      <c r="DX15" s="37"/>
      <c r="DY15" s="33"/>
      <c r="DZ15" s="34"/>
      <c r="EA15" s="35" t="str">
        <f t="shared" si="50"/>
        <v/>
      </c>
      <c r="EB15" s="36" t="str">
        <f t="shared" si="51"/>
        <v/>
      </c>
      <c r="EC15" s="37"/>
      <c r="ED15" s="33"/>
      <c r="EE15" s="34"/>
      <c r="EF15" s="35" t="str">
        <f t="shared" si="52"/>
        <v/>
      </c>
      <c r="EG15" s="36" t="str">
        <f t="shared" si="53"/>
        <v/>
      </c>
      <c r="EH15" s="37"/>
      <c r="EI15" s="33"/>
      <c r="EJ15" s="34"/>
      <c r="EK15" s="35" t="str">
        <f t="shared" si="54"/>
        <v/>
      </c>
      <c r="EL15" s="36" t="str">
        <f t="shared" si="55"/>
        <v/>
      </c>
      <c r="EM15" s="37"/>
      <c r="EN15" s="33"/>
      <c r="EO15" s="34"/>
      <c r="EP15" s="35" t="str">
        <f t="shared" si="56"/>
        <v/>
      </c>
      <c r="EQ15" s="36" t="str">
        <f t="shared" si="57"/>
        <v/>
      </c>
      <c r="ER15" s="37"/>
      <c r="ES15" s="33"/>
      <c r="ET15" s="34"/>
      <c r="EU15" s="35" t="str">
        <f t="shared" si="58"/>
        <v/>
      </c>
      <c r="EV15" s="36" t="str">
        <f t="shared" si="59"/>
        <v/>
      </c>
      <c r="EW15" s="37"/>
    </row>
    <row r="16" spans="1:153" ht="19.5" customHeight="1">
      <c r="A16" s="32">
        <f>IF(DAY(DATE(対象年度,5,13))&lt;&gt;13,"",13)</f>
        <v>13</v>
      </c>
      <c r="B16" s="32" t="str">
        <f>IF(DAY(DATE(対象年度,5,13))&lt;&gt;13,"",CHOOSE(WEEKDAY(DATE(対象年度,5,13),2),"月","火","水","木","金","土","日"))</f>
        <v>水</v>
      </c>
      <c r="C16" s="32" t="str">
        <f>IF(DAY(DATE(対象年度,5,13))&lt;&gt;13,"",IF(ISNUMBER(MATCH(DATE(対象年度,5,13),祝日リスト,0)),"祝",""))</f>
        <v/>
      </c>
      <c r="D16" s="33"/>
      <c r="E16" s="34"/>
      <c r="F16" s="35" t="str">
        <f t="shared" si="0"/>
        <v/>
      </c>
      <c r="G16" s="36" t="str">
        <f t="shared" si="1"/>
        <v/>
      </c>
      <c r="H16" s="37"/>
      <c r="I16" s="33"/>
      <c r="J16" s="34"/>
      <c r="K16" s="35" t="str">
        <f t="shared" si="2"/>
        <v/>
      </c>
      <c r="L16" s="36" t="str">
        <f t="shared" si="3"/>
        <v/>
      </c>
      <c r="M16" s="37"/>
      <c r="N16" s="33"/>
      <c r="O16" s="34"/>
      <c r="P16" s="35" t="str">
        <f t="shared" si="4"/>
        <v/>
      </c>
      <c r="Q16" s="36" t="str">
        <f t="shared" si="5"/>
        <v/>
      </c>
      <c r="R16" s="37"/>
      <c r="S16" s="33"/>
      <c r="T16" s="34"/>
      <c r="U16" s="35" t="str">
        <f t="shared" si="6"/>
        <v/>
      </c>
      <c r="V16" s="36" t="str">
        <f t="shared" si="7"/>
        <v/>
      </c>
      <c r="W16" s="37"/>
      <c r="X16" s="33"/>
      <c r="Y16" s="34"/>
      <c r="Z16" s="35" t="str">
        <f t="shared" si="8"/>
        <v/>
      </c>
      <c r="AA16" s="36" t="str">
        <f t="shared" si="9"/>
        <v/>
      </c>
      <c r="AB16" s="37"/>
      <c r="AC16" s="33"/>
      <c r="AD16" s="34"/>
      <c r="AE16" s="35" t="str">
        <f t="shared" si="10"/>
        <v/>
      </c>
      <c r="AF16" s="36" t="str">
        <f t="shared" si="11"/>
        <v/>
      </c>
      <c r="AG16" s="37"/>
      <c r="AH16" s="33"/>
      <c r="AI16" s="34"/>
      <c r="AJ16" s="35" t="str">
        <f t="shared" si="12"/>
        <v/>
      </c>
      <c r="AK16" s="36" t="str">
        <f t="shared" si="13"/>
        <v/>
      </c>
      <c r="AL16" s="37"/>
      <c r="AM16" s="33"/>
      <c r="AN16" s="34"/>
      <c r="AO16" s="35" t="str">
        <f t="shared" si="14"/>
        <v/>
      </c>
      <c r="AP16" s="36" t="str">
        <f t="shared" si="15"/>
        <v/>
      </c>
      <c r="AQ16" s="37"/>
      <c r="AR16" s="33"/>
      <c r="AS16" s="34"/>
      <c r="AT16" s="35" t="str">
        <f t="shared" si="16"/>
        <v/>
      </c>
      <c r="AU16" s="36" t="str">
        <f t="shared" si="17"/>
        <v/>
      </c>
      <c r="AV16" s="37"/>
      <c r="AW16" s="33"/>
      <c r="AX16" s="34"/>
      <c r="AY16" s="35" t="str">
        <f t="shared" si="18"/>
        <v/>
      </c>
      <c r="AZ16" s="36" t="str">
        <f t="shared" si="19"/>
        <v/>
      </c>
      <c r="BA16" s="37"/>
      <c r="BB16" s="33"/>
      <c r="BC16" s="34"/>
      <c r="BD16" s="35" t="str">
        <f t="shared" si="20"/>
        <v/>
      </c>
      <c r="BE16" s="36" t="str">
        <f t="shared" si="21"/>
        <v/>
      </c>
      <c r="BF16" s="37"/>
      <c r="BG16" s="33"/>
      <c r="BH16" s="34"/>
      <c r="BI16" s="35" t="str">
        <f t="shared" si="22"/>
        <v/>
      </c>
      <c r="BJ16" s="36" t="str">
        <f t="shared" si="23"/>
        <v/>
      </c>
      <c r="BK16" s="37"/>
      <c r="BL16" s="33"/>
      <c r="BM16" s="34"/>
      <c r="BN16" s="35" t="str">
        <f t="shared" si="24"/>
        <v/>
      </c>
      <c r="BO16" s="36" t="str">
        <f t="shared" si="25"/>
        <v/>
      </c>
      <c r="BP16" s="37"/>
      <c r="BQ16" s="33"/>
      <c r="BR16" s="34"/>
      <c r="BS16" s="35" t="str">
        <f t="shared" si="26"/>
        <v/>
      </c>
      <c r="BT16" s="36" t="str">
        <f t="shared" si="27"/>
        <v/>
      </c>
      <c r="BU16" s="37"/>
      <c r="BV16" s="33"/>
      <c r="BW16" s="34"/>
      <c r="BX16" s="35" t="str">
        <f t="shared" si="28"/>
        <v/>
      </c>
      <c r="BY16" s="36" t="str">
        <f t="shared" si="29"/>
        <v/>
      </c>
      <c r="BZ16" s="37"/>
      <c r="CA16" s="33"/>
      <c r="CB16" s="34"/>
      <c r="CC16" s="35" t="str">
        <f t="shared" si="30"/>
        <v/>
      </c>
      <c r="CD16" s="36" t="str">
        <f t="shared" si="31"/>
        <v/>
      </c>
      <c r="CE16" s="37"/>
      <c r="CF16" s="33"/>
      <c r="CG16" s="34"/>
      <c r="CH16" s="35" t="str">
        <f t="shared" si="32"/>
        <v/>
      </c>
      <c r="CI16" s="36" t="str">
        <f t="shared" si="33"/>
        <v/>
      </c>
      <c r="CJ16" s="37"/>
      <c r="CK16" s="33"/>
      <c r="CL16" s="34"/>
      <c r="CM16" s="35" t="str">
        <f t="shared" si="34"/>
        <v/>
      </c>
      <c r="CN16" s="36" t="str">
        <f t="shared" si="35"/>
        <v/>
      </c>
      <c r="CO16" s="37"/>
      <c r="CP16" s="33"/>
      <c r="CQ16" s="34"/>
      <c r="CR16" s="35" t="str">
        <f t="shared" si="36"/>
        <v/>
      </c>
      <c r="CS16" s="36" t="str">
        <f t="shared" si="37"/>
        <v/>
      </c>
      <c r="CT16" s="37"/>
      <c r="CU16" s="33"/>
      <c r="CV16" s="34"/>
      <c r="CW16" s="35" t="str">
        <f t="shared" si="38"/>
        <v/>
      </c>
      <c r="CX16" s="36" t="str">
        <f t="shared" si="39"/>
        <v/>
      </c>
      <c r="CY16" s="37"/>
      <c r="CZ16" s="33"/>
      <c r="DA16" s="34"/>
      <c r="DB16" s="35" t="str">
        <f t="shared" si="40"/>
        <v/>
      </c>
      <c r="DC16" s="36" t="str">
        <f t="shared" si="41"/>
        <v/>
      </c>
      <c r="DD16" s="37"/>
      <c r="DE16" s="33"/>
      <c r="DF16" s="34"/>
      <c r="DG16" s="35" t="str">
        <f t="shared" si="42"/>
        <v/>
      </c>
      <c r="DH16" s="36" t="str">
        <f t="shared" si="43"/>
        <v/>
      </c>
      <c r="DI16" s="37"/>
      <c r="DJ16" s="33"/>
      <c r="DK16" s="34"/>
      <c r="DL16" s="35" t="str">
        <f t="shared" si="44"/>
        <v/>
      </c>
      <c r="DM16" s="36" t="str">
        <f t="shared" si="45"/>
        <v/>
      </c>
      <c r="DN16" s="37"/>
      <c r="DO16" s="33"/>
      <c r="DP16" s="34"/>
      <c r="DQ16" s="35" t="str">
        <f t="shared" si="46"/>
        <v/>
      </c>
      <c r="DR16" s="36" t="str">
        <f t="shared" si="47"/>
        <v/>
      </c>
      <c r="DS16" s="37"/>
      <c r="DT16" s="33"/>
      <c r="DU16" s="34"/>
      <c r="DV16" s="35" t="str">
        <f t="shared" si="48"/>
        <v/>
      </c>
      <c r="DW16" s="36" t="str">
        <f t="shared" si="49"/>
        <v/>
      </c>
      <c r="DX16" s="37"/>
      <c r="DY16" s="33"/>
      <c r="DZ16" s="34"/>
      <c r="EA16" s="35" t="str">
        <f t="shared" si="50"/>
        <v/>
      </c>
      <c r="EB16" s="36" t="str">
        <f t="shared" si="51"/>
        <v/>
      </c>
      <c r="EC16" s="37"/>
      <c r="ED16" s="33"/>
      <c r="EE16" s="34"/>
      <c r="EF16" s="35" t="str">
        <f t="shared" si="52"/>
        <v/>
      </c>
      <c r="EG16" s="36" t="str">
        <f t="shared" si="53"/>
        <v/>
      </c>
      <c r="EH16" s="37"/>
      <c r="EI16" s="33"/>
      <c r="EJ16" s="34"/>
      <c r="EK16" s="35" t="str">
        <f t="shared" si="54"/>
        <v/>
      </c>
      <c r="EL16" s="36" t="str">
        <f t="shared" si="55"/>
        <v/>
      </c>
      <c r="EM16" s="37"/>
      <c r="EN16" s="33"/>
      <c r="EO16" s="34"/>
      <c r="EP16" s="35" t="str">
        <f t="shared" si="56"/>
        <v/>
      </c>
      <c r="EQ16" s="36" t="str">
        <f t="shared" si="57"/>
        <v/>
      </c>
      <c r="ER16" s="37"/>
      <c r="ES16" s="33"/>
      <c r="ET16" s="34"/>
      <c r="EU16" s="35" t="str">
        <f t="shared" si="58"/>
        <v/>
      </c>
      <c r="EV16" s="36" t="str">
        <f t="shared" si="59"/>
        <v/>
      </c>
      <c r="EW16" s="37"/>
    </row>
    <row r="17" spans="1:153" ht="19.5" customHeight="1">
      <c r="A17" s="32">
        <f>IF(DAY(DATE(対象年度,5,14))&lt;&gt;14,"",14)</f>
        <v>14</v>
      </c>
      <c r="B17" s="32" t="str">
        <f>IF(DAY(DATE(対象年度,5,14))&lt;&gt;14,"",CHOOSE(WEEKDAY(DATE(対象年度,5,14),2),"月","火","水","木","金","土","日"))</f>
        <v>木</v>
      </c>
      <c r="C17" s="32" t="str">
        <f>IF(DAY(DATE(対象年度,5,14))&lt;&gt;14,"",IF(ISNUMBER(MATCH(DATE(対象年度,5,14),祝日リスト,0)),"祝",""))</f>
        <v/>
      </c>
      <c r="D17" s="33"/>
      <c r="E17" s="34"/>
      <c r="F17" s="35" t="str">
        <f t="shared" si="0"/>
        <v/>
      </c>
      <c r="G17" s="36" t="str">
        <f t="shared" si="1"/>
        <v/>
      </c>
      <c r="H17" s="37"/>
      <c r="I17" s="33"/>
      <c r="J17" s="34"/>
      <c r="K17" s="35" t="str">
        <f t="shared" si="2"/>
        <v/>
      </c>
      <c r="L17" s="36" t="str">
        <f t="shared" si="3"/>
        <v/>
      </c>
      <c r="M17" s="37"/>
      <c r="N17" s="33"/>
      <c r="O17" s="34"/>
      <c r="P17" s="35" t="str">
        <f t="shared" si="4"/>
        <v/>
      </c>
      <c r="Q17" s="36" t="str">
        <f t="shared" si="5"/>
        <v/>
      </c>
      <c r="R17" s="37"/>
      <c r="S17" s="33"/>
      <c r="T17" s="34"/>
      <c r="U17" s="35" t="str">
        <f t="shared" si="6"/>
        <v/>
      </c>
      <c r="V17" s="36" t="str">
        <f t="shared" si="7"/>
        <v/>
      </c>
      <c r="W17" s="37"/>
      <c r="X17" s="33"/>
      <c r="Y17" s="34"/>
      <c r="Z17" s="35" t="str">
        <f t="shared" si="8"/>
        <v/>
      </c>
      <c r="AA17" s="36" t="str">
        <f t="shared" si="9"/>
        <v/>
      </c>
      <c r="AB17" s="37"/>
      <c r="AC17" s="33"/>
      <c r="AD17" s="34"/>
      <c r="AE17" s="35" t="str">
        <f t="shared" si="10"/>
        <v/>
      </c>
      <c r="AF17" s="36" t="str">
        <f t="shared" si="11"/>
        <v/>
      </c>
      <c r="AG17" s="37"/>
      <c r="AH17" s="33"/>
      <c r="AI17" s="34"/>
      <c r="AJ17" s="35" t="str">
        <f t="shared" si="12"/>
        <v/>
      </c>
      <c r="AK17" s="36" t="str">
        <f t="shared" si="13"/>
        <v/>
      </c>
      <c r="AL17" s="37"/>
      <c r="AM17" s="33"/>
      <c r="AN17" s="34"/>
      <c r="AO17" s="35" t="str">
        <f t="shared" si="14"/>
        <v/>
      </c>
      <c r="AP17" s="36" t="str">
        <f t="shared" si="15"/>
        <v/>
      </c>
      <c r="AQ17" s="37"/>
      <c r="AR17" s="33"/>
      <c r="AS17" s="34"/>
      <c r="AT17" s="35" t="str">
        <f t="shared" si="16"/>
        <v/>
      </c>
      <c r="AU17" s="36" t="str">
        <f t="shared" si="17"/>
        <v/>
      </c>
      <c r="AV17" s="37"/>
      <c r="AW17" s="33"/>
      <c r="AX17" s="34"/>
      <c r="AY17" s="35" t="str">
        <f t="shared" si="18"/>
        <v/>
      </c>
      <c r="AZ17" s="36" t="str">
        <f t="shared" si="19"/>
        <v/>
      </c>
      <c r="BA17" s="37"/>
      <c r="BB17" s="33"/>
      <c r="BC17" s="34"/>
      <c r="BD17" s="35" t="str">
        <f t="shared" si="20"/>
        <v/>
      </c>
      <c r="BE17" s="36" t="str">
        <f t="shared" si="21"/>
        <v/>
      </c>
      <c r="BF17" s="37"/>
      <c r="BG17" s="33"/>
      <c r="BH17" s="34"/>
      <c r="BI17" s="35" t="str">
        <f t="shared" si="22"/>
        <v/>
      </c>
      <c r="BJ17" s="36" t="str">
        <f t="shared" si="23"/>
        <v/>
      </c>
      <c r="BK17" s="37"/>
      <c r="BL17" s="33"/>
      <c r="BM17" s="34"/>
      <c r="BN17" s="35" t="str">
        <f t="shared" si="24"/>
        <v/>
      </c>
      <c r="BO17" s="36" t="str">
        <f t="shared" si="25"/>
        <v/>
      </c>
      <c r="BP17" s="37"/>
      <c r="BQ17" s="33"/>
      <c r="BR17" s="34"/>
      <c r="BS17" s="35" t="str">
        <f t="shared" si="26"/>
        <v/>
      </c>
      <c r="BT17" s="36" t="str">
        <f t="shared" si="27"/>
        <v/>
      </c>
      <c r="BU17" s="37"/>
      <c r="BV17" s="33"/>
      <c r="BW17" s="34"/>
      <c r="BX17" s="35" t="str">
        <f t="shared" si="28"/>
        <v/>
      </c>
      <c r="BY17" s="36" t="str">
        <f t="shared" si="29"/>
        <v/>
      </c>
      <c r="BZ17" s="37"/>
      <c r="CA17" s="33"/>
      <c r="CB17" s="34"/>
      <c r="CC17" s="35" t="str">
        <f t="shared" si="30"/>
        <v/>
      </c>
      <c r="CD17" s="36" t="str">
        <f t="shared" si="31"/>
        <v/>
      </c>
      <c r="CE17" s="37"/>
      <c r="CF17" s="33"/>
      <c r="CG17" s="34"/>
      <c r="CH17" s="35" t="str">
        <f t="shared" si="32"/>
        <v/>
      </c>
      <c r="CI17" s="36" t="str">
        <f t="shared" si="33"/>
        <v/>
      </c>
      <c r="CJ17" s="37"/>
      <c r="CK17" s="33"/>
      <c r="CL17" s="34"/>
      <c r="CM17" s="35" t="str">
        <f t="shared" si="34"/>
        <v/>
      </c>
      <c r="CN17" s="36" t="str">
        <f t="shared" si="35"/>
        <v/>
      </c>
      <c r="CO17" s="37"/>
      <c r="CP17" s="33"/>
      <c r="CQ17" s="34"/>
      <c r="CR17" s="35" t="str">
        <f t="shared" si="36"/>
        <v/>
      </c>
      <c r="CS17" s="36" t="str">
        <f t="shared" si="37"/>
        <v/>
      </c>
      <c r="CT17" s="37"/>
      <c r="CU17" s="33"/>
      <c r="CV17" s="34"/>
      <c r="CW17" s="35" t="str">
        <f t="shared" si="38"/>
        <v/>
      </c>
      <c r="CX17" s="36" t="str">
        <f t="shared" si="39"/>
        <v/>
      </c>
      <c r="CY17" s="37"/>
      <c r="CZ17" s="33"/>
      <c r="DA17" s="34"/>
      <c r="DB17" s="35" t="str">
        <f t="shared" si="40"/>
        <v/>
      </c>
      <c r="DC17" s="36" t="str">
        <f t="shared" si="41"/>
        <v/>
      </c>
      <c r="DD17" s="37"/>
      <c r="DE17" s="33"/>
      <c r="DF17" s="34"/>
      <c r="DG17" s="35" t="str">
        <f t="shared" si="42"/>
        <v/>
      </c>
      <c r="DH17" s="36" t="str">
        <f t="shared" si="43"/>
        <v/>
      </c>
      <c r="DI17" s="37"/>
      <c r="DJ17" s="33"/>
      <c r="DK17" s="34"/>
      <c r="DL17" s="35" t="str">
        <f t="shared" si="44"/>
        <v/>
      </c>
      <c r="DM17" s="36" t="str">
        <f t="shared" si="45"/>
        <v/>
      </c>
      <c r="DN17" s="37"/>
      <c r="DO17" s="33"/>
      <c r="DP17" s="34"/>
      <c r="DQ17" s="35" t="str">
        <f t="shared" si="46"/>
        <v/>
      </c>
      <c r="DR17" s="36" t="str">
        <f t="shared" si="47"/>
        <v/>
      </c>
      <c r="DS17" s="37"/>
      <c r="DT17" s="33"/>
      <c r="DU17" s="34"/>
      <c r="DV17" s="35" t="str">
        <f t="shared" si="48"/>
        <v/>
      </c>
      <c r="DW17" s="36" t="str">
        <f t="shared" si="49"/>
        <v/>
      </c>
      <c r="DX17" s="37"/>
      <c r="DY17" s="33"/>
      <c r="DZ17" s="34"/>
      <c r="EA17" s="35" t="str">
        <f t="shared" si="50"/>
        <v/>
      </c>
      <c r="EB17" s="36" t="str">
        <f t="shared" si="51"/>
        <v/>
      </c>
      <c r="EC17" s="37"/>
      <c r="ED17" s="33"/>
      <c r="EE17" s="34"/>
      <c r="EF17" s="35" t="str">
        <f t="shared" si="52"/>
        <v/>
      </c>
      <c r="EG17" s="36" t="str">
        <f t="shared" si="53"/>
        <v/>
      </c>
      <c r="EH17" s="37"/>
      <c r="EI17" s="33"/>
      <c r="EJ17" s="34"/>
      <c r="EK17" s="35" t="str">
        <f t="shared" si="54"/>
        <v/>
      </c>
      <c r="EL17" s="36" t="str">
        <f t="shared" si="55"/>
        <v/>
      </c>
      <c r="EM17" s="37"/>
      <c r="EN17" s="33"/>
      <c r="EO17" s="34"/>
      <c r="EP17" s="35" t="str">
        <f t="shared" si="56"/>
        <v/>
      </c>
      <c r="EQ17" s="36" t="str">
        <f t="shared" si="57"/>
        <v/>
      </c>
      <c r="ER17" s="37"/>
      <c r="ES17" s="33"/>
      <c r="ET17" s="34"/>
      <c r="EU17" s="35" t="str">
        <f t="shared" si="58"/>
        <v/>
      </c>
      <c r="EV17" s="36" t="str">
        <f t="shared" si="59"/>
        <v/>
      </c>
      <c r="EW17" s="37"/>
    </row>
    <row r="18" spans="1:153" ht="19.5" customHeight="1">
      <c r="A18" s="32">
        <f>IF(DAY(DATE(対象年度,5,15))&lt;&gt;15,"",15)</f>
        <v>15</v>
      </c>
      <c r="B18" s="32" t="str">
        <f>IF(DAY(DATE(対象年度,5,15))&lt;&gt;15,"",CHOOSE(WEEKDAY(DATE(対象年度,5,15),2),"月","火","水","木","金","土","日"))</f>
        <v>金</v>
      </c>
      <c r="C18" s="32" t="str">
        <f>IF(DAY(DATE(対象年度,5,15))&lt;&gt;15,"",IF(ISNUMBER(MATCH(DATE(対象年度,5,15),祝日リスト,0)),"祝",""))</f>
        <v/>
      </c>
      <c r="D18" s="33"/>
      <c r="E18" s="34"/>
      <c r="F18" s="35" t="str">
        <f t="shared" si="0"/>
        <v/>
      </c>
      <c r="G18" s="36" t="str">
        <f t="shared" si="1"/>
        <v/>
      </c>
      <c r="H18" s="37"/>
      <c r="I18" s="33"/>
      <c r="J18" s="34"/>
      <c r="K18" s="35" t="str">
        <f t="shared" si="2"/>
        <v/>
      </c>
      <c r="L18" s="36" t="str">
        <f t="shared" si="3"/>
        <v/>
      </c>
      <c r="M18" s="37"/>
      <c r="N18" s="33"/>
      <c r="O18" s="34"/>
      <c r="P18" s="35" t="str">
        <f t="shared" si="4"/>
        <v/>
      </c>
      <c r="Q18" s="36" t="str">
        <f t="shared" si="5"/>
        <v/>
      </c>
      <c r="R18" s="37"/>
      <c r="S18" s="33"/>
      <c r="T18" s="34"/>
      <c r="U18" s="35" t="str">
        <f t="shared" si="6"/>
        <v/>
      </c>
      <c r="V18" s="36" t="str">
        <f t="shared" si="7"/>
        <v/>
      </c>
      <c r="W18" s="37"/>
      <c r="X18" s="33"/>
      <c r="Y18" s="34"/>
      <c r="Z18" s="35" t="str">
        <f t="shared" si="8"/>
        <v/>
      </c>
      <c r="AA18" s="36" t="str">
        <f t="shared" si="9"/>
        <v/>
      </c>
      <c r="AB18" s="37"/>
      <c r="AC18" s="33"/>
      <c r="AD18" s="34"/>
      <c r="AE18" s="35" t="str">
        <f t="shared" si="10"/>
        <v/>
      </c>
      <c r="AF18" s="36" t="str">
        <f t="shared" si="11"/>
        <v/>
      </c>
      <c r="AG18" s="37"/>
      <c r="AH18" s="33"/>
      <c r="AI18" s="34"/>
      <c r="AJ18" s="35" t="str">
        <f t="shared" si="12"/>
        <v/>
      </c>
      <c r="AK18" s="36" t="str">
        <f t="shared" si="13"/>
        <v/>
      </c>
      <c r="AL18" s="37"/>
      <c r="AM18" s="33"/>
      <c r="AN18" s="34"/>
      <c r="AO18" s="35" t="str">
        <f t="shared" si="14"/>
        <v/>
      </c>
      <c r="AP18" s="36" t="str">
        <f t="shared" si="15"/>
        <v/>
      </c>
      <c r="AQ18" s="37"/>
      <c r="AR18" s="33"/>
      <c r="AS18" s="34"/>
      <c r="AT18" s="35" t="str">
        <f t="shared" si="16"/>
        <v/>
      </c>
      <c r="AU18" s="36" t="str">
        <f t="shared" si="17"/>
        <v/>
      </c>
      <c r="AV18" s="37"/>
      <c r="AW18" s="33"/>
      <c r="AX18" s="34"/>
      <c r="AY18" s="35" t="str">
        <f t="shared" si="18"/>
        <v/>
      </c>
      <c r="AZ18" s="36" t="str">
        <f t="shared" si="19"/>
        <v/>
      </c>
      <c r="BA18" s="37"/>
      <c r="BB18" s="33"/>
      <c r="BC18" s="34"/>
      <c r="BD18" s="35" t="str">
        <f t="shared" si="20"/>
        <v/>
      </c>
      <c r="BE18" s="36" t="str">
        <f t="shared" si="21"/>
        <v/>
      </c>
      <c r="BF18" s="37"/>
      <c r="BG18" s="33"/>
      <c r="BH18" s="34"/>
      <c r="BI18" s="35" t="str">
        <f t="shared" si="22"/>
        <v/>
      </c>
      <c r="BJ18" s="36" t="str">
        <f t="shared" si="23"/>
        <v/>
      </c>
      <c r="BK18" s="37"/>
      <c r="BL18" s="33"/>
      <c r="BM18" s="34"/>
      <c r="BN18" s="35" t="str">
        <f t="shared" si="24"/>
        <v/>
      </c>
      <c r="BO18" s="36" t="str">
        <f t="shared" si="25"/>
        <v/>
      </c>
      <c r="BP18" s="37"/>
      <c r="BQ18" s="33"/>
      <c r="BR18" s="34"/>
      <c r="BS18" s="35" t="str">
        <f t="shared" si="26"/>
        <v/>
      </c>
      <c r="BT18" s="36" t="str">
        <f t="shared" si="27"/>
        <v/>
      </c>
      <c r="BU18" s="37"/>
      <c r="BV18" s="33"/>
      <c r="BW18" s="34"/>
      <c r="BX18" s="35" t="str">
        <f t="shared" si="28"/>
        <v/>
      </c>
      <c r="BY18" s="36" t="str">
        <f t="shared" si="29"/>
        <v/>
      </c>
      <c r="BZ18" s="37"/>
      <c r="CA18" s="33"/>
      <c r="CB18" s="34"/>
      <c r="CC18" s="35" t="str">
        <f t="shared" si="30"/>
        <v/>
      </c>
      <c r="CD18" s="36" t="str">
        <f t="shared" si="31"/>
        <v/>
      </c>
      <c r="CE18" s="37"/>
      <c r="CF18" s="33"/>
      <c r="CG18" s="34"/>
      <c r="CH18" s="35" t="str">
        <f t="shared" si="32"/>
        <v/>
      </c>
      <c r="CI18" s="36" t="str">
        <f t="shared" si="33"/>
        <v/>
      </c>
      <c r="CJ18" s="37"/>
      <c r="CK18" s="33"/>
      <c r="CL18" s="34"/>
      <c r="CM18" s="35" t="str">
        <f t="shared" si="34"/>
        <v/>
      </c>
      <c r="CN18" s="36" t="str">
        <f t="shared" si="35"/>
        <v/>
      </c>
      <c r="CO18" s="37"/>
      <c r="CP18" s="33"/>
      <c r="CQ18" s="34"/>
      <c r="CR18" s="35" t="str">
        <f t="shared" si="36"/>
        <v/>
      </c>
      <c r="CS18" s="36" t="str">
        <f t="shared" si="37"/>
        <v/>
      </c>
      <c r="CT18" s="37"/>
      <c r="CU18" s="33"/>
      <c r="CV18" s="34"/>
      <c r="CW18" s="35" t="str">
        <f t="shared" si="38"/>
        <v/>
      </c>
      <c r="CX18" s="36" t="str">
        <f t="shared" si="39"/>
        <v/>
      </c>
      <c r="CY18" s="37"/>
      <c r="CZ18" s="33"/>
      <c r="DA18" s="34"/>
      <c r="DB18" s="35" t="str">
        <f t="shared" si="40"/>
        <v/>
      </c>
      <c r="DC18" s="36" t="str">
        <f t="shared" si="41"/>
        <v/>
      </c>
      <c r="DD18" s="37"/>
      <c r="DE18" s="33"/>
      <c r="DF18" s="34"/>
      <c r="DG18" s="35" t="str">
        <f t="shared" si="42"/>
        <v/>
      </c>
      <c r="DH18" s="36" t="str">
        <f t="shared" si="43"/>
        <v/>
      </c>
      <c r="DI18" s="37"/>
      <c r="DJ18" s="33"/>
      <c r="DK18" s="34"/>
      <c r="DL18" s="35" t="str">
        <f t="shared" si="44"/>
        <v/>
      </c>
      <c r="DM18" s="36" t="str">
        <f t="shared" si="45"/>
        <v/>
      </c>
      <c r="DN18" s="37"/>
      <c r="DO18" s="33"/>
      <c r="DP18" s="34"/>
      <c r="DQ18" s="35" t="str">
        <f t="shared" si="46"/>
        <v/>
      </c>
      <c r="DR18" s="36" t="str">
        <f t="shared" si="47"/>
        <v/>
      </c>
      <c r="DS18" s="37"/>
      <c r="DT18" s="33"/>
      <c r="DU18" s="34"/>
      <c r="DV18" s="35" t="str">
        <f t="shared" si="48"/>
        <v/>
      </c>
      <c r="DW18" s="36" t="str">
        <f t="shared" si="49"/>
        <v/>
      </c>
      <c r="DX18" s="37"/>
      <c r="DY18" s="33"/>
      <c r="DZ18" s="34"/>
      <c r="EA18" s="35" t="str">
        <f t="shared" si="50"/>
        <v/>
      </c>
      <c r="EB18" s="36" t="str">
        <f t="shared" si="51"/>
        <v/>
      </c>
      <c r="EC18" s="37"/>
      <c r="ED18" s="33"/>
      <c r="EE18" s="34"/>
      <c r="EF18" s="35" t="str">
        <f t="shared" si="52"/>
        <v/>
      </c>
      <c r="EG18" s="36" t="str">
        <f t="shared" si="53"/>
        <v/>
      </c>
      <c r="EH18" s="37"/>
      <c r="EI18" s="33"/>
      <c r="EJ18" s="34"/>
      <c r="EK18" s="35" t="str">
        <f t="shared" si="54"/>
        <v/>
      </c>
      <c r="EL18" s="36" t="str">
        <f t="shared" si="55"/>
        <v/>
      </c>
      <c r="EM18" s="37"/>
      <c r="EN18" s="33"/>
      <c r="EO18" s="34"/>
      <c r="EP18" s="35" t="str">
        <f t="shared" si="56"/>
        <v/>
      </c>
      <c r="EQ18" s="36" t="str">
        <f t="shared" si="57"/>
        <v/>
      </c>
      <c r="ER18" s="37"/>
      <c r="ES18" s="33"/>
      <c r="ET18" s="34"/>
      <c r="EU18" s="35" t="str">
        <f t="shared" si="58"/>
        <v/>
      </c>
      <c r="EV18" s="36" t="str">
        <f t="shared" si="59"/>
        <v/>
      </c>
      <c r="EW18" s="37"/>
    </row>
    <row r="19" spans="1:153" ht="19.5" customHeight="1">
      <c r="A19" s="32">
        <f>IF(DAY(DATE(対象年度,5,16))&lt;&gt;16,"",16)</f>
        <v>16</v>
      </c>
      <c r="B19" s="32" t="str">
        <f>IF(DAY(DATE(対象年度,5,16))&lt;&gt;16,"",CHOOSE(WEEKDAY(DATE(対象年度,5,16),2),"月","火","水","木","金","土","日"))</f>
        <v>土</v>
      </c>
      <c r="C19" s="32" t="str">
        <f>IF(DAY(DATE(対象年度,5,16))&lt;&gt;16,"",IF(ISNUMBER(MATCH(DATE(対象年度,5,16),祝日リスト,0)),"祝",""))</f>
        <v/>
      </c>
      <c r="D19" s="33"/>
      <c r="E19" s="34"/>
      <c r="F19" s="35" t="str">
        <f t="shared" si="0"/>
        <v/>
      </c>
      <c r="G19" s="36" t="str">
        <f t="shared" si="1"/>
        <v/>
      </c>
      <c r="H19" s="37"/>
      <c r="I19" s="33"/>
      <c r="J19" s="34"/>
      <c r="K19" s="35" t="str">
        <f t="shared" si="2"/>
        <v/>
      </c>
      <c r="L19" s="36" t="str">
        <f t="shared" si="3"/>
        <v/>
      </c>
      <c r="M19" s="37"/>
      <c r="N19" s="33"/>
      <c r="O19" s="34"/>
      <c r="P19" s="35" t="str">
        <f t="shared" si="4"/>
        <v/>
      </c>
      <c r="Q19" s="36" t="str">
        <f t="shared" si="5"/>
        <v/>
      </c>
      <c r="R19" s="37"/>
      <c r="S19" s="33"/>
      <c r="T19" s="34"/>
      <c r="U19" s="35" t="str">
        <f t="shared" si="6"/>
        <v/>
      </c>
      <c r="V19" s="36" t="str">
        <f t="shared" si="7"/>
        <v/>
      </c>
      <c r="W19" s="37"/>
      <c r="X19" s="33"/>
      <c r="Y19" s="34"/>
      <c r="Z19" s="35" t="str">
        <f t="shared" si="8"/>
        <v/>
      </c>
      <c r="AA19" s="36" t="str">
        <f t="shared" si="9"/>
        <v/>
      </c>
      <c r="AB19" s="37"/>
      <c r="AC19" s="33"/>
      <c r="AD19" s="34"/>
      <c r="AE19" s="35" t="str">
        <f t="shared" si="10"/>
        <v/>
      </c>
      <c r="AF19" s="36" t="str">
        <f t="shared" si="11"/>
        <v/>
      </c>
      <c r="AG19" s="37"/>
      <c r="AH19" s="33"/>
      <c r="AI19" s="34"/>
      <c r="AJ19" s="35" t="str">
        <f t="shared" si="12"/>
        <v/>
      </c>
      <c r="AK19" s="36" t="str">
        <f t="shared" si="13"/>
        <v/>
      </c>
      <c r="AL19" s="37"/>
      <c r="AM19" s="33"/>
      <c r="AN19" s="34"/>
      <c r="AO19" s="35" t="str">
        <f t="shared" si="14"/>
        <v/>
      </c>
      <c r="AP19" s="36" t="str">
        <f t="shared" si="15"/>
        <v/>
      </c>
      <c r="AQ19" s="37"/>
      <c r="AR19" s="33"/>
      <c r="AS19" s="34"/>
      <c r="AT19" s="35" t="str">
        <f t="shared" si="16"/>
        <v/>
      </c>
      <c r="AU19" s="36" t="str">
        <f t="shared" si="17"/>
        <v/>
      </c>
      <c r="AV19" s="37"/>
      <c r="AW19" s="33"/>
      <c r="AX19" s="34"/>
      <c r="AY19" s="35" t="str">
        <f t="shared" si="18"/>
        <v/>
      </c>
      <c r="AZ19" s="36" t="str">
        <f t="shared" si="19"/>
        <v/>
      </c>
      <c r="BA19" s="37"/>
      <c r="BB19" s="33"/>
      <c r="BC19" s="34"/>
      <c r="BD19" s="35" t="str">
        <f t="shared" si="20"/>
        <v/>
      </c>
      <c r="BE19" s="36" t="str">
        <f t="shared" si="21"/>
        <v/>
      </c>
      <c r="BF19" s="37"/>
      <c r="BG19" s="33"/>
      <c r="BH19" s="34"/>
      <c r="BI19" s="35" t="str">
        <f t="shared" si="22"/>
        <v/>
      </c>
      <c r="BJ19" s="36" t="str">
        <f t="shared" si="23"/>
        <v/>
      </c>
      <c r="BK19" s="37"/>
      <c r="BL19" s="33"/>
      <c r="BM19" s="34"/>
      <c r="BN19" s="35" t="str">
        <f t="shared" si="24"/>
        <v/>
      </c>
      <c r="BO19" s="36" t="str">
        <f t="shared" si="25"/>
        <v/>
      </c>
      <c r="BP19" s="37"/>
      <c r="BQ19" s="33"/>
      <c r="BR19" s="34"/>
      <c r="BS19" s="35" t="str">
        <f t="shared" si="26"/>
        <v/>
      </c>
      <c r="BT19" s="36" t="str">
        <f t="shared" si="27"/>
        <v/>
      </c>
      <c r="BU19" s="37"/>
      <c r="BV19" s="33"/>
      <c r="BW19" s="34"/>
      <c r="BX19" s="35" t="str">
        <f t="shared" si="28"/>
        <v/>
      </c>
      <c r="BY19" s="36" t="str">
        <f t="shared" si="29"/>
        <v/>
      </c>
      <c r="BZ19" s="37"/>
      <c r="CA19" s="33"/>
      <c r="CB19" s="34"/>
      <c r="CC19" s="35" t="str">
        <f t="shared" si="30"/>
        <v/>
      </c>
      <c r="CD19" s="36" t="str">
        <f t="shared" si="31"/>
        <v/>
      </c>
      <c r="CE19" s="37"/>
      <c r="CF19" s="33"/>
      <c r="CG19" s="34"/>
      <c r="CH19" s="35" t="str">
        <f t="shared" si="32"/>
        <v/>
      </c>
      <c r="CI19" s="36" t="str">
        <f t="shared" si="33"/>
        <v/>
      </c>
      <c r="CJ19" s="37"/>
      <c r="CK19" s="33"/>
      <c r="CL19" s="34"/>
      <c r="CM19" s="35" t="str">
        <f t="shared" si="34"/>
        <v/>
      </c>
      <c r="CN19" s="36" t="str">
        <f t="shared" si="35"/>
        <v/>
      </c>
      <c r="CO19" s="37"/>
      <c r="CP19" s="33"/>
      <c r="CQ19" s="34"/>
      <c r="CR19" s="35" t="str">
        <f t="shared" si="36"/>
        <v/>
      </c>
      <c r="CS19" s="36" t="str">
        <f t="shared" si="37"/>
        <v/>
      </c>
      <c r="CT19" s="37"/>
      <c r="CU19" s="33"/>
      <c r="CV19" s="34"/>
      <c r="CW19" s="35" t="str">
        <f t="shared" si="38"/>
        <v/>
      </c>
      <c r="CX19" s="36" t="str">
        <f t="shared" si="39"/>
        <v/>
      </c>
      <c r="CY19" s="37"/>
      <c r="CZ19" s="33"/>
      <c r="DA19" s="34"/>
      <c r="DB19" s="35" t="str">
        <f t="shared" si="40"/>
        <v/>
      </c>
      <c r="DC19" s="36" t="str">
        <f t="shared" si="41"/>
        <v/>
      </c>
      <c r="DD19" s="37"/>
      <c r="DE19" s="33"/>
      <c r="DF19" s="34"/>
      <c r="DG19" s="35" t="str">
        <f t="shared" si="42"/>
        <v/>
      </c>
      <c r="DH19" s="36" t="str">
        <f t="shared" si="43"/>
        <v/>
      </c>
      <c r="DI19" s="37"/>
      <c r="DJ19" s="33"/>
      <c r="DK19" s="34"/>
      <c r="DL19" s="35" t="str">
        <f t="shared" si="44"/>
        <v/>
      </c>
      <c r="DM19" s="36" t="str">
        <f t="shared" si="45"/>
        <v/>
      </c>
      <c r="DN19" s="37"/>
      <c r="DO19" s="33"/>
      <c r="DP19" s="34"/>
      <c r="DQ19" s="35" t="str">
        <f t="shared" si="46"/>
        <v/>
      </c>
      <c r="DR19" s="36" t="str">
        <f t="shared" si="47"/>
        <v/>
      </c>
      <c r="DS19" s="37"/>
      <c r="DT19" s="33"/>
      <c r="DU19" s="34"/>
      <c r="DV19" s="35" t="str">
        <f t="shared" si="48"/>
        <v/>
      </c>
      <c r="DW19" s="36" t="str">
        <f t="shared" si="49"/>
        <v/>
      </c>
      <c r="DX19" s="37"/>
      <c r="DY19" s="33"/>
      <c r="DZ19" s="34"/>
      <c r="EA19" s="35" t="str">
        <f t="shared" si="50"/>
        <v/>
      </c>
      <c r="EB19" s="36" t="str">
        <f t="shared" si="51"/>
        <v/>
      </c>
      <c r="EC19" s="37"/>
      <c r="ED19" s="33"/>
      <c r="EE19" s="34"/>
      <c r="EF19" s="35" t="str">
        <f t="shared" si="52"/>
        <v/>
      </c>
      <c r="EG19" s="36" t="str">
        <f t="shared" si="53"/>
        <v/>
      </c>
      <c r="EH19" s="37"/>
      <c r="EI19" s="33"/>
      <c r="EJ19" s="34"/>
      <c r="EK19" s="35" t="str">
        <f t="shared" si="54"/>
        <v/>
      </c>
      <c r="EL19" s="36" t="str">
        <f t="shared" si="55"/>
        <v/>
      </c>
      <c r="EM19" s="37"/>
      <c r="EN19" s="33"/>
      <c r="EO19" s="34"/>
      <c r="EP19" s="35" t="str">
        <f t="shared" si="56"/>
        <v/>
      </c>
      <c r="EQ19" s="36" t="str">
        <f t="shared" si="57"/>
        <v/>
      </c>
      <c r="ER19" s="37"/>
      <c r="ES19" s="33"/>
      <c r="ET19" s="34"/>
      <c r="EU19" s="35" t="str">
        <f t="shared" si="58"/>
        <v/>
      </c>
      <c r="EV19" s="36" t="str">
        <f t="shared" si="59"/>
        <v/>
      </c>
      <c r="EW19" s="37"/>
    </row>
    <row r="20" spans="1:153" ht="19.5" customHeight="1">
      <c r="A20" s="32">
        <f>IF(DAY(DATE(対象年度,5,17))&lt;&gt;17,"",17)</f>
        <v>17</v>
      </c>
      <c r="B20" s="32" t="str">
        <f>IF(DAY(DATE(対象年度,5,17))&lt;&gt;17,"",CHOOSE(WEEKDAY(DATE(対象年度,5,17),2),"月","火","水","木","金","土","日"))</f>
        <v>日</v>
      </c>
      <c r="C20" s="32" t="str">
        <f>IF(DAY(DATE(対象年度,5,17))&lt;&gt;17,"",IF(ISNUMBER(MATCH(DATE(対象年度,5,17),祝日リスト,0)),"祝",""))</f>
        <v/>
      </c>
      <c r="D20" s="33"/>
      <c r="E20" s="34"/>
      <c r="F20" s="35" t="str">
        <f t="shared" si="0"/>
        <v/>
      </c>
      <c r="G20" s="36" t="str">
        <f t="shared" si="1"/>
        <v/>
      </c>
      <c r="H20" s="37"/>
      <c r="I20" s="33"/>
      <c r="J20" s="34"/>
      <c r="K20" s="35" t="str">
        <f t="shared" si="2"/>
        <v/>
      </c>
      <c r="L20" s="36" t="str">
        <f t="shared" si="3"/>
        <v/>
      </c>
      <c r="M20" s="37"/>
      <c r="N20" s="33"/>
      <c r="O20" s="34"/>
      <c r="P20" s="35" t="str">
        <f t="shared" si="4"/>
        <v/>
      </c>
      <c r="Q20" s="36" t="str">
        <f t="shared" si="5"/>
        <v/>
      </c>
      <c r="R20" s="37"/>
      <c r="S20" s="33"/>
      <c r="T20" s="34"/>
      <c r="U20" s="35" t="str">
        <f t="shared" si="6"/>
        <v/>
      </c>
      <c r="V20" s="36" t="str">
        <f t="shared" si="7"/>
        <v/>
      </c>
      <c r="W20" s="37"/>
      <c r="X20" s="33"/>
      <c r="Y20" s="34"/>
      <c r="Z20" s="35" t="str">
        <f t="shared" si="8"/>
        <v/>
      </c>
      <c r="AA20" s="36" t="str">
        <f t="shared" si="9"/>
        <v/>
      </c>
      <c r="AB20" s="37"/>
      <c r="AC20" s="33"/>
      <c r="AD20" s="34"/>
      <c r="AE20" s="35" t="str">
        <f t="shared" si="10"/>
        <v/>
      </c>
      <c r="AF20" s="36" t="str">
        <f t="shared" si="11"/>
        <v/>
      </c>
      <c r="AG20" s="37"/>
      <c r="AH20" s="33"/>
      <c r="AI20" s="34"/>
      <c r="AJ20" s="35" t="str">
        <f t="shared" si="12"/>
        <v/>
      </c>
      <c r="AK20" s="36" t="str">
        <f t="shared" si="13"/>
        <v/>
      </c>
      <c r="AL20" s="37"/>
      <c r="AM20" s="33"/>
      <c r="AN20" s="34"/>
      <c r="AO20" s="35" t="str">
        <f t="shared" si="14"/>
        <v/>
      </c>
      <c r="AP20" s="36" t="str">
        <f t="shared" si="15"/>
        <v/>
      </c>
      <c r="AQ20" s="37"/>
      <c r="AR20" s="33"/>
      <c r="AS20" s="34"/>
      <c r="AT20" s="35" t="str">
        <f t="shared" si="16"/>
        <v/>
      </c>
      <c r="AU20" s="36" t="str">
        <f t="shared" si="17"/>
        <v/>
      </c>
      <c r="AV20" s="37"/>
      <c r="AW20" s="33"/>
      <c r="AX20" s="34"/>
      <c r="AY20" s="35" t="str">
        <f t="shared" si="18"/>
        <v/>
      </c>
      <c r="AZ20" s="36" t="str">
        <f t="shared" si="19"/>
        <v/>
      </c>
      <c r="BA20" s="37"/>
      <c r="BB20" s="33"/>
      <c r="BC20" s="34"/>
      <c r="BD20" s="35" t="str">
        <f t="shared" si="20"/>
        <v/>
      </c>
      <c r="BE20" s="36" t="str">
        <f t="shared" si="21"/>
        <v/>
      </c>
      <c r="BF20" s="37"/>
      <c r="BG20" s="33"/>
      <c r="BH20" s="34"/>
      <c r="BI20" s="35" t="str">
        <f t="shared" si="22"/>
        <v/>
      </c>
      <c r="BJ20" s="36" t="str">
        <f t="shared" si="23"/>
        <v/>
      </c>
      <c r="BK20" s="37"/>
      <c r="BL20" s="33"/>
      <c r="BM20" s="34"/>
      <c r="BN20" s="35" t="str">
        <f t="shared" si="24"/>
        <v/>
      </c>
      <c r="BO20" s="36" t="str">
        <f t="shared" si="25"/>
        <v/>
      </c>
      <c r="BP20" s="37"/>
      <c r="BQ20" s="33"/>
      <c r="BR20" s="34"/>
      <c r="BS20" s="35" t="str">
        <f t="shared" si="26"/>
        <v/>
      </c>
      <c r="BT20" s="36" t="str">
        <f t="shared" si="27"/>
        <v/>
      </c>
      <c r="BU20" s="37"/>
      <c r="BV20" s="33"/>
      <c r="BW20" s="34"/>
      <c r="BX20" s="35" t="str">
        <f t="shared" si="28"/>
        <v/>
      </c>
      <c r="BY20" s="36" t="str">
        <f t="shared" si="29"/>
        <v/>
      </c>
      <c r="BZ20" s="37"/>
      <c r="CA20" s="33"/>
      <c r="CB20" s="34"/>
      <c r="CC20" s="35" t="str">
        <f t="shared" si="30"/>
        <v/>
      </c>
      <c r="CD20" s="36" t="str">
        <f t="shared" si="31"/>
        <v/>
      </c>
      <c r="CE20" s="37"/>
      <c r="CF20" s="33"/>
      <c r="CG20" s="34"/>
      <c r="CH20" s="35" t="str">
        <f t="shared" si="32"/>
        <v/>
      </c>
      <c r="CI20" s="36" t="str">
        <f t="shared" si="33"/>
        <v/>
      </c>
      <c r="CJ20" s="37"/>
      <c r="CK20" s="33"/>
      <c r="CL20" s="34"/>
      <c r="CM20" s="35" t="str">
        <f t="shared" si="34"/>
        <v/>
      </c>
      <c r="CN20" s="36" t="str">
        <f t="shared" si="35"/>
        <v/>
      </c>
      <c r="CO20" s="37"/>
      <c r="CP20" s="33"/>
      <c r="CQ20" s="34"/>
      <c r="CR20" s="35" t="str">
        <f t="shared" si="36"/>
        <v/>
      </c>
      <c r="CS20" s="36" t="str">
        <f t="shared" si="37"/>
        <v/>
      </c>
      <c r="CT20" s="37"/>
      <c r="CU20" s="33"/>
      <c r="CV20" s="34"/>
      <c r="CW20" s="35" t="str">
        <f t="shared" si="38"/>
        <v/>
      </c>
      <c r="CX20" s="36" t="str">
        <f t="shared" si="39"/>
        <v/>
      </c>
      <c r="CY20" s="37"/>
      <c r="CZ20" s="33"/>
      <c r="DA20" s="34"/>
      <c r="DB20" s="35" t="str">
        <f t="shared" si="40"/>
        <v/>
      </c>
      <c r="DC20" s="36" t="str">
        <f t="shared" si="41"/>
        <v/>
      </c>
      <c r="DD20" s="37"/>
      <c r="DE20" s="33"/>
      <c r="DF20" s="34"/>
      <c r="DG20" s="35" t="str">
        <f t="shared" si="42"/>
        <v/>
      </c>
      <c r="DH20" s="36" t="str">
        <f t="shared" si="43"/>
        <v/>
      </c>
      <c r="DI20" s="37"/>
      <c r="DJ20" s="33"/>
      <c r="DK20" s="34"/>
      <c r="DL20" s="35" t="str">
        <f t="shared" si="44"/>
        <v/>
      </c>
      <c r="DM20" s="36" t="str">
        <f t="shared" si="45"/>
        <v/>
      </c>
      <c r="DN20" s="37"/>
      <c r="DO20" s="33"/>
      <c r="DP20" s="34"/>
      <c r="DQ20" s="35" t="str">
        <f t="shared" si="46"/>
        <v/>
      </c>
      <c r="DR20" s="36" t="str">
        <f t="shared" si="47"/>
        <v/>
      </c>
      <c r="DS20" s="37"/>
      <c r="DT20" s="33"/>
      <c r="DU20" s="34"/>
      <c r="DV20" s="35" t="str">
        <f t="shared" si="48"/>
        <v/>
      </c>
      <c r="DW20" s="36" t="str">
        <f t="shared" si="49"/>
        <v/>
      </c>
      <c r="DX20" s="37"/>
      <c r="DY20" s="33"/>
      <c r="DZ20" s="34"/>
      <c r="EA20" s="35" t="str">
        <f t="shared" si="50"/>
        <v/>
      </c>
      <c r="EB20" s="36" t="str">
        <f t="shared" si="51"/>
        <v/>
      </c>
      <c r="EC20" s="37"/>
      <c r="ED20" s="33"/>
      <c r="EE20" s="34"/>
      <c r="EF20" s="35" t="str">
        <f t="shared" si="52"/>
        <v/>
      </c>
      <c r="EG20" s="36" t="str">
        <f t="shared" si="53"/>
        <v/>
      </c>
      <c r="EH20" s="37"/>
      <c r="EI20" s="33"/>
      <c r="EJ20" s="34"/>
      <c r="EK20" s="35" t="str">
        <f t="shared" si="54"/>
        <v/>
      </c>
      <c r="EL20" s="36" t="str">
        <f t="shared" si="55"/>
        <v/>
      </c>
      <c r="EM20" s="37"/>
      <c r="EN20" s="33"/>
      <c r="EO20" s="34"/>
      <c r="EP20" s="35" t="str">
        <f t="shared" si="56"/>
        <v/>
      </c>
      <c r="EQ20" s="36" t="str">
        <f t="shared" si="57"/>
        <v/>
      </c>
      <c r="ER20" s="37"/>
      <c r="ES20" s="33"/>
      <c r="ET20" s="34"/>
      <c r="EU20" s="35" t="str">
        <f t="shared" si="58"/>
        <v/>
      </c>
      <c r="EV20" s="36" t="str">
        <f t="shared" si="59"/>
        <v/>
      </c>
      <c r="EW20" s="37"/>
    </row>
    <row r="21" spans="1:153" ht="19.5" customHeight="1">
      <c r="A21" s="32">
        <f>IF(DAY(DATE(対象年度,5,18))&lt;&gt;18,"",18)</f>
        <v>18</v>
      </c>
      <c r="B21" s="32" t="str">
        <f>IF(DAY(DATE(対象年度,5,18))&lt;&gt;18,"",CHOOSE(WEEKDAY(DATE(対象年度,5,18),2),"月","火","水","木","金","土","日"))</f>
        <v>月</v>
      </c>
      <c r="C21" s="32" t="str">
        <f>IF(DAY(DATE(対象年度,5,18))&lt;&gt;18,"",IF(ISNUMBER(MATCH(DATE(対象年度,5,18),祝日リスト,0)),"祝",""))</f>
        <v/>
      </c>
      <c r="D21" s="33"/>
      <c r="E21" s="34"/>
      <c r="F21" s="35" t="str">
        <f t="shared" si="0"/>
        <v/>
      </c>
      <c r="G21" s="36" t="str">
        <f t="shared" si="1"/>
        <v/>
      </c>
      <c r="H21" s="37"/>
      <c r="I21" s="33"/>
      <c r="J21" s="34"/>
      <c r="K21" s="35" t="str">
        <f t="shared" si="2"/>
        <v/>
      </c>
      <c r="L21" s="36" t="str">
        <f t="shared" si="3"/>
        <v/>
      </c>
      <c r="M21" s="37"/>
      <c r="N21" s="33"/>
      <c r="O21" s="34"/>
      <c r="P21" s="35" t="str">
        <f t="shared" si="4"/>
        <v/>
      </c>
      <c r="Q21" s="36" t="str">
        <f t="shared" si="5"/>
        <v/>
      </c>
      <c r="R21" s="37"/>
      <c r="S21" s="33"/>
      <c r="T21" s="34"/>
      <c r="U21" s="35" t="str">
        <f t="shared" si="6"/>
        <v/>
      </c>
      <c r="V21" s="36" t="str">
        <f t="shared" si="7"/>
        <v/>
      </c>
      <c r="W21" s="37"/>
      <c r="X21" s="33"/>
      <c r="Y21" s="34"/>
      <c r="Z21" s="35" t="str">
        <f t="shared" si="8"/>
        <v/>
      </c>
      <c r="AA21" s="36" t="str">
        <f t="shared" si="9"/>
        <v/>
      </c>
      <c r="AB21" s="37"/>
      <c r="AC21" s="33"/>
      <c r="AD21" s="34"/>
      <c r="AE21" s="35" t="str">
        <f t="shared" si="10"/>
        <v/>
      </c>
      <c r="AF21" s="36" t="str">
        <f t="shared" si="11"/>
        <v/>
      </c>
      <c r="AG21" s="37"/>
      <c r="AH21" s="33"/>
      <c r="AI21" s="34"/>
      <c r="AJ21" s="35" t="str">
        <f t="shared" si="12"/>
        <v/>
      </c>
      <c r="AK21" s="36" t="str">
        <f t="shared" si="13"/>
        <v/>
      </c>
      <c r="AL21" s="37"/>
      <c r="AM21" s="33"/>
      <c r="AN21" s="34"/>
      <c r="AO21" s="35" t="str">
        <f t="shared" si="14"/>
        <v/>
      </c>
      <c r="AP21" s="36" t="str">
        <f t="shared" si="15"/>
        <v/>
      </c>
      <c r="AQ21" s="37"/>
      <c r="AR21" s="33"/>
      <c r="AS21" s="34"/>
      <c r="AT21" s="35" t="str">
        <f t="shared" si="16"/>
        <v/>
      </c>
      <c r="AU21" s="36" t="str">
        <f t="shared" si="17"/>
        <v/>
      </c>
      <c r="AV21" s="37"/>
      <c r="AW21" s="33"/>
      <c r="AX21" s="34"/>
      <c r="AY21" s="35" t="str">
        <f t="shared" si="18"/>
        <v/>
      </c>
      <c r="AZ21" s="36" t="str">
        <f t="shared" si="19"/>
        <v/>
      </c>
      <c r="BA21" s="37"/>
      <c r="BB21" s="33"/>
      <c r="BC21" s="34"/>
      <c r="BD21" s="35" t="str">
        <f t="shared" si="20"/>
        <v/>
      </c>
      <c r="BE21" s="36" t="str">
        <f t="shared" si="21"/>
        <v/>
      </c>
      <c r="BF21" s="37"/>
      <c r="BG21" s="33"/>
      <c r="BH21" s="34"/>
      <c r="BI21" s="35" t="str">
        <f t="shared" si="22"/>
        <v/>
      </c>
      <c r="BJ21" s="36" t="str">
        <f t="shared" si="23"/>
        <v/>
      </c>
      <c r="BK21" s="37"/>
      <c r="BL21" s="33"/>
      <c r="BM21" s="34"/>
      <c r="BN21" s="35" t="str">
        <f t="shared" si="24"/>
        <v/>
      </c>
      <c r="BO21" s="36" t="str">
        <f t="shared" si="25"/>
        <v/>
      </c>
      <c r="BP21" s="37"/>
      <c r="BQ21" s="33"/>
      <c r="BR21" s="34"/>
      <c r="BS21" s="35" t="str">
        <f t="shared" si="26"/>
        <v/>
      </c>
      <c r="BT21" s="36" t="str">
        <f t="shared" si="27"/>
        <v/>
      </c>
      <c r="BU21" s="37"/>
      <c r="BV21" s="33"/>
      <c r="BW21" s="34"/>
      <c r="BX21" s="35" t="str">
        <f t="shared" si="28"/>
        <v/>
      </c>
      <c r="BY21" s="36" t="str">
        <f t="shared" si="29"/>
        <v/>
      </c>
      <c r="BZ21" s="37"/>
      <c r="CA21" s="33"/>
      <c r="CB21" s="34"/>
      <c r="CC21" s="35" t="str">
        <f t="shared" si="30"/>
        <v/>
      </c>
      <c r="CD21" s="36" t="str">
        <f t="shared" si="31"/>
        <v/>
      </c>
      <c r="CE21" s="37"/>
      <c r="CF21" s="33"/>
      <c r="CG21" s="34"/>
      <c r="CH21" s="35" t="str">
        <f t="shared" si="32"/>
        <v/>
      </c>
      <c r="CI21" s="36" t="str">
        <f t="shared" si="33"/>
        <v/>
      </c>
      <c r="CJ21" s="37"/>
      <c r="CK21" s="33"/>
      <c r="CL21" s="34"/>
      <c r="CM21" s="35" t="str">
        <f t="shared" si="34"/>
        <v/>
      </c>
      <c r="CN21" s="36" t="str">
        <f t="shared" si="35"/>
        <v/>
      </c>
      <c r="CO21" s="37"/>
      <c r="CP21" s="33"/>
      <c r="CQ21" s="34"/>
      <c r="CR21" s="35" t="str">
        <f t="shared" si="36"/>
        <v/>
      </c>
      <c r="CS21" s="36" t="str">
        <f t="shared" si="37"/>
        <v/>
      </c>
      <c r="CT21" s="37"/>
      <c r="CU21" s="33"/>
      <c r="CV21" s="34"/>
      <c r="CW21" s="35" t="str">
        <f t="shared" si="38"/>
        <v/>
      </c>
      <c r="CX21" s="36" t="str">
        <f t="shared" si="39"/>
        <v/>
      </c>
      <c r="CY21" s="37"/>
      <c r="CZ21" s="33"/>
      <c r="DA21" s="34"/>
      <c r="DB21" s="35" t="str">
        <f t="shared" si="40"/>
        <v/>
      </c>
      <c r="DC21" s="36" t="str">
        <f t="shared" si="41"/>
        <v/>
      </c>
      <c r="DD21" s="37"/>
      <c r="DE21" s="33"/>
      <c r="DF21" s="34"/>
      <c r="DG21" s="35" t="str">
        <f t="shared" si="42"/>
        <v/>
      </c>
      <c r="DH21" s="36" t="str">
        <f t="shared" si="43"/>
        <v/>
      </c>
      <c r="DI21" s="37"/>
      <c r="DJ21" s="33"/>
      <c r="DK21" s="34"/>
      <c r="DL21" s="35" t="str">
        <f t="shared" si="44"/>
        <v/>
      </c>
      <c r="DM21" s="36" t="str">
        <f t="shared" si="45"/>
        <v/>
      </c>
      <c r="DN21" s="37"/>
      <c r="DO21" s="33"/>
      <c r="DP21" s="34"/>
      <c r="DQ21" s="35" t="str">
        <f t="shared" si="46"/>
        <v/>
      </c>
      <c r="DR21" s="36" t="str">
        <f t="shared" si="47"/>
        <v/>
      </c>
      <c r="DS21" s="37"/>
      <c r="DT21" s="33"/>
      <c r="DU21" s="34"/>
      <c r="DV21" s="35" t="str">
        <f t="shared" si="48"/>
        <v/>
      </c>
      <c r="DW21" s="36" t="str">
        <f t="shared" si="49"/>
        <v/>
      </c>
      <c r="DX21" s="37"/>
      <c r="DY21" s="33"/>
      <c r="DZ21" s="34"/>
      <c r="EA21" s="35" t="str">
        <f t="shared" si="50"/>
        <v/>
      </c>
      <c r="EB21" s="36" t="str">
        <f t="shared" si="51"/>
        <v/>
      </c>
      <c r="EC21" s="37"/>
      <c r="ED21" s="33"/>
      <c r="EE21" s="34"/>
      <c r="EF21" s="35" t="str">
        <f t="shared" si="52"/>
        <v/>
      </c>
      <c r="EG21" s="36" t="str">
        <f t="shared" si="53"/>
        <v/>
      </c>
      <c r="EH21" s="37"/>
      <c r="EI21" s="33"/>
      <c r="EJ21" s="34"/>
      <c r="EK21" s="35" t="str">
        <f t="shared" si="54"/>
        <v/>
      </c>
      <c r="EL21" s="36" t="str">
        <f t="shared" si="55"/>
        <v/>
      </c>
      <c r="EM21" s="37"/>
      <c r="EN21" s="33"/>
      <c r="EO21" s="34"/>
      <c r="EP21" s="35" t="str">
        <f t="shared" si="56"/>
        <v/>
      </c>
      <c r="EQ21" s="36" t="str">
        <f t="shared" si="57"/>
        <v/>
      </c>
      <c r="ER21" s="37"/>
      <c r="ES21" s="33"/>
      <c r="ET21" s="34"/>
      <c r="EU21" s="35" t="str">
        <f t="shared" si="58"/>
        <v/>
      </c>
      <c r="EV21" s="36" t="str">
        <f t="shared" si="59"/>
        <v/>
      </c>
      <c r="EW21" s="37"/>
    </row>
    <row r="22" spans="1:153" ht="19.5" customHeight="1">
      <c r="A22" s="32">
        <f>IF(DAY(DATE(対象年度,5,19))&lt;&gt;19,"",19)</f>
        <v>19</v>
      </c>
      <c r="B22" s="32" t="str">
        <f>IF(DAY(DATE(対象年度,5,19))&lt;&gt;19,"",CHOOSE(WEEKDAY(DATE(対象年度,5,19),2),"月","火","水","木","金","土","日"))</f>
        <v>火</v>
      </c>
      <c r="C22" s="32" t="str">
        <f>IF(DAY(DATE(対象年度,5,19))&lt;&gt;19,"",IF(ISNUMBER(MATCH(DATE(対象年度,5,19),祝日リスト,0)),"祝",""))</f>
        <v/>
      </c>
      <c r="D22" s="33"/>
      <c r="E22" s="34"/>
      <c r="F22" s="35" t="str">
        <f t="shared" si="0"/>
        <v/>
      </c>
      <c r="G22" s="36" t="str">
        <f t="shared" si="1"/>
        <v/>
      </c>
      <c r="H22" s="37"/>
      <c r="I22" s="33"/>
      <c r="J22" s="34"/>
      <c r="K22" s="35" t="str">
        <f t="shared" si="2"/>
        <v/>
      </c>
      <c r="L22" s="36" t="str">
        <f t="shared" si="3"/>
        <v/>
      </c>
      <c r="M22" s="37"/>
      <c r="N22" s="33"/>
      <c r="O22" s="34"/>
      <c r="P22" s="35" t="str">
        <f t="shared" si="4"/>
        <v/>
      </c>
      <c r="Q22" s="36" t="str">
        <f t="shared" si="5"/>
        <v/>
      </c>
      <c r="R22" s="37"/>
      <c r="S22" s="33"/>
      <c r="T22" s="34"/>
      <c r="U22" s="35" t="str">
        <f t="shared" si="6"/>
        <v/>
      </c>
      <c r="V22" s="36" t="str">
        <f t="shared" si="7"/>
        <v/>
      </c>
      <c r="W22" s="37"/>
      <c r="X22" s="33"/>
      <c r="Y22" s="34"/>
      <c r="Z22" s="35" t="str">
        <f t="shared" si="8"/>
        <v/>
      </c>
      <c r="AA22" s="36" t="str">
        <f t="shared" si="9"/>
        <v/>
      </c>
      <c r="AB22" s="37"/>
      <c r="AC22" s="33"/>
      <c r="AD22" s="34"/>
      <c r="AE22" s="35" t="str">
        <f t="shared" si="10"/>
        <v/>
      </c>
      <c r="AF22" s="36" t="str">
        <f t="shared" si="11"/>
        <v/>
      </c>
      <c r="AG22" s="37"/>
      <c r="AH22" s="33"/>
      <c r="AI22" s="34"/>
      <c r="AJ22" s="35" t="str">
        <f t="shared" si="12"/>
        <v/>
      </c>
      <c r="AK22" s="36" t="str">
        <f t="shared" si="13"/>
        <v/>
      </c>
      <c r="AL22" s="37"/>
      <c r="AM22" s="33"/>
      <c r="AN22" s="34"/>
      <c r="AO22" s="35" t="str">
        <f t="shared" si="14"/>
        <v/>
      </c>
      <c r="AP22" s="36" t="str">
        <f t="shared" si="15"/>
        <v/>
      </c>
      <c r="AQ22" s="37"/>
      <c r="AR22" s="33"/>
      <c r="AS22" s="34"/>
      <c r="AT22" s="35" t="str">
        <f t="shared" si="16"/>
        <v/>
      </c>
      <c r="AU22" s="36" t="str">
        <f t="shared" si="17"/>
        <v/>
      </c>
      <c r="AV22" s="37"/>
      <c r="AW22" s="33"/>
      <c r="AX22" s="34"/>
      <c r="AY22" s="35" t="str">
        <f t="shared" si="18"/>
        <v/>
      </c>
      <c r="AZ22" s="36" t="str">
        <f t="shared" si="19"/>
        <v/>
      </c>
      <c r="BA22" s="37"/>
      <c r="BB22" s="33"/>
      <c r="BC22" s="34"/>
      <c r="BD22" s="35" t="str">
        <f t="shared" si="20"/>
        <v/>
      </c>
      <c r="BE22" s="36" t="str">
        <f t="shared" si="21"/>
        <v/>
      </c>
      <c r="BF22" s="37"/>
      <c r="BG22" s="33"/>
      <c r="BH22" s="34"/>
      <c r="BI22" s="35" t="str">
        <f t="shared" si="22"/>
        <v/>
      </c>
      <c r="BJ22" s="36" t="str">
        <f t="shared" si="23"/>
        <v/>
      </c>
      <c r="BK22" s="37"/>
      <c r="BL22" s="33"/>
      <c r="BM22" s="34"/>
      <c r="BN22" s="35" t="str">
        <f t="shared" si="24"/>
        <v/>
      </c>
      <c r="BO22" s="36" t="str">
        <f t="shared" si="25"/>
        <v/>
      </c>
      <c r="BP22" s="37"/>
      <c r="BQ22" s="33"/>
      <c r="BR22" s="34"/>
      <c r="BS22" s="35" t="str">
        <f t="shared" si="26"/>
        <v/>
      </c>
      <c r="BT22" s="36" t="str">
        <f t="shared" si="27"/>
        <v/>
      </c>
      <c r="BU22" s="37"/>
      <c r="BV22" s="33"/>
      <c r="BW22" s="34"/>
      <c r="BX22" s="35" t="str">
        <f t="shared" si="28"/>
        <v/>
      </c>
      <c r="BY22" s="36" t="str">
        <f t="shared" si="29"/>
        <v/>
      </c>
      <c r="BZ22" s="37"/>
      <c r="CA22" s="33"/>
      <c r="CB22" s="34"/>
      <c r="CC22" s="35" t="str">
        <f t="shared" si="30"/>
        <v/>
      </c>
      <c r="CD22" s="36" t="str">
        <f t="shared" si="31"/>
        <v/>
      </c>
      <c r="CE22" s="37"/>
      <c r="CF22" s="33"/>
      <c r="CG22" s="34"/>
      <c r="CH22" s="35" t="str">
        <f t="shared" si="32"/>
        <v/>
      </c>
      <c r="CI22" s="36" t="str">
        <f t="shared" si="33"/>
        <v/>
      </c>
      <c r="CJ22" s="37"/>
      <c r="CK22" s="33"/>
      <c r="CL22" s="34"/>
      <c r="CM22" s="35" t="str">
        <f t="shared" si="34"/>
        <v/>
      </c>
      <c r="CN22" s="36" t="str">
        <f t="shared" si="35"/>
        <v/>
      </c>
      <c r="CO22" s="37"/>
      <c r="CP22" s="33"/>
      <c r="CQ22" s="34"/>
      <c r="CR22" s="35" t="str">
        <f t="shared" si="36"/>
        <v/>
      </c>
      <c r="CS22" s="36" t="str">
        <f t="shared" si="37"/>
        <v/>
      </c>
      <c r="CT22" s="37"/>
      <c r="CU22" s="33"/>
      <c r="CV22" s="34"/>
      <c r="CW22" s="35" t="str">
        <f t="shared" si="38"/>
        <v/>
      </c>
      <c r="CX22" s="36" t="str">
        <f t="shared" si="39"/>
        <v/>
      </c>
      <c r="CY22" s="37"/>
      <c r="CZ22" s="33"/>
      <c r="DA22" s="34"/>
      <c r="DB22" s="35" t="str">
        <f t="shared" si="40"/>
        <v/>
      </c>
      <c r="DC22" s="36" t="str">
        <f t="shared" si="41"/>
        <v/>
      </c>
      <c r="DD22" s="37"/>
      <c r="DE22" s="33"/>
      <c r="DF22" s="34"/>
      <c r="DG22" s="35" t="str">
        <f t="shared" si="42"/>
        <v/>
      </c>
      <c r="DH22" s="36" t="str">
        <f t="shared" si="43"/>
        <v/>
      </c>
      <c r="DI22" s="37"/>
      <c r="DJ22" s="33"/>
      <c r="DK22" s="34"/>
      <c r="DL22" s="35" t="str">
        <f t="shared" si="44"/>
        <v/>
      </c>
      <c r="DM22" s="36" t="str">
        <f t="shared" si="45"/>
        <v/>
      </c>
      <c r="DN22" s="37"/>
      <c r="DO22" s="33"/>
      <c r="DP22" s="34"/>
      <c r="DQ22" s="35" t="str">
        <f t="shared" si="46"/>
        <v/>
      </c>
      <c r="DR22" s="36" t="str">
        <f t="shared" si="47"/>
        <v/>
      </c>
      <c r="DS22" s="37"/>
      <c r="DT22" s="33"/>
      <c r="DU22" s="34"/>
      <c r="DV22" s="35" t="str">
        <f t="shared" si="48"/>
        <v/>
      </c>
      <c r="DW22" s="36" t="str">
        <f t="shared" si="49"/>
        <v/>
      </c>
      <c r="DX22" s="37"/>
      <c r="DY22" s="33"/>
      <c r="DZ22" s="34"/>
      <c r="EA22" s="35" t="str">
        <f t="shared" si="50"/>
        <v/>
      </c>
      <c r="EB22" s="36" t="str">
        <f t="shared" si="51"/>
        <v/>
      </c>
      <c r="EC22" s="37"/>
      <c r="ED22" s="33"/>
      <c r="EE22" s="34"/>
      <c r="EF22" s="35" t="str">
        <f t="shared" si="52"/>
        <v/>
      </c>
      <c r="EG22" s="36" t="str">
        <f t="shared" si="53"/>
        <v/>
      </c>
      <c r="EH22" s="37"/>
      <c r="EI22" s="33"/>
      <c r="EJ22" s="34"/>
      <c r="EK22" s="35" t="str">
        <f t="shared" si="54"/>
        <v/>
      </c>
      <c r="EL22" s="36" t="str">
        <f t="shared" si="55"/>
        <v/>
      </c>
      <c r="EM22" s="37"/>
      <c r="EN22" s="33"/>
      <c r="EO22" s="34"/>
      <c r="EP22" s="35" t="str">
        <f t="shared" si="56"/>
        <v/>
      </c>
      <c r="EQ22" s="36" t="str">
        <f t="shared" si="57"/>
        <v/>
      </c>
      <c r="ER22" s="37"/>
      <c r="ES22" s="33"/>
      <c r="ET22" s="34"/>
      <c r="EU22" s="35" t="str">
        <f t="shared" si="58"/>
        <v/>
      </c>
      <c r="EV22" s="36" t="str">
        <f t="shared" si="59"/>
        <v/>
      </c>
      <c r="EW22" s="37"/>
    </row>
    <row r="23" spans="1:153" ht="19.5" customHeight="1">
      <c r="A23" s="32">
        <f>IF(DAY(DATE(対象年度,5,20))&lt;&gt;20,"",20)</f>
        <v>20</v>
      </c>
      <c r="B23" s="32" t="str">
        <f>IF(DAY(DATE(対象年度,5,20))&lt;&gt;20,"",CHOOSE(WEEKDAY(DATE(対象年度,5,20),2),"月","火","水","木","金","土","日"))</f>
        <v>水</v>
      </c>
      <c r="C23" s="32" t="str">
        <f>IF(DAY(DATE(対象年度,5,20))&lt;&gt;20,"",IF(ISNUMBER(MATCH(DATE(対象年度,5,20),祝日リスト,0)),"祝",""))</f>
        <v/>
      </c>
      <c r="D23" s="33"/>
      <c r="E23" s="34"/>
      <c r="F23" s="35" t="str">
        <f t="shared" si="0"/>
        <v/>
      </c>
      <c r="G23" s="36" t="str">
        <f t="shared" si="1"/>
        <v/>
      </c>
      <c r="H23" s="37"/>
      <c r="I23" s="33"/>
      <c r="J23" s="34"/>
      <c r="K23" s="35" t="str">
        <f t="shared" si="2"/>
        <v/>
      </c>
      <c r="L23" s="36" t="str">
        <f t="shared" si="3"/>
        <v/>
      </c>
      <c r="M23" s="37"/>
      <c r="N23" s="33"/>
      <c r="O23" s="34"/>
      <c r="P23" s="35" t="str">
        <f t="shared" si="4"/>
        <v/>
      </c>
      <c r="Q23" s="36" t="str">
        <f t="shared" si="5"/>
        <v/>
      </c>
      <c r="R23" s="37"/>
      <c r="S23" s="33"/>
      <c r="T23" s="34"/>
      <c r="U23" s="35" t="str">
        <f t="shared" si="6"/>
        <v/>
      </c>
      <c r="V23" s="36" t="str">
        <f t="shared" si="7"/>
        <v/>
      </c>
      <c r="W23" s="37"/>
      <c r="X23" s="33"/>
      <c r="Y23" s="34"/>
      <c r="Z23" s="35" t="str">
        <f t="shared" si="8"/>
        <v/>
      </c>
      <c r="AA23" s="36" t="str">
        <f t="shared" si="9"/>
        <v/>
      </c>
      <c r="AB23" s="37"/>
      <c r="AC23" s="33"/>
      <c r="AD23" s="34"/>
      <c r="AE23" s="35" t="str">
        <f t="shared" si="10"/>
        <v/>
      </c>
      <c r="AF23" s="36" t="str">
        <f t="shared" si="11"/>
        <v/>
      </c>
      <c r="AG23" s="37"/>
      <c r="AH23" s="33"/>
      <c r="AI23" s="34"/>
      <c r="AJ23" s="35" t="str">
        <f t="shared" si="12"/>
        <v/>
      </c>
      <c r="AK23" s="36" t="str">
        <f t="shared" si="13"/>
        <v/>
      </c>
      <c r="AL23" s="37"/>
      <c r="AM23" s="33"/>
      <c r="AN23" s="34"/>
      <c r="AO23" s="35" t="str">
        <f t="shared" si="14"/>
        <v/>
      </c>
      <c r="AP23" s="36" t="str">
        <f t="shared" si="15"/>
        <v/>
      </c>
      <c r="AQ23" s="37"/>
      <c r="AR23" s="33"/>
      <c r="AS23" s="34"/>
      <c r="AT23" s="35" t="str">
        <f t="shared" si="16"/>
        <v/>
      </c>
      <c r="AU23" s="36" t="str">
        <f t="shared" si="17"/>
        <v/>
      </c>
      <c r="AV23" s="37"/>
      <c r="AW23" s="33"/>
      <c r="AX23" s="34"/>
      <c r="AY23" s="35" t="str">
        <f t="shared" si="18"/>
        <v/>
      </c>
      <c r="AZ23" s="36" t="str">
        <f t="shared" si="19"/>
        <v/>
      </c>
      <c r="BA23" s="37"/>
      <c r="BB23" s="33"/>
      <c r="BC23" s="34"/>
      <c r="BD23" s="35" t="str">
        <f t="shared" si="20"/>
        <v/>
      </c>
      <c r="BE23" s="36" t="str">
        <f t="shared" si="21"/>
        <v/>
      </c>
      <c r="BF23" s="37"/>
      <c r="BG23" s="33"/>
      <c r="BH23" s="34"/>
      <c r="BI23" s="35" t="str">
        <f t="shared" si="22"/>
        <v/>
      </c>
      <c r="BJ23" s="36" t="str">
        <f t="shared" si="23"/>
        <v/>
      </c>
      <c r="BK23" s="37"/>
      <c r="BL23" s="33"/>
      <c r="BM23" s="34"/>
      <c r="BN23" s="35" t="str">
        <f t="shared" si="24"/>
        <v/>
      </c>
      <c r="BO23" s="36" t="str">
        <f t="shared" si="25"/>
        <v/>
      </c>
      <c r="BP23" s="37"/>
      <c r="BQ23" s="33"/>
      <c r="BR23" s="34"/>
      <c r="BS23" s="35" t="str">
        <f t="shared" si="26"/>
        <v/>
      </c>
      <c r="BT23" s="36" t="str">
        <f t="shared" si="27"/>
        <v/>
      </c>
      <c r="BU23" s="37"/>
      <c r="BV23" s="33"/>
      <c r="BW23" s="34"/>
      <c r="BX23" s="35" t="str">
        <f t="shared" si="28"/>
        <v/>
      </c>
      <c r="BY23" s="36" t="str">
        <f t="shared" si="29"/>
        <v/>
      </c>
      <c r="BZ23" s="37"/>
      <c r="CA23" s="33"/>
      <c r="CB23" s="34"/>
      <c r="CC23" s="35" t="str">
        <f t="shared" si="30"/>
        <v/>
      </c>
      <c r="CD23" s="36" t="str">
        <f t="shared" si="31"/>
        <v/>
      </c>
      <c r="CE23" s="37"/>
      <c r="CF23" s="33"/>
      <c r="CG23" s="34"/>
      <c r="CH23" s="35" t="str">
        <f t="shared" si="32"/>
        <v/>
      </c>
      <c r="CI23" s="36" t="str">
        <f t="shared" si="33"/>
        <v/>
      </c>
      <c r="CJ23" s="37"/>
      <c r="CK23" s="33"/>
      <c r="CL23" s="34"/>
      <c r="CM23" s="35" t="str">
        <f t="shared" si="34"/>
        <v/>
      </c>
      <c r="CN23" s="36" t="str">
        <f t="shared" si="35"/>
        <v/>
      </c>
      <c r="CO23" s="37"/>
      <c r="CP23" s="33"/>
      <c r="CQ23" s="34"/>
      <c r="CR23" s="35" t="str">
        <f t="shared" si="36"/>
        <v/>
      </c>
      <c r="CS23" s="36" t="str">
        <f t="shared" si="37"/>
        <v/>
      </c>
      <c r="CT23" s="37"/>
      <c r="CU23" s="33"/>
      <c r="CV23" s="34"/>
      <c r="CW23" s="35" t="str">
        <f t="shared" si="38"/>
        <v/>
      </c>
      <c r="CX23" s="36" t="str">
        <f t="shared" si="39"/>
        <v/>
      </c>
      <c r="CY23" s="37"/>
      <c r="CZ23" s="33"/>
      <c r="DA23" s="34"/>
      <c r="DB23" s="35" t="str">
        <f t="shared" si="40"/>
        <v/>
      </c>
      <c r="DC23" s="36" t="str">
        <f t="shared" si="41"/>
        <v/>
      </c>
      <c r="DD23" s="37"/>
      <c r="DE23" s="33"/>
      <c r="DF23" s="34"/>
      <c r="DG23" s="35" t="str">
        <f t="shared" si="42"/>
        <v/>
      </c>
      <c r="DH23" s="36" t="str">
        <f t="shared" si="43"/>
        <v/>
      </c>
      <c r="DI23" s="37"/>
      <c r="DJ23" s="33"/>
      <c r="DK23" s="34"/>
      <c r="DL23" s="35" t="str">
        <f t="shared" si="44"/>
        <v/>
      </c>
      <c r="DM23" s="36" t="str">
        <f t="shared" si="45"/>
        <v/>
      </c>
      <c r="DN23" s="37"/>
      <c r="DO23" s="33"/>
      <c r="DP23" s="34"/>
      <c r="DQ23" s="35" t="str">
        <f t="shared" si="46"/>
        <v/>
      </c>
      <c r="DR23" s="36" t="str">
        <f t="shared" si="47"/>
        <v/>
      </c>
      <c r="DS23" s="37"/>
      <c r="DT23" s="33"/>
      <c r="DU23" s="34"/>
      <c r="DV23" s="35" t="str">
        <f t="shared" si="48"/>
        <v/>
      </c>
      <c r="DW23" s="36" t="str">
        <f t="shared" si="49"/>
        <v/>
      </c>
      <c r="DX23" s="37"/>
      <c r="DY23" s="33"/>
      <c r="DZ23" s="34"/>
      <c r="EA23" s="35" t="str">
        <f t="shared" si="50"/>
        <v/>
      </c>
      <c r="EB23" s="36" t="str">
        <f t="shared" si="51"/>
        <v/>
      </c>
      <c r="EC23" s="37"/>
      <c r="ED23" s="33"/>
      <c r="EE23" s="34"/>
      <c r="EF23" s="35" t="str">
        <f t="shared" si="52"/>
        <v/>
      </c>
      <c r="EG23" s="36" t="str">
        <f t="shared" si="53"/>
        <v/>
      </c>
      <c r="EH23" s="37"/>
      <c r="EI23" s="33"/>
      <c r="EJ23" s="34"/>
      <c r="EK23" s="35" t="str">
        <f t="shared" si="54"/>
        <v/>
      </c>
      <c r="EL23" s="36" t="str">
        <f t="shared" si="55"/>
        <v/>
      </c>
      <c r="EM23" s="37"/>
      <c r="EN23" s="33"/>
      <c r="EO23" s="34"/>
      <c r="EP23" s="35" t="str">
        <f t="shared" si="56"/>
        <v/>
      </c>
      <c r="EQ23" s="36" t="str">
        <f t="shared" si="57"/>
        <v/>
      </c>
      <c r="ER23" s="37"/>
      <c r="ES23" s="33"/>
      <c r="ET23" s="34"/>
      <c r="EU23" s="35" t="str">
        <f t="shared" si="58"/>
        <v/>
      </c>
      <c r="EV23" s="36" t="str">
        <f t="shared" si="59"/>
        <v/>
      </c>
      <c r="EW23" s="37"/>
    </row>
    <row r="24" spans="1:153" ht="19.5" customHeight="1">
      <c r="A24" s="32">
        <f>IF(DAY(DATE(対象年度,5,21))&lt;&gt;21,"",21)</f>
        <v>21</v>
      </c>
      <c r="B24" s="32" t="str">
        <f>IF(DAY(DATE(対象年度,5,21))&lt;&gt;21,"",CHOOSE(WEEKDAY(DATE(対象年度,5,21),2),"月","火","水","木","金","土","日"))</f>
        <v>木</v>
      </c>
      <c r="C24" s="32" t="str">
        <f>IF(DAY(DATE(対象年度,5,21))&lt;&gt;21,"",IF(ISNUMBER(MATCH(DATE(対象年度,5,21),祝日リスト,0)),"祝",""))</f>
        <v/>
      </c>
      <c r="D24" s="33"/>
      <c r="E24" s="34"/>
      <c r="F24" s="35" t="str">
        <f t="shared" si="0"/>
        <v/>
      </c>
      <c r="G24" s="36" t="str">
        <f t="shared" si="1"/>
        <v/>
      </c>
      <c r="H24" s="37"/>
      <c r="I24" s="33"/>
      <c r="J24" s="34"/>
      <c r="K24" s="35" t="str">
        <f t="shared" si="2"/>
        <v/>
      </c>
      <c r="L24" s="36" t="str">
        <f t="shared" si="3"/>
        <v/>
      </c>
      <c r="M24" s="37"/>
      <c r="N24" s="33"/>
      <c r="O24" s="34"/>
      <c r="P24" s="35" t="str">
        <f t="shared" si="4"/>
        <v/>
      </c>
      <c r="Q24" s="36" t="str">
        <f t="shared" si="5"/>
        <v/>
      </c>
      <c r="R24" s="37"/>
      <c r="S24" s="33"/>
      <c r="T24" s="34"/>
      <c r="U24" s="35" t="str">
        <f t="shared" si="6"/>
        <v/>
      </c>
      <c r="V24" s="36" t="str">
        <f t="shared" si="7"/>
        <v/>
      </c>
      <c r="W24" s="37"/>
      <c r="X24" s="33"/>
      <c r="Y24" s="34"/>
      <c r="Z24" s="35" t="str">
        <f t="shared" si="8"/>
        <v/>
      </c>
      <c r="AA24" s="36" t="str">
        <f t="shared" si="9"/>
        <v/>
      </c>
      <c r="AB24" s="37"/>
      <c r="AC24" s="33"/>
      <c r="AD24" s="34"/>
      <c r="AE24" s="35" t="str">
        <f t="shared" si="10"/>
        <v/>
      </c>
      <c r="AF24" s="36" t="str">
        <f t="shared" si="11"/>
        <v/>
      </c>
      <c r="AG24" s="37"/>
      <c r="AH24" s="33"/>
      <c r="AI24" s="34"/>
      <c r="AJ24" s="35" t="str">
        <f t="shared" si="12"/>
        <v/>
      </c>
      <c r="AK24" s="36" t="str">
        <f t="shared" si="13"/>
        <v/>
      </c>
      <c r="AL24" s="37"/>
      <c r="AM24" s="33"/>
      <c r="AN24" s="34"/>
      <c r="AO24" s="35" t="str">
        <f t="shared" si="14"/>
        <v/>
      </c>
      <c r="AP24" s="36" t="str">
        <f t="shared" si="15"/>
        <v/>
      </c>
      <c r="AQ24" s="37"/>
      <c r="AR24" s="33"/>
      <c r="AS24" s="34"/>
      <c r="AT24" s="35" t="str">
        <f t="shared" si="16"/>
        <v/>
      </c>
      <c r="AU24" s="36" t="str">
        <f t="shared" si="17"/>
        <v/>
      </c>
      <c r="AV24" s="37"/>
      <c r="AW24" s="33"/>
      <c r="AX24" s="34"/>
      <c r="AY24" s="35" t="str">
        <f t="shared" si="18"/>
        <v/>
      </c>
      <c r="AZ24" s="36" t="str">
        <f t="shared" si="19"/>
        <v/>
      </c>
      <c r="BA24" s="37"/>
      <c r="BB24" s="33"/>
      <c r="BC24" s="34"/>
      <c r="BD24" s="35" t="str">
        <f t="shared" si="20"/>
        <v/>
      </c>
      <c r="BE24" s="36" t="str">
        <f t="shared" si="21"/>
        <v/>
      </c>
      <c r="BF24" s="37"/>
      <c r="BG24" s="33"/>
      <c r="BH24" s="34"/>
      <c r="BI24" s="35" t="str">
        <f t="shared" si="22"/>
        <v/>
      </c>
      <c r="BJ24" s="36" t="str">
        <f t="shared" si="23"/>
        <v/>
      </c>
      <c r="BK24" s="37"/>
      <c r="BL24" s="33"/>
      <c r="BM24" s="34"/>
      <c r="BN24" s="35" t="str">
        <f t="shared" si="24"/>
        <v/>
      </c>
      <c r="BO24" s="36" t="str">
        <f t="shared" si="25"/>
        <v/>
      </c>
      <c r="BP24" s="37"/>
      <c r="BQ24" s="33"/>
      <c r="BR24" s="34"/>
      <c r="BS24" s="35" t="str">
        <f t="shared" si="26"/>
        <v/>
      </c>
      <c r="BT24" s="36" t="str">
        <f t="shared" si="27"/>
        <v/>
      </c>
      <c r="BU24" s="37"/>
      <c r="BV24" s="33"/>
      <c r="BW24" s="34"/>
      <c r="BX24" s="35" t="str">
        <f t="shared" si="28"/>
        <v/>
      </c>
      <c r="BY24" s="36" t="str">
        <f t="shared" si="29"/>
        <v/>
      </c>
      <c r="BZ24" s="37"/>
      <c r="CA24" s="33"/>
      <c r="CB24" s="34"/>
      <c r="CC24" s="35" t="str">
        <f t="shared" si="30"/>
        <v/>
      </c>
      <c r="CD24" s="36" t="str">
        <f t="shared" si="31"/>
        <v/>
      </c>
      <c r="CE24" s="37"/>
      <c r="CF24" s="33"/>
      <c r="CG24" s="34"/>
      <c r="CH24" s="35" t="str">
        <f t="shared" si="32"/>
        <v/>
      </c>
      <c r="CI24" s="36" t="str">
        <f t="shared" si="33"/>
        <v/>
      </c>
      <c r="CJ24" s="37"/>
      <c r="CK24" s="33"/>
      <c r="CL24" s="34"/>
      <c r="CM24" s="35" t="str">
        <f t="shared" si="34"/>
        <v/>
      </c>
      <c r="CN24" s="36" t="str">
        <f t="shared" si="35"/>
        <v/>
      </c>
      <c r="CO24" s="37"/>
      <c r="CP24" s="33"/>
      <c r="CQ24" s="34"/>
      <c r="CR24" s="35" t="str">
        <f t="shared" si="36"/>
        <v/>
      </c>
      <c r="CS24" s="36" t="str">
        <f t="shared" si="37"/>
        <v/>
      </c>
      <c r="CT24" s="37"/>
      <c r="CU24" s="33"/>
      <c r="CV24" s="34"/>
      <c r="CW24" s="35" t="str">
        <f t="shared" si="38"/>
        <v/>
      </c>
      <c r="CX24" s="36" t="str">
        <f t="shared" si="39"/>
        <v/>
      </c>
      <c r="CY24" s="37"/>
      <c r="CZ24" s="33"/>
      <c r="DA24" s="34"/>
      <c r="DB24" s="35" t="str">
        <f t="shared" si="40"/>
        <v/>
      </c>
      <c r="DC24" s="36" t="str">
        <f t="shared" si="41"/>
        <v/>
      </c>
      <c r="DD24" s="37"/>
      <c r="DE24" s="33"/>
      <c r="DF24" s="34"/>
      <c r="DG24" s="35" t="str">
        <f t="shared" si="42"/>
        <v/>
      </c>
      <c r="DH24" s="36" t="str">
        <f t="shared" si="43"/>
        <v/>
      </c>
      <c r="DI24" s="37"/>
      <c r="DJ24" s="33"/>
      <c r="DK24" s="34"/>
      <c r="DL24" s="35" t="str">
        <f t="shared" si="44"/>
        <v/>
      </c>
      <c r="DM24" s="36" t="str">
        <f t="shared" si="45"/>
        <v/>
      </c>
      <c r="DN24" s="37"/>
      <c r="DO24" s="33"/>
      <c r="DP24" s="34"/>
      <c r="DQ24" s="35" t="str">
        <f t="shared" si="46"/>
        <v/>
      </c>
      <c r="DR24" s="36" t="str">
        <f t="shared" si="47"/>
        <v/>
      </c>
      <c r="DS24" s="37"/>
      <c r="DT24" s="33"/>
      <c r="DU24" s="34"/>
      <c r="DV24" s="35" t="str">
        <f t="shared" si="48"/>
        <v/>
      </c>
      <c r="DW24" s="36" t="str">
        <f t="shared" si="49"/>
        <v/>
      </c>
      <c r="DX24" s="37"/>
      <c r="DY24" s="33"/>
      <c r="DZ24" s="34"/>
      <c r="EA24" s="35" t="str">
        <f t="shared" si="50"/>
        <v/>
      </c>
      <c r="EB24" s="36" t="str">
        <f t="shared" si="51"/>
        <v/>
      </c>
      <c r="EC24" s="37"/>
      <c r="ED24" s="33"/>
      <c r="EE24" s="34"/>
      <c r="EF24" s="35" t="str">
        <f t="shared" si="52"/>
        <v/>
      </c>
      <c r="EG24" s="36" t="str">
        <f t="shared" si="53"/>
        <v/>
      </c>
      <c r="EH24" s="37"/>
      <c r="EI24" s="33"/>
      <c r="EJ24" s="34"/>
      <c r="EK24" s="35" t="str">
        <f t="shared" si="54"/>
        <v/>
      </c>
      <c r="EL24" s="36" t="str">
        <f t="shared" si="55"/>
        <v/>
      </c>
      <c r="EM24" s="37"/>
      <c r="EN24" s="33"/>
      <c r="EO24" s="34"/>
      <c r="EP24" s="35" t="str">
        <f t="shared" si="56"/>
        <v/>
      </c>
      <c r="EQ24" s="36" t="str">
        <f t="shared" si="57"/>
        <v/>
      </c>
      <c r="ER24" s="37"/>
      <c r="ES24" s="33"/>
      <c r="ET24" s="34"/>
      <c r="EU24" s="35" t="str">
        <f t="shared" si="58"/>
        <v/>
      </c>
      <c r="EV24" s="36" t="str">
        <f t="shared" si="59"/>
        <v/>
      </c>
      <c r="EW24" s="37"/>
    </row>
    <row r="25" spans="1:153" ht="19.5" customHeight="1">
      <c r="A25" s="32">
        <f>IF(DAY(DATE(対象年度,5,22))&lt;&gt;22,"",22)</f>
        <v>22</v>
      </c>
      <c r="B25" s="32" t="str">
        <f>IF(DAY(DATE(対象年度,5,22))&lt;&gt;22,"",CHOOSE(WEEKDAY(DATE(対象年度,5,22),2),"月","火","水","木","金","土","日"))</f>
        <v>金</v>
      </c>
      <c r="C25" s="32" t="str">
        <f>IF(DAY(DATE(対象年度,5,22))&lt;&gt;22,"",IF(ISNUMBER(MATCH(DATE(対象年度,5,22),祝日リスト,0)),"祝",""))</f>
        <v/>
      </c>
      <c r="D25" s="33"/>
      <c r="E25" s="34"/>
      <c r="F25" s="35" t="str">
        <f t="shared" si="0"/>
        <v/>
      </c>
      <c r="G25" s="36" t="str">
        <f t="shared" si="1"/>
        <v/>
      </c>
      <c r="H25" s="37"/>
      <c r="I25" s="33"/>
      <c r="J25" s="34"/>
      <c r="K25" s="35" t="str">
        <f t="shared" si="2"/>
        <v/>
      </c>
      <c r="L25" s="36" t="str">
        <f t="shared" si="3"/>
        <v/>
      </c>
      <c r="M25" s="37"/>
      <c r="N25" s="33"/>
      <c r="O25" s="34"/>
      <c r="P25" s="35" t="str">
        <f t="shared" si="4"/>
        <v/>
      </c>
      <c r="Q25" s="36" t="str">
        <f t="shared" si="5"/>
        <v/>
      </c>
      <c r="R25" s="37"/>
      <c r="S25" s="33"/>
      <c r="T25" s="34"/>
      <c r="U25" s="35" t="str">
        <f t="shared" si="6"/>
        <v/>
      </c>
      <c r="V25" s="36" t="str">
        <f t="shared" si="7"/>
        <v/>
      </c>
      <c r="W25" s="37"/>
      <c r="X25" s="33"/>
      <c r="Y25" s="34"/>
      <c r="Z25" s="35" t="str">
        <f t="shared" si="8"/>
        <v/>
      </c>
      <c r="AA25" s="36" t="str">
        <f t="shared" si="9"/>
        <v/>
      </c>
      <c r="AB25" s="37"/>
      <c r="AC25" s="33"/>
      <c r="AD25" s="34"/>
      <c r="AE25" s="35" t="str">
        <f t="shared" si="10"/>
        <v/>
      </c>
      <c r="AF25" s="36" t="str">
        <f t="shared" si="11"/>
        <v/>
      </c>
      <c r="AG25" s="37"/>
      <c r="AH25" s="33"/>
      <c r="AI25" s="34"/>
      <c r="AJ25" s="35" t="str">
        <f t="shared" si="12"/>
        <v/>
      </c>
      <c r="AK25" s="36" t="str">
        <f t="shared" si="13"/>
        <v/>
      </c>
      <c r="AL25" s="37"/>
      <c r="AM25" s="33"/>
      <c r="AN25" s="34"/>
      <c r="AO25" s="35" t="str">
        <f t="shared" si="14"/>
        <v/>
      </c>
      <c r="AP25" s="36" t="str">
        <f t="shared" si="15"/>
        <v/>
      </c>
      <c r="AQ25" s="37"/>
      <c r="AR25" s="33"/>
      <c r="AS25" s="34"/>
      <c r="AT25" s="35" t="str">
        <f t="shared" si="16"/>
        <v/>
      </c>
      <c r="AU25" s="36" t="str">
        <f t="shared" si="17"/>
        <v/>
      </c>
      <c r="AV25" s="37"/>
      <c r="AW25" s="33"/>
      <c r="AX25" s="34"/>
      <c r="AY25" s="35" t="str">
        <f t="shared" si="18"/>
        <v/>
      </c>
      <c r="AZ25" s="36" t="str">
        <f t="shared" si="19"/>
        <v/>
      </c>
      <c r="BA25" s="37"/>
      <c r="BB25" s="33"/>
      <c r="BC25" s="34"/>
      <c r="BD25" s="35" t="str">
        <f t="shared" si="20"/>
        <v/>
      </c>
      <c r="BE25" s="36" t="str">
        <f t="shared" si="21"/>
        <v/>
      </c>
      <c r="BF25" s="37"/>
      <c r="BG25" s="33"/>
      <c r="BH25" s="34"/>
      <c r="BI25" s="35" t="str">
        <f t="shared" si="22"/>
        <v/>
      </c>
      <c r="BJ25" s="36" t="str">
        <f t="shared" si="23"/>
        <v/>
      </c>
      <c r="BK25" s="37"/>
      <c r="BL25" s="33"/>
      <c r="BM25" s="34"/>
      <c r="BN25" s="35" t="str">
        <f t="shared" si="24"/>
        <v/>
      </c>
      <c r="BO25" s="36" t="str">
        <f t="shared" si="25"/>
        <v/>
      </c>
      <c r="BP25" s="37"/>
      <c r="BQ25" s="33"/>
      <c r="BR25" s="34"/>
      <c r="BS25" s="35" t="str">
        <f t="shared" si="26"/>
        <v/>
      </c>
      <c r="BT25" s="36" t="str">
        <f t="shared" si="27"/>
        <v/>
      </c>
      <c r="BU25" s="37"/>
      <c r="BV25" s="33"/>
      <c r="BW25" s="34"/>
      <c r="BX25" s="35" t="str">
        <f t="shared" si="28"/>
        <v/>
      </c>
      <c r="BY25" s="36" t="str">
        <f t="shared" si="29"/>
        <v/>
      </c>
      <c r="BZ25" s="37"/>
      <c r="CA25" s="33"/>
      <c r="CB25" s="34"/>
      <c r="CC25" s="35" t="str">
        <f t="shared" si="30"/>
        <v/>
      </c>
      <c r="CD25" s="36" t="str">
        <f t="shared" si="31"/>
        <v/>
      </c>
      <c r="CE25" s="37"/>
      <c r="CF25" s="33"/>
      <c r="CG25" s="34"/>
      <c r="CH25" s="35" t="str">
        <f t="shared" si="32"/>
        <v/>
      </c>
      <c r="CI25" s="36" t="str">
        <f t="shared" si="33"/>
        <v/>
      </c>
      <c r="CJ25" s="37"/>
      <c r="CK25" s="33"/>
      <c r="CL25" s="34"/>
      <c r="CM25" s="35" t="str">
        <f t="shared" si="34"/>
        <v/>
      </c>
      <c r="CN25" s="36" t="str">
        <f t="shared" si="35"/>
        <v/>
      </c>
      <c r="CO25" s="37"/>
      <c r="CP25" s="33"/>
      <c r="CQ25" s="34"/>
      <c r="CR25" s="35" t="str">
        <f t="shared" si="36"/>
        <v/>
      </c>
      <c r="CS25" s="36" t="str">
        <f t="shared" si="37"/>
        <v/>
      </c>
      <c r="CT25" s="37"/>
      <c r="CU25" s="33"/>
      <c r="CV25" s="34"/>
      <c r="CW25" s="35" t="str">
        <f t="shared" si="38"/>
        <v/>
      </c>
      <c r="CX25" s="36" t="str">
        <f t="shared" si="39"/>
        <v/>
      </c>
      <c r="CY25" s="37"/>
      <c r="CZ25" s="33"/>
      <c r="DA25" s="34"/>
      <c r="DB25" s="35" t="str">
        <f t="shared" si="40"/>
        <v/>
      </c>
      <c r="DC25" s="36" t="str">
        <f t="shared" si="41"/>
        <v/>
      </c>
      <c r="DD25" s="37"/>
      <c r="DE25" s="33"/>
      <c r="DF25" s="34"/>
      <c r="DG25" s="35" t="str">
        <f t="shared" si="42"/>
        <v/>
      </c>
      <c r="DH25" s="36" t="str">
        <f t="shared" si="43"/>
        <v/>
      </c>
      <c r="DI25" s="37"/>
      <c r="DJ25" s="33"/>
      <c r="DK25" s="34"/>
      <c r="DL25" s="35" t="str">
        <f t="shared" si="44"/>
        <v/>
      </c>
      <c r="DM25" s="36" t="str">
        <f t="shared" si="45"/>
        <v/>
      </c>
      <c r="DN25" s="37"/>
      <c r="DO25" s="33"/>
      <c r="DP25" s="34"/>
      <c r="DQ25" s="35" t="str">
        <f t="shared" si="46"/>
        <v/>
      </c>
      <c r="DR25" s="36" t="str">
        <f t="shared" si="47"/>
        <v/>
      </c>
      <c r="DS25" s="37"/>
      <c r="DT25" s="33"/>
      <c r="DU25" s="34"/>
      <c r="DV25" s="35" t="str">
        <f t="shared" si="48"/>
        <v/>
      </c>
      <c r="DW25" s="36" t="str">
        <f t="shared" si="49"/>
        <v/>
      </c>
      <c r="DX25" s="37"/>
      <c r="DY25" s="33"/>
      <c r="DZ25" s="34"/>
      <c r="EA25" s="35" t="str">
        <f t="shared" si="50"/>
        <v/>
      </c>
      <c r="EB25" s="36" t="str">
        <f t="shared" si="51"/>
        <v/>
      </c>
      <c r="EC25" s="37"/>
      <c r="ED25" s="33"/>
      <c r="EE25" s="34"/>
      <c r="EF25" s="35" t="str">
        <f t="shared" si="52"/>
        <v/>
      </c>
      <c r="EG25" s="36" t="str">
        <f t="shared" si="53"/>
        <v/>
      </c>
      <c r="EH25" s="37"/>
      <c r="EI25" s="33"/>
      <c r="EJ25" s="34"/>
      <c r="EK25" s="35" t="str">
        <f t="shared" si="54"/>
        <v/>
      </c>
      <c r="EL25" s="36" t="str">
        <f t="shared" si="55"/>
        <v/>
      </c>
      <c r="EM25" s="37"/>
      <c r="EN25" s="33"/>
      <c r="EO25" s="34"/>
      <c r="EP25" s="35" t="str">
        <f t="shared" si="56"/>
        <v/>
      </c>
      <c r="EQ25" s="36" t="str">
        <f t="shared" si="57"/>
        <v/>
      </c>
      <c r="ER25" s="37"/>
      <c r="ES25" s="33"/>
      <c r="ET25" s="34"/>
      <c r="EU25" s="35" t="str">
        <f t="shared" si="58"/>
        <v/>
      </c>
      <c r="EV25" s="36" t="str">
        <f t="shared" si="59"/>
        <v/>
      </c>
      <c r="EW25" s="37"/>
    </row>
    <row r="26" spans="1:153" ht="19.5" customHeight="1">
      <c r="A26" s="32">
        <f>IF(DAY(DATE(対象年度,5,23))&lt;&gt;23,"",23)</f>
        <v>23</v>
      </c>
      <c r="B26" s="32" t="str">
        <f>IF(DAY(DATE(対象年度,5,23))&lt;&gt;23,"",CHOOSE(WEEKDAY(DATE(対象年度,5,23),2),"月","火","水","木","金","土","日"))</f>
        <v>土</v>
      </c>
      <c r="C26" s="32" t="str">
        <f>IF(DAY(DATE(対象年度,5,23))&lt;&gt;23,"",IF(ISNUMBER(MATCH(DATE(対象年度,5,23),祝日リスト,0)),"祝",""))</f>
        <v/>
      </c>
      <c r="D26" s="33"/>
      <c r="E26" s="34"/>
      <c r="F26" s="35" t="str">
        <f t="shared" si="0"/>
        <v/>
      </c>
      <c r="G26" s="36" t="str">
        <f t="shared" si="1"/>
        <v/>
      </c>
      <c r="H26" s="37"/>
      <c r="I26" s="33"/>
      <c r="J26" s="34"/>
      <c r="K26" s="35" t="str">
        <f t="shared" si="2"/>
        <v/>
      </c>
      <c r="L26" s="36" t="str">
        <f t="shared" si="3"/>
        <v/>
      </c>
      <c r="M26" s="37"/>
      <c r="N26" s="33"/>
      <c r="O26" s="34"/>
      <c r="P26" s="35" t="str">
        <f t="shared" si="4"/>
        <v/>
      </c>
      <c r="Q26" s="36" t="str">
        <f t="shared" si="5"/>
        <v/>
      </c>
      <c r="R26" s="37"/>
      <c r="S26" s="33"/>
      <c r="T26" s="34"/>
      <c r="U26" s="35" t="str">
        <f t="shared" si="6"/>
        <v/>
      </c>
      <c r="V26" s="36" t="str">
        <f t="shared" si="7"/>
        <v/>
      </c>
      <c r="W26" s="37"/>
      <c r="X26" s="33"/>
      <c r="Y26" s="34"/>
      <c r="Z26" s="35" t="str">
        <f t="shared" si="8"/>
        <v/>
      </c>
      <c r="AA26" s="36" t="str">
        <f t="shared" si="9"/>
        <v/>
      </c>
      <c r="AB26" s="37"/>
      <c r="AC26" s="33"/>
      <c r="AD26" s="34"/>
      <c r="AE26" s="35" t="str">
        <f t="shared" si="10"/>
        <v/>
      </c>
      <c r="AF26" s="36" t="str">
        <f t="shared" si="11"/>
        <v/>
      </c>
      <c r="AG26" s="37"/>
      <c r="AH26" s="33"/>
      <c r="AI26" s="34"/>
      <c r="AJ26" s="35" t="str">
        <f t="shared" si="12"/>
        <v/>
      </c>
      <c r="AK26" s="36" t="str">
        <f t="shared" si="13"/>
        <v/>
      </c>
      <c r="AL26" s="37"/>
      <c r="AM26" s="33"/>
      <c r="AN26" s="34"/>
      <c r="AO26" s="35" t="str">
        <f t="shared" si="14"/>
        <v/>
      </c>
      <c r="AP26" s="36" t="str">
        <f t="shared" si="15"/>
        <v/>
      </c>
      <c r="AQ26" s="37"/>
      <c r="AR26" s="33"/>
      <c r="AS26" s="34"/>
      <c r="AT26" s="35" t="str">
        <f t="shared" si="16"/>
        <v/>
      </c>
      <c r="AU26" s="36" t="str">
        <f t="shared" si="17"/>
        <v/>
      </c>
      <c r="AV26" s="37"/>
      <c r="AW26" s="33"/>
      <c r="AX26" s="34"/>
      <c r="AY26" s="35" t="str">
        <f t="shared" si="18"/>
        <v/>
      </c>
      <c r="AZ26" s="36" t="str">
        <f t="shared" si="19"/>
        <v/>
      </c>
      <c r="BA26" s="37"/>
      <c r="BB26" s="33"/>
      <c r="BC26" s="34"/>
      <c r="BD26" s="35" t="str">
        <f t="shared" si="20"/>
        <v/>
      </c>
      <c r="BE26" s="36" t="str">
        <f t="shared" si="21"/>
        <v/>
      </c>
      <c r="BF26" s="37"/>
      <c r="BG26" s="33"/>
      <c r="BH26" s="34"/>
      <c r="BI26" s="35" t="str">
        <f t="shared" si="22"/>
        <v/>
      </c>
      <c r="BJ26" s="36" t="str">
        <f t="shared" si="23"/>
        <v/>
      </c>
      <c r="BK26" s="37"/>
      <c r="BL26" s="33"/>
      <c r="BM26" s="34"/>
      <c r="BN26" s="35" t="str">
        <f t="shared" si="24"/>
        <v/>
      </c>
      <c r="BO26" s="36" t="str">
        <f t="shared" si="25"/>
        <v/>
      </c>
      <c r="BP26" s="37"/>
      <c r="BQ26" s="33"/>
      <c r="BR26" s="34"/>
      <c r="BS26" s="35" t="str">
        <f t="shared" si="26"/>
        <v/>
      </c>
      <c r="BT26" s="36" t="str">
        <f t="shared" si="27"/>
        <v/>
      </c>
      <c r="BU26" s="37"/>
      <c r="BV26" s="33"/>
      <c r="BW26" s="34"/>
      <c r="BX26" s="35" t="str">
        <f t="shared" si="28"/>
        <v/>
      </c>
      <c r="BY26" s="36" t="str">
        <f t="shared" si="29"/>
        <v/>
      </c>
      <c r="BZ26" s="37"/>
      <c r="CA26" s="33"/>
      <c r="CB26" s="34"/>
      <c r="CC26" s="35" t="str">
        <f t="shared" si="30"/>
        <v/>
      </c>
      <c r="CD26" s="36" t="str">
        <f t="shared" si="31"/>
        <v/>
      </c>
      <c r="CE26" s="37"/>
      <c r="CF26" s="33"/>
      <c r="CG26" s="34"/>
      <c r="CH26" s="35" t="str">
        <f t="shared" si="32"/>
        <v/>
      </c>
      <c r="CI26" s="36" t="str">
        <f t="shared" si="33"/>
        <v/>
      </c>
      <c r="CJ26" s="37"/>
      <c r="CK26" s="33"/>
      <c r="CL26" s="34"/>
      <c r="CM26" s="35" t="str">
        <f t="shared" si="34"/>
        <v/>
      </c>
      <c r="CN26" s="36" t="str">
        <f t="shared" si="35"/>
        <v/>
      </c>
      <c r="CO26" s="37"/>
      <c r="CP26" s="33"/>
      <c r="CQ26" s="34"/>
      <c r="CR26" s="35" t="str">
        <f t="shared" si="36"/>
        <v/>
      </c>
      <c r="CS26" s="36" t="str">
        <f t="shared" si="37"/>
        <v/>
      </c>
      <c r="CT26" s="37"/>
      <c r="CU26" s="33"/>
      <c r="CV26" s="34"/>
      <c r="CW26" s="35" t="str">
        <f t="shared" si="38"/>
        <v/>
      </c>
      <c r="CX26" s="36" t="str">
        <f t="shared" si="39"/>
        <v/>
      </c>
      <c r="CY26" s="37"/>
      <c r="CZ26" s="33"/>
      <c r="DA26" s="34"/>
      <c r="DB26" s="35" t="str">
        <f t="shared" si="40"/>
        <v/>
      </c>
      <c r="DC26" s="36" t="str">
        <f t="shared" si="41"/>
        <v/>
      </c>
      <c r="DD26" s="37"/>
      <c r="DE26" s="33"/>
      <c r="DF26" s="34"/>
      <c r="DG26" s="35" t="str">
        <f t="shared" si="42"/>
        <v/>
      </c>
      <c r="DH26" s="36" t="str">
        <f t="shared" si="43"/>
        <v/>
      </c>
      <c r="DI26" s="37"/>
      <c r="DJ26" s="33"/>
      <c r="DK26" s="34"/>
      <c r="DL26" s="35" t="str">
        <f t="shared" si="44"/>
        <v/>
      </c>
      <c r="DM26" s="36" t="str">
        <f t="shared" si="45"/>
        <v/>
      </c>
      <c r="DN26" s="37"/>
      <c r="DO26" s="33"/>
      <c r="DP26" s="34"/>
      <c r="DQ26" s="35" t="str">
        <f t="shared" si="46"/>
        <v/>
      </c>
      <c r="DR26" s="36" t="str">
        <f t="shared" si="47"/>
        <v/>
      </c>
      <c r="DS26" s="37"/>
      <c r="DT26" s="33"/>
      <c r="DU26" s="34"/>
      <c r="DV26" s="35" t="str">
        <f t="shared" si="48"/>
        <v/>
      </c>
      <c r="DW26" s="36" t="str">
        <f t="shared" si="49"/>
        <v/>
      </c>
      <c r="DX26" s="37"/>
      <c r="DY26" s="33"/>
      <c r="DZ26" s="34"/>
      <c r="EA26" s="35" t="str">
        <f t="shared" si="50"/>
        <v/>
      </c>
      <c r="EB26" s="36" t="str">
        <f t="shared" si="51"/>
        <v/>
      </c>
      <c r="EC26" s="37"/>
      <c r="ED26" s="33"/>
      <c r="EE26" s="34"/>
      <c r="EF26" s="35" t="str">
        <f t="shared" si="52"/>
        <v/>
      </c>
      <c r="EG26" s="36" t="str">
        <f t="shared" si="53"/>
        <v/>
      </c>
      <c r="EH26" s="37"/>
      <c r="EI26" s="33"/>
      <c r="EJ26" s="34"/>
      <c r="EK26" s="35" t="str">
        <f t="shared" si="54"/>
        <v/>
      </c>
      <c r="EL26" s="36" t="str">
        <f t="shared" si="55"/>
        <v/>
      </c>
      <c r="EM26" s="37"/>
      <c r="EN26" s="33"/>
      <c r="EO26" s="34"/>
      <c r="EP26" s="35" t="str">
        <f t="shared" si="56"/>
        <v/>
      </c>
      <c r="EQ26" s="36" t="str">
        <f t="shared" si="57"/>
        <v/>
      </c>
      <c r="ER26" s="37"/>
      <c r="ES26" s="33"/>
      <c r="ET26" s="34"/>
      <c r="EU26" s="35" t="str">
        <f t="shared" si="58"/>
        <v/>
      </c>
      <c r="EV26" s="36" t="str">
        <f t="shared" si="59"/>
        <v/>
      </c>
      <c r="EW26" s="37"/>
    </row>
    <row r="27" spans="1:153" ht="19.5" customHeight="1">
      <c r="A27" s="32">
        <f>IF(DAY(DATE(対象年度,5,24))&lt;&gt;24,"",24)</f>
        <v>24</v>
      </c>
      <c r="B27" s="32" t="str">
        <f>IF(DAY(DATE(対象年度,5,24))&lt;&gt;24,"",CHOOSE(WEEKDAY(DATE(対象年度,5,24),2),"月","火","水","木","金","土","日"))</f>
        <v>日</v>
      </c>
      <c r="C27" s="32" t="str">
        <f>IF(DAY(DATE(対象年度,5,24))&lt;&gt;24,"",IF(ISNUMBER(MATCH(DATE(対象年度,5,24),祝日リスト,0)),"祝",""))</f>
        <v/>
      </c>
      <c r="D27" s="33"/>
      <c r="E27" s="34"/>
      <c r="F27" s="35" t="str">
        <f t="shared" si="0"/>
        <v/>
      </c>
      <c r="G27" s="36" t="str">
        <f t="shared" si="1"/>
        <v/>
      </c>
      <c r="H27" s="37"/>
      <c r="I27" s="33"/>
      <c r="J27" s="34"/>
      <c r="K27" s="35" t="str">
        <f t="shared" si="2"/>
        <v/>
      </c>
      <c r="L27" s="36" t="str">
        <f t="shared" si="3"/>
        <v/>
      </c>
      <c r="M27" s="37"/>
      <c r="N27" s="33"/>
      <c r="O27" s="34"/>
      <c r="P27" s="35" t="str">
        <f t="shared" si="4"/>
        <v/>
      </c>
      <c r="Q27" s="36" t="str">
        <f t="shared" si="5"/>
        <v/>
      </c>
      <c r="R27" s="37"/>
      <c r="S27" s="33"/>
      <c r="T27" s="34"/>
      <c r="U27" s="35" t="str">
        <f t="shared" si="6"/>
        <v/>
      </c>
      <c r="V27" s="36" t="str">
        <f t="shared" si="7"/>
        <v/>
      </c>
      <c r="W27" s="37"/>
      <c r="X27" s="33"/>
      <c r="Y27" s="34"/>
      <c r="Z27" s="35" t="str">
        <f t="shared" si="8"/>
        <v/>
      </c>
      <c r="AA27" s="36" t="str">
        <f t="shared" si="9"/>
        <v/>
      </c>
      <c r="AB27" s="37"/>
      <c r="AC27" s="33"/>
      <c r="AD27" s="34"/>
      <c r="AE27" s="35" t="str">
        <f t="shared" si="10"/>
        <v/>
      </c>
      <c r="AF27" s="36" t="str">
        <f t="shared" si="11"/>
        <v/>
      </c>
      <c r="AG27" s="37"/>
      <c r="AH27" s="33"/>
      <c r="AI27" s="34"/>
      <c r="AJ27" s="35" t="str">
        <f t="shared" si="12"/>
        <v/>
      </c>
      <c r="AK27" s="36" t="str">
        <f t="shared" si="13"/>
        <v/>
      </c>
      <c r="AL27" s="37"/>
      <c r="AM27" s="33"/>
      <c r="AN27" s="34"/>
      <c r="AO27" s="35" t="str">
        <f t="shared" si="14"/>
        <v/>
      </c>
      <c r="AP27" s="36" t="str">
        <f t="shared" si="15"/>
        <v/>
      </c>
      <c r="AQ27" s="37"/>
      <c r="AR27" s="33"/>
      <c r="AS27" s="34"/>
      <c r="AT27" s="35" t="str">
        <f t="shared" si="16"/>
        <v/>
      </c>
      <c r="AU27" s="36" t="str">
        <f t="shared" si="17"/>
        <v/>
      </c>
      <c r="AV27" s="37"/>
      <c r="AW27" s="33"/>
      <c r="AX27" s="34"/>
      <c r="AY27" s="35" t="str">
        <f t="shared" si="18"/>
        <v/>
      </c>
      <c r="AZ27" s="36" t="str">
        <f t="shared" si="19"/>
        <v/>
      </c>
      <c r="BA27" s="37"/>
      <c r="BB27" s="33"/>
      <c r="BC27" s="34"/>
      <c r="BD27" s="35" t="str">
        <f t="shared" si="20"/>
        <v/>
      </c>
      <c r="BE27" s="36" t="str">
        <f t="shared" si="21"/>
        <v/>
      </c>
      <c r="BF27" s="37"/>
      <c r="BG27" s="33"/>
      <c r="BH27" s="34"/>
      <c r="BI27" s="35" t="str">
        <f t="shared" si="22"/>
        <v/>
      </c>
      <c r="BJ27" s="36" t="str">
        <f t="shared" si="23"/>
        <v/>
      </c>
      <c r="BK27" s="37"/>
      <c r="BL27" s="33"/>
      <c r="BM27" s="34"/>
      <c r="BN27" s="35" t="str">
        <f t="shared" si="24"/>
        <v/>
      </c>
      <c r="BO27" s="36" t="str">
        <f t="shared" si="25"/>
        <v/>
      </c>
      <c r="BP27" s="37"/>
      <c r="BQ27" s="33"/>
      <c r="BR27" s="34"/>
      <c r="BS27" s="35" t="str">
        <f t="shared" si="26"/>
        <v/>
      </c>
      <c r="BT27" s="36" t="str">
        <f t="shared" si="27"/>
        <v/>
      </c>
      <c r="BU27" s="37"/>
      <c r="BV27" s="33"/>
      <c r="BW27" s="34"/>
      <c r="BX27" s="35" t="str">
        <f t="shared" si="28"/>
        <v/>
      </c>
      <c r="BY27" s="36" t="str">
        <f t="shared" si="29"/>
        <v/>
      </c>
      <c r="BZ27" s="37"/>
      <c r="CA27" s="33"/>
      <c r="CB27" s="34"/>
      <c r="CC27" s="35" t="str">
        <f t="shared" si="30"/>
        <v/>
      </c>
      <c r="CD27" s="36" t="str">
        <f t="shared" si="31"/>
        <v/>
      </c>
      <c r="CE27" s="37"/>
      <c r="CF27" s="33"/>
      <c r="CG27" s="34"/>
      <c r="CH27" s="35" t="str">
        <f t="shared" si="32"/>
        <v/>
      </c>
      <c r="CI27" s="36" t="str">
        <f t="shared" si="33"/>
        <v/>
      </c>
      <c r="CJ27" s="37"/>
      <c r="CK27" s="33"/>
      <c r="CL27" s="34"/>
      <c r="CM27" s="35" t="str">
        <f t="shared" si="34"/>
        <v/>
      </c>
      <c r="CN27" s="36" t="str">
        <f t="shared" si="35"/>
        <v/>
      </c>
      <c r="CO27" s="37"/>
      <c r="CP27" s="33"/>
      <c r="CQ27" s="34"/>
      <c r="CR27" s="35" t="str">
        <f t="shared" si="36"/>
        <v/>
      </c>
      <c r="CS27" s="36" t="str">
        <f t="shared" si="37"/>
        <v/>
      </c>
      <c r="CT27" s="37"/>
      <c r="CU27" s="33"/>
      <c r="CV27" s="34"/>
      <c r="CW27" s="35" t="str">
        <f t="shared" si="38"/>
        <v/>
      </c>
      <c r="CX27" s="36" t="str">
        <f t="shared" si="39"/>
        <v/>
      </c>
      <c r="CY27" s="37"/>
      <c r="CZ27" s="33"/>
      <c r="DA27" s="34"/>
      <c r="DB27" s="35" t="str">
        <f t="shared" si="40"/>
        <v/>
      </c>
      <c r="DC27" s="36" t="str">
        <f t="shared" si="41"/>
        <v/>
      </c>
      <c r="DD27" s="37"/>
      <c r="DE27" s="33"/>
      <c r="DF27" s="34"/>
      <c r="DG27" s="35" t="str">
        <f t="shared" si="42"/>
        <v/>
      </c>
      <c r="DH27" s="36" t="str">
        <f t="shared" si="43"/>
        <v/>
      </c>
      <c r="DI27" s="37"/>
      <c r="DJ27" s="33"/>
      <c r="DK27" s="34"/>
      <c r="DL27" s="35" t="str">
        <f t="shared" si="44"/>
        <v/>
      </c>
      <c r="DM27" s="36" t="str">
        <f t="shared" si="45"/>
        <v/>
      </c>
      <c r="DN27" s="37"/>
      <c r="DO27" s="33"/>
      <c r="DP27" s="34"/>
      <c r="DQ27" s="35" t="str">
        <f t="shared" si="46"/>
        <v/>
      </c>
      <c r="DR27" s="36" t="str">
        <f t="shared" si="47"/>
        <v/>
      </c>
      <c r="DS27" s="37"/>
      <c r="DT27" s="33"/>
      <c r="DU27" s="34"/>
      <c r="DV27" s="35" t="str">
        <f t="shared" si="48"/>
        <v/>
      </c>
      <c r="DW27" s="36" t="str">
        <f t="shared" si="49"/>
        <v/>
      </c>
      <c r="DX27" s="37"/>
      <c r="DY27" s="33"/>
      <c r="DZ27" s="34"/>
      <c r="EA27" s="35" t="str">
        <f t="shared" si="50"/>
        <v/>
      </c>
      <c r="EB27" s="36" t="str">
        <f t="shared" si="51"/>
        <v/>
      </c>
      <c r="EC27" s="37"/>
      <c r="ED27" s="33"/>
      <c r="EE27" s="34"/>
      <c r="EF27" s="35" t="str">
        <f t="shared" si="52"/>
        <v/>
      </c>
      <c r="EG27" s="36" t="str">
        <f t="shared" si="53"/>
        <v/>
      </c>
      <c r="EH27" s="37"/>
      <c r="EI27" s="33"/>
      <c r="EJ27" s="34"/>
      <c r="EK27" s="35" t="str">
        <f t="shared" si="54"/>
        <v/>
      </c>
      <c r="EL27" s="36" t="str">
        <f t="shared" si="55"/>
        <v/>
      </c>
      <c r="EM27" s="37"/>
      <c r="EN27" s="33"/>
      <c r="EO27" s="34"/>
      <c r="EP27" s="35" t="str">
        <f t="shared" si="56"/>
        <v/>
      </c>
      <c r="EQ27" s="36" t="str">
        <f t="shared" si="57"/>
        <v/>
      </c>
      <c r="ER27" s="37"/>
      <c r="ES27" s="33"/>
      <c r="ET27" s="34"/>
      <c r="EU27" s="35" t="str">
        <f t="shared" si="58"/>
        <v/>
      </c>
      <c r="EV27" s="36" t="str">
        <f t="shared" si="59"/>
        <v/>
      </c>
      <c r="EW27" s="37"/>
    </row>
    <row r="28" spans="1:153" ht="19.5" customHeight="1">
      <c r="A28" s="32">
        <f>IF(DAY(DATE(対象年度,5,25))&lt;&gt;25,"",25)</f>
        <v>25</v>
      </c>
      <c r="B28" s="32" t="str">
        <f>IF(DAY(DATE(対象年度,5,25))&lt;&gt;25,"",CHOOSE(WEEKDAY(DATE(対象年度,5,25),2),"月","火","水","木","金","土","日"))</f>
        <v>月</v>
      </c>
      <c r="C28" s="32" t="str">
        <f>IF(DAY(DATE(対象年度,5,25))&lt;&gt;25,"",IF(ISNUMBER(MATCH(DATE(対象年度,5,25),祝日リスト,0)),"祝",""))</f>
        <v/>
      </c>
      <c r="D28" s="33"/>
      <c r="E28" s="34"/>
      <c r="F28" s="35" t="str">
        <f t="shared" si="0"/>
        <v/>
      </c>
      <c r="G28" s="36" t="str">
        <f t="shared" si="1"/>
        <v/>
      </c>
      <c r="H28" s="37"/>
      <c r="I28" s="33"/>
      <c r="J28" s="34"/>
      <c r="K28" s="35" t="str">
        <f t="shared" si="2"/>
        <v/>
      </c>
      <c r="L28" s="36" t="str">
        <f t="shared" si="3"/>
        <v/>
      </c>
      <c r="M28" s="37"/>
      <c r="N28" s="33"/>
      <c r="O28" s="34"/>
      <c r="P28" s="35" t="str">
        <f t="shared" si="4"/>
        <v/>
      </c>
      <c r="Q28" s="36" t="str">
        <f t="shared" si="5"/>
        <v/>
      </c>
      <c r="R28" s="37"/>
      <c r="S28" s="33"/>
      <c r="T28" s="34"/>
      <c r="U28" s="35" t="str">
        <f t="shared" si="6"/>
        <v/>
      </c>
      <c r="V28" s="36" t="str">
        <f t="shared" si="7"/>
        <v/>
      </c>
      <c r="W28" s="37"/>
      <c r="X28" s="33"/>
      <c r="Y28" s="34"/>
      <c r="Z28" s="35" t="str">
        <f t="shared" si="8"/>
        <v/>
      </c>
      <c r="AA28" s="36" t="str">
        <f t="shared" si="9"/>
        <v/>
      </c>
      <c r="AB28" s="37"/>
      <c r="AC28" s="33"/>
      <c r="AD28" s="34"/>
      <c r="AE28" s="35" t="str">
        <f t="shared" si="10"/>
        <v/>
      </c>
      <c r="AF28" s="36" t="str">
        <f t="shared" si="11"/>
        <v/>
      </c>
      <c r="AG28" s="37"/>
      <c r="AH28" s="33"/>
      <c r="AI28" s="34"/>
      <c r="AJ28" s="35" t="str">
        <f t="shared" si="12"/>
        <v/>
      </c>
      <c r="AK28" s="36" t="str">
        <f t="shared" si="13"/>
        <v/>
      </c>
      <c r="AL28" s="37"/>
      <c r="AM28" s="33"/>
      <c r="AN28" s="34"/>
      <c r="AO28" s="35" t="str">
        <f t="shared" si="14"/>
        <v/>
      </c>
      <c r="AP28" s="36" t="str">
        <f t="shared" si="15"/>
        <v/>
      </c>
      <c r="AQ28" s="37"/>
      <c r="AR28" s="33"/>
      <c r="AS28" s="34"/>
      <c r="AT28" s="35" t="str">
        <f t="shared" si="16"/>
        <v/>
      </c>
      <c r="AU28" s="36" t="str">
        <f t="shared" si="17"/>
        <v/>
      </c>
      <c r="AV28" s="37"/>
      <c r="AW28" s="33"/>
      <c r="AX28" s="34"/>
      <c r="AY28" s="35" t="str">
        <f t="shared" si="18"/>
        <v/>
      </c>
      <c r="AZ28" s="36" t="str">
        <f t="shared" si="19"/>
        <v/>
      </c>
      <c r="BA28" s="37"/>
      <c r="BB28" s="33"/>
      <c r="BC28" s="34"/>
      <c r="BD28" s="35" t="str">
        <f t="shared" si="20"/>
        <v/>
      </c>
      <c r="BE28" s="36" t="str">
        <f t="shared" si="21"/>
        <v/>
      </c>
      <c r="BF28" s="37"/>
      <c r="BG28" s="33"/>
      <c r="BH28" s="34"/>
      <c r="BI28" s="35" t="str">
        <f t="shared" si="22"/>
        <v/>
      </c>
      <c r="BJ28" s="36" t="str">
        <f t="shared" si="23"/>
        <v/>
      </c>
      <c r="BK28" s="37"/>
      <c r="BL28" s="33"/>
      <c r="BM28" s="34"/>
      <c r="BN28" s="35" t="str">
        <f t="shared" si="24"/>
        <v/>
      </c>
      <c r="BO28" s="36" t="str">
        <f t="shared" si="25"/>
        <v/>
      </c>
      <c r="BP28" s="37"/>
      <c r="BQ28" s="33"/>
      <c r="BR28" s="34"/>
      <c r="BS28" s="35" t="str">
        <f t="shared" si="26"/>
        <v/>
      </c>
      <c r="BT28" s="36" t="str">
        <f t="shared" si="27"/>
        <v/>
      </c>
      <c r="BU28" s="37"/>
      <c r="BV28" s="33"/>
      <c r="BW28" s="34"/>
      <c r="BX28" s="35" t="str">
        <f t="shared" si="28"/>
        <v/>
      </c>
      <c r="BY28" s="36" t="str">
        <f t="shared" si="29"/>
        <v/>
      </c>
      <c r="BZ28" s="37"/>
      <c r="CA28" s="33"/>
      <c r="CB28" s="34"/>
      <c r="CC28" s="35" t="str">
        <f t="shared" si="30"/>
        <v/>
      </c>
      <c r="CD28" s="36" t="str">
        <f t="shared" si="31"/>
        <v/>
      </c>
      <c r="CE28" s="37"/>
      <c r="CF28" s="33"/>
      <c r="CG28" s="34"/>
      <c r="CH28" s="35" t="str">
        <f t="shared" si="32"/>
        <v/>
      </c>
      <c r="CI28" s="36" t="str">
        <f t="shared" si="33"/>
        <v/>
      </c>
      <c r="CJ28" s="37"/>
      <c r="CK28" s="33"/>
      <c r="CL28" s="34"/>
      <c r="CM28" s="35" t="str">
        <f t="shared" si="34"/>
        <v/>
      </c>
      <c r="CN28" s="36" t="str">
        <f t="shared" si="35"/>
        <v/>
      </c>
      <c r="CO28" s="37"/>
      <c r="CP28" s="33"/>
      <c r="CQ28" s="34"/>
      <c r="CR28" s="35" t="str">
        <f t="shared" si="36"/>
        <v/>
      </c>
      <c r="CS28" s="36" t="str">
        <f t="shared" si="37"/>
        <v/>
      </c>
      <c r="CT28" s="37"/>
      <c r="CU28" s="33"/>
      <c r="CV28" s="34"/>
      <c r="CW28" s="35" t="str">
        <f t="shared" si="38"/>
        <v/>
      </c>
      <c r="CX28" s="36" t="str">
        <f t="shared" si="39"/>
        <v/>
      </c>
      <c r="CY28" s="37"/>
      <c r="CZ28" s="33"/>
      <c r="DA28" s="34"/>
      <c r="DB28" s="35" t="str">
        <f t="shared" si="40"/>
        <v/>
      </c>
      <c r="DC28" s="36" t="str">
        <f t="shared" si="41"/>
        <v/>
      </c>
      <c r="DD28" s="37"/>
      <c r="DE28" s="33"/>
      <c r="DF28" s="34"/>
      <c r="DG28" s="35" t="str">
        <f t="shared" si="42"/>
        <v/>
      </c>
      <c r="DH28" s="36" t="str">
        <f t="shared" si="43"/>
        <v/>
      </c>
      <c r="DI28" s="37"/>
      <c r="DJ28" s="33"/>
      <c r="DK28" s="34"/>
      <c r="DL28" s="35" t="str">
        <f t="shared" si="44"/>
        <v/>
      </c>
      <c r="DM28" s="36" t="str">
        <f t="shared" si="45"/>
        <v/>
      </c>
      <c r="DN28" s="37"/>
      <c r="DO28" s="33"/>
      <c r="DP28" s="34"/>
      <c r="DQ28" s="35" t="str">
        <f t="shared" si="46"/>
        <v/>
      </c>
      <c r="DR28" s="36" t="str">
        <f t="shared" si="47"/>
        <v/>
      </c>
      <c r="DS28" s="37"/>
      <c r="DT28" s="33"/>
      <c r="DU28" s="34"/>
      <c r="DV28" s="35" t="str">
        <f t="shared" si="48"/>
        <v/>
      </c>
      <c r="DW28" s="36" t="str">
        <f t="shared" si="49"/>
        <v/>
      </c>
      <c r="DX28" s="37"/>
      <c r="DY28" s="33"/>
      <c r="DZ28" s="34"/>
      <c r="EA28" s="35" t="str">
        <f t="shared" si="50"/>
        <v/>
      </c>
      <c r="EB28" s="36" t="str">
        <f t="shared" si="51"/>
        <v/>
      </c>
      <c r="EC28" s="37"/>
      <c r="ED28" s="33"/>
      <c r="EE28" s="34"/>
      <c r="EF28" s="35" t="str">
        <f t="shared" si="52"/>
        <v/>
      </c>
      <c r="EG28" s="36" t="str">
        <f t="shared" si="53"/>
        <v/>
      </c>
      <c r="EH28" s="37"/>
      <c r="EI28" s="33"/>
      <c r="EJ28" s="34"/>
      <c r="EK28" s="35" t="str">
        <f t="shared" si="54"/>
        <v/>
      </c>
      <c r="EL28" s="36" t="str">
        <f t="shared" si="55"/>
        <v/>
      </c>
      <c r="EM28" s="37"/>
      <c r="EN28" s="33"/>
      <c r="EO28" s="34"/>
      <c r="EP28" s="35" t="str">
        <f t="shared" si="56"/>
        <v/>
      </c>
      <c r="EQ28" s="36" t="str">
        <f t="shared" si="57"/>
        <v/>
      </c>
      <c r="ER28" s="37"/>
      <c r="ES28" s="33"/>
      <c r="ET28" s="34"/>
      <c r="EU28" s="35" t="str">
        <f t="shared" si="58"/>
        <v/>
      </c>
      <c r="EV28" s="36" t="str">
        <f t="shared" si="59"/>
        <v/>
      </c>
      <c r="EW28" s="37"/>
    </row>
    <row r="29" spans="1:153" ht="19.5" customHeight="1">
      <c r="A29" s="32">
        <f>IF(DAY(DATE(対象年度,5,26))&lt;&gt;26,"",26)</f>
        <v>26</v>
      </c>
      <c r="B29" s="32" t="str">
        <f>IF(DAY(DATE(対象年度,5,26))&lt;&gt;26,"",CHOOSE(WEEKDAY(DATE(対象年度,5,26),2),"月","火","水","木","金","土","日"))</f>
        <v>火</v>
      </c>
      <c r="C29" s="32" t="str">
        <f>IF(DAY(DATE(対象年度,5,26))&lt;&gt;26,"",IF(ISNUMBER(MATCH(DATE(対象年度,5,26),祝日リスト,0)),"祝",""))</f>
        <v/>
      </c>
      <c r="D29" s="33"/>
      <c r="E29" s="34"/>
      <c r="F29" s="35" t="str">
        <f t="shared" si="0"/>
        <v/>
      </c>
      <c r="G29" s="36" t="str">
        <f t="shared" si="1"/>
        <v/>
      </c>
      <c r="H29" s="37"/>
      <c r="I29" s="33"/>
      <c r="J29" s="34"/>
      <c r="K29" s="35" t="str">
        <f t="shared" si="2"/>
        <v/>
      </c>
      <c r="L29" s="36" t="str">
        <f t="shared" si="3"/>
        <v/>
      </c>
      <c r="M29" s="37"/>
      <c r="N29" s="33"/>
      <c r="O29" s="34"/>
      <c r="P29" s="35" t="str">
        <f t="shared" si="4"/>
        <v/>
      </c>
      <c r="Q29" s="36" t="str">
        <f t="shared" si="5"/>
        <v/>
      </c>
      <c r="R29" s="37"/>
      <c r="S29" s="33"/>
      <c r="T29" s="34"/>
      <c r="U29" s="35" t="str">
        <f t="shared" si="6"/>
        <v/>
      </c>
      <c r="V29" s="36" t="str">
        <f t="shared" si="7"/>
        <v/>
      </c>
      <c r="W29" s="37"/>
      <c r="X29" s="33"/>
      <c r="Y29" s="34"/>
      <c r="Z29" s="35" t="str">
        <f t="shared" si="8"/>
        <v/>
      </c>
      <c r="AA29" s="36" t="str">
        <f t="shared" si="9"/>
        <v/>
      </c>
      <c r="AB29" s="37"/>
      <c r="AC29" s="33"/>
      <c r="AD29" s="34"/>
      <c r="AE29" s="35" t="str">
        <f t="shared" si="10"/>
        <v/>
      </c>
      <c r="AF29" s="36" t="str">
        <f t="shared" si="11"/>
        <v/>
      </c>
      <c r="AG29" s="37"/>
      <c r="AH29" s="33"/>
      <c r="AI29" s="34"/>
      <c r="AJ29" s="35" t="str">
        <f t="shared" si="12"/>
        <v/>
      </c>
      <c r="AK29" s="36" t="str">
        <f t="shared" si="13"/>
        <v/>
      </c>
      <c r="AL29" s="37"/>
      <c r="AM29" s="33"/>
      <c r="AN29" s="34"/>
      <c r="AO29" s="35" t="str">
        <f t="shared" si="14"/>
        <v/>
      </c>
      <c r="AP29" s="36" t="str">
        <f t="shared" si="15"/>
        <v/>
      </c>
      <c r="AQ29" s="37"/>
      <c r="AR29" s="33"/>
      <c r="AS29" s="34"/>
      <c r="AT29" s="35" t="str">
        <f t="shared" si="16"/>
        <v/>
      </c>
      <c r="AU29" s="36" t="str">
        <f t="shared" si="17"/>
        <v/>
      </c>
      <c r="AV29" s="37"/>
      <c r="AW29" s="33"/>
      <c r="AX29" s="34"/>
      <c r="AY29" s="35" t="str">
        <f t="shared" si="18"/>
        <v/>
      </c>
      <c r="AZ29" s="36" t="str">
        <f t="shared" si="19"/>
        <v/>
      </c>
      <c r="BA29" s="37"/>
      <c r="BB29" s="33"/>
      <c r="BC29" s="34"/>
      <c r="BD29" s="35" t="str">
        <f t="shared" si="20"/>
        <v/>
      </c>
      <c r="BE29" s="36" t="str">
        <f t="shared" si="21"/>
        <v/>
      </c>
      <c r="BF29" s="37"/>
      <c r="BG29" s="33"/>
      <c r="BH29" s="34"/>
      <c r="BI29" s="35" t="str">
        <f t="shared" si="22"/>
        <v/>
      </c>
      <c r="BJ29" s="36" t="str">
        <f t="shared" si="23"/>
        <v/>
      </c>
      <c r="BK29" s="37"/>
      <c r="BL29" s="33"/>
      <c r="BM29" s="34"/>
      <c r="BN29" s="35" t="str">
        <f t="shared" si="24"/>
        <v/>
      </c>
      <c r="BO29" s="36" t="str">
        <f t="shared" si="25"/>
        <v/>
      </c>
      <c r="BP29" s="37"/>
      <c r="BQ29" s="33"/>
      <c r="BR29" s="34"/>
      <c r="BS29" s="35" t="str">
        <f t="shared" si="26"/>
        <v/>
      </c>
      <c r="BT29" s="36" t="str">
        <f t="shared" si="27"/>
        <v/>
      </c>
      <c r="BU29" s="37"/>
      <c r="BV29" s="33"/>
      <c r="BW29" s="34"/>
      <c r="BX29" s="35" t="str">
        <f t="shared" si="28"/>
        <v/>
      </c>
      <c r="BY29" s="36" t="str">
        <f t="shared" si="29"/>
        <v/>
      </c>
      <c r="BZ29" s="37"/>
      <c r="CA29" s="33"/>
      <c r="CB29" s="34"/>
      <c r="CC29" s="35" t="str">
        <f t="shared" si="30"/>
        <v/>
      </c>
      <c r="CD29" s="36" t="str">
        <f t="shared" si="31"/>
        <v/>
      </c>
      <c r="CE29" s="37"/>
      <c r="CF29" s="33"/>
      <c r="CG29" s="34"/>
      <c r="CH29" s="35" t="str">
        <f t="shared" si="32"/>
        <v/>
      </c>
      <c r="CI29" s="36" t="str">
        <f t="shared" si="33"/>
        <v/>
      </c>
      <c r="CJ29" s="37"/>
      <c r="CK29" s="33"/>
      <c r="CL29" s="34"/>
      <c r="CM29" s="35" t="str">
        <f t="shared" si="34"/>
        <v/>
      </c>
      <c r="CN29" s="36" t="str">
        <f t="shared" si="35"/>
        <v/>
      </c>
      <c r="CO29" s="37"/>
      <c r="CP29" s="33"/>
      <c r="CQ29" s="34"/>
      <c r="CR29" s="35" t="str">
        <f t="shared" si="36"/>
        <v/>
      </c>
      <c r="CS29" s="36" t="str">
        <f t="shared" si="37"/>
        <v/>
      </c>
      <c r="CT29" s="37"/>
      <c r="CU29" s="33"/>
      <c r="CV29" s="34"/>
      <c r="CW29" s="35" t="str">
        <f t="shared" si="38"/>
        <v/>
      </c>
      <c r="CX29" s="36" t="str">
        <f t="shared" si="39"/>
        <v/>
      </c>
      <c r="CY29" s="37"/>
      <c r="CZ29" s="33"/>
      <c r="DA29" s="34"/>
      <c r="DB29" s="35" t="str">
        <f t="shared" si="40"/>
        <v/>
      </c>
      <c r="DC29" s="36" t="str">
        <f t="shared" si="41"/>
        <v/>
      </c>
      <c r="DD29" s="37"/>
      <c r="DE29" s="33"/>
      <c r="DF29" s="34"/>
      <c r="DG29" s="35" t="str">
        <f t="shared" si="42"/>
        <v/>
      </c>
      <c r="DH29" s="36" t="str">
        <f t="shared" si="43"/>
        <v/>
      </c>
      <c r="DI29" s="37"/>
      <c r="DJ29" s="33"/>
      <c r="DK29" s="34"/>
      <c r="DL29" s="35" t="str">
        <f t="shared" si="44"/>
        <v/>
      </c>
      <c r="DM29" s="36" t="str">
        <f t="shared" si="45"/>
        <v/>
      </c>
      <c r="DN29" s="37"/>
      <c r="DO29" s="33"/>
      <c r="DP29" s="34"/>
      <c r="DQ29" s="35" t="str">
        <f t="shared" si="46"/>
        <v/>
      </c>
      <c r="DR29" s="36" t="str">
        <f t="shared" si="47"/>
        <v/>
      </c>
      <c r="DS29" s="37"/>
      <c r="DT29" s="33"/>
      <c r="DU29" s="34"/>
      <c r="DV29" s="35" t="str">
        <f t="shared" si="48"/>
        <v/>
      </c>
      <c r="DW29" s="36" t="str">
        <f t="shared" si="49"/>
        <v/>
      </c>
      <c r="DX29" s="37"/>
      <c r="DY29" s="33"/>
      <c r="DZ29" s="34"/>
      <c r="EA29" s="35" t="str">
        <f t="shared" si="50"/>
        <v/>
      </c>
      <c r="EB29" s="36" t="str">
        <f t="shared" si="51"/>
        <v/>
      </c>
      <c r="EC29" s="37"/>
      <c r="ED29" s="33"/>
      <c r="EE29" s="34"/>
      <c r="EF29" s="35" t="str">
        <f t="shared" si="52"/>
        <v/>
      </c>
      <c r="EG29" s="36" t="str">
        <f t="shared" si="53"/>
        <v/>
      </c>
      <c r="EH29" s="37"/>
      <c r="EI29" s="33"/>
      <c r="EJ29" s="34"/>
      <c r="EK29" s="35" t="str">
        <f t="shared" si="54"/>
        <v/>
      </c>
      <c r="EL29" s="36" t="str">
        <f t="shared" si="55"/>
        <v/>
      </c>
      <c r="EM29" s="37"/>
      <c r="EN29" s="33"/>
      <c r="EO29" s="34"/>
      <c r="EP29" s="35" t="str">
        <f t="shared" si="56"/>
        <v/>
      </c>
      <c r="EQ29" s="36" t="str">
        <f t="shared" si="57"/>
        <v/>
      </c>
      <c r="ER29" s="37"/>
      <c r="ES29" s="33"/>
      <c r="ET29" s="34"/>
      <c r="EU29" s="35" t="str">
        <f t="shared" si="58"/>
        <v/>
      </c>
      <c r="EV29" s="36" t="str">
        <f t="shared" si="59"/>
        <v/>
      </c>
      <c r="EW29" s="37"/>
    </row>
    <row r="30" spans="1:153" ht="19.5" customHeight="1">
      <c r="A30" s="32">
        <f>IF(DAY(DATE(対象年度,5,27))&lt;&gt;27,"",27)</f>
        <v>27</v>
      </c>
      <c r="B30" s="32" t="str">
        <f>IF(DAY(DATE(対象年度,5,27))&lt;&gt;27,"",CHOOSE(WEEKDAY(DATE(対象年度,5,27),2),"月","火","水","木","金","土","日"))</f>
        <v>水</v>
      </c>
      <c r="C30" s="32" t="str">
        <f>IF(DAY(DATE(対象年度,5,27))&lt;&gt;27,"",IF(ISNUMBER(MATCH(DATE(対象年度,5,27),祝日リスト,0)),"祝",""))</f>
        <v/>
      </c>
      <c r="D30" s="33"/>
      <c r="E30" s="34"/>
      <c r="F30" s="35" t="str">
        <f t="shared" si="0"/>
        <v/>
      </c>
      <c r="G30" s="36" t="str">
        <f t="shared" si="1"/>
        <v/>
      </c>
      <c r="H30" s="37"/>
      <c r="I30" s="33"/>
      <c r="J30" s="34"/>
      <c r="K30" s="35" t="str">
        <f t="shared" si="2"/>
        <v/>
      </c>
      <c r="L30" s="36" t="str">
        <f t="shared" si="3"/>
        <v/>
      </c>
      <c r="M30" s="37"/>
      <c r="N30" s="33"/>
      <c r="O30" s="34"/>
      <c r="P30" s="35" t="str">
        <f t="shared" si="4"/>
        <v/>
      </c>
      <c r="Q30" s="36" t="str">
        <f t="shared" si="5"/>
        <v/>
      </c>
      <c r="R30" s="37"/>
      <c r="S30" s="33"/>
      <c r="T30" s="34"/>
      <c r="U30" s="35" t="str">
        <f t="shared" si="6"/>
        <v/>
      </c>
      <c r="V30" s="36" t="str">
        <f t="shared" si="7"/>
        <v/>
      </c>
      <c r="W30" s="37"/>
      <c r="X30" s="33"/>
      <c r="Y30" s="34"/>
      <c r="Z30" s="35" t="str">
        <f t="shared" si="8"/>
        <v/>
      </c>
      <c r="AA30" s="36" t="str">
        <f t="shared" si="9"/>
        <v/>
      </c>
      <c r="AB30" s="37"/>
      <c r="AC30" s="33"/>
      <c r="AD30" s="34"/>
      <c r="AE30" s="35" t="str">
        <f t="shared" si="10"/>
        <v/>
      </c>
      <c r="AF30" s="36" t="str">
        <f t="shared" si="11"/>
        <v/>
      </c>
      <c r="AG30" s="37"/>
      <c r="AH30" s="33"/>
      <c r="AI30" s="34"/>
      <c r="AJ30" s="35" t="str">
        <f t="shared" si="12"/>
        <v/>
      </c>
      <c r="AK30" s="36" t="str">
        <f t="shared" si="13"/>
        <v/>
      </c>
      <c r="AL30" s="37"/>
      <c r="AM30" s="33"/>
      <c r="AN30" s="34"/>
      <c r="AO30" s="35" t="str">
        <f t="shared" si="14"/>
        <v/>
      </c>
      <c r="AP30" s="36" t="str">
        <f t="shared" si="15"/>
        <v/>
      </c>
      <c r="AQ30" s="37"/>
      <c r="AR30" s="33"/>
      <c r="AS30" s="34"/>
      <c r="AT30" s="35" t="str">
        <f t="shared" si="16"/>
        <v/>
      </c>
      <c r="AU30" s="36" t="str">
        <f t="shared" si="17"/>
        <v/>
      </c>
      <c r="AV30" s="37"/>
      <c r="AW30" s="33"/>
      <c r="AX30" s="34"/>
      <c r="AY30" s="35" t="str">
        <f t="shared" si="18"/>
        <v/>
      </c>
      <c r="AZ30" s="36" t="str">
        <f t="shared" si="19"/>
        <v/>
      </c>
      <c r="BA30" s="37"/>
      <c r="BB30" s="33"/>
      <c r="BC30" s="34"/>
      <c r="BD30" s="35" t="str">
        <f t="shared" si="20"/>
        <v/>
      </c>
      <c r="BE30" s="36" t="str">
        <f t="shared" si="21"/>
        <v/>
      </c>
      <c r="BF30" s="37"/>
      <c r="BG30" s="33"/>
      <c r="BH30" s="34"/>
      <c r="BI30" s="35" t="str">
        <f t="shared" si="22"/>
        <v/>
      </c>
      <c r="BJ30" s="36" t="str">
        <f t="shared" si="23"/>
        <v/>
      </c>
      <c r="BK30" s="37"/>
      <c r="BL30" s="33"/>
      <c r="BM30" s="34"/>
      <c r="BN30" s="35" t="str">
        <f t="shared" si="24"/>
        <v/>
      </c>
      <c r="BO30" s="36" t="str">
        <f t="shared" si="25"/>
        <v/>
      </c>
      <c r="BP30" s="37"/>
      <c r="BQ30" s="33"/>
      <c r="BR30" s="34"/>
      <c r="BS30" s="35" t="str">
        <f t="shared" si="26"/>
        <v/>
      </c>
      <c r="BT30" s="36" t="str">
        <f t="shared" si="27"/>
        <v/>
      </c>
      <c r="BU30" s="37"/>
      <c r="BV30" s="33"/>
      <c r="BW30" s="34"/>
      <c r="BX30" s="35" t="str">
        <f t="shared" si="28"/>
        <v/>
      </c>
      <c r="BY30" s="36" t="str">
        <f t="shared" si="29"/>
        <v/>
      </c>
      <c r="BZ30" s="37"/>
      <c r="CA30" s="33"/>
      <c r="CB30" s="34"/>
      <c r="CC30" s="35" t="str">
        <f t="shared" si="30"/>
        <v/>
      </c>
      <c r="CD30" s="36" t="str">
        <f t="shared" si="31"/>
        <v/>
      </c>
      <c r="CE30" s="37"/>
      <c r="CF30" s="33"/>
      <c r="CG30" s="34"/>
      <c r="CH30" s="35" t="str">
        <f t="shared" si="32"/>
        <v/>
      </c>
      <c r="CI30" s="36" t="str">
        <f t="shared" si="33"/>
        <v/>
      </c>
      <c r="CJ30" s="37"/>
      <c r="CK30" s="33"/>
      <c r="CL30" s="34"/>
      <c r="CM30" s="35" t="str">
        <f t="shared" si="34"/>
        <v/>
      </c>
      <c r="CN30" s="36" t="str">
        <f t="shared" si="35"/>
        <v/>
      </c>
      <c r="CO30" s="37"/>
      <c r="CP30" s="33"/>
      <c r="CQ30" s="34"/>
      <c r="CR30" s="35" t="str">
        <f t="shared" si="36"/>
        <v/>
      </c>
      <c r="CS30" s="36" t="str">
        <f t="shared" si="37"/>
        <v/>
      </c>
      <c r="CT30" s="37"/>
      <c r="CU30" s="33"/>
      <c r="CV30" s="34"/>
      <c r="CW30" s="35" t="str">
        <f t="shared" si="38"/>
        <v/>
      </c>
      <c r="CX30" s="36" t="str">
        <f t="shared" si="39"/>
        <v/>
      </c>
      <c r="CY30" s="37"/>
      <c r="CZ30" s="33"/>
      <c r="DA30" s="34"/>
      <c r="DB30" s="35" t="str">
        <f t="shared" si="40"/>
        <v/>
      </c>
      <c r="DC30" s="36" t="str">
        <f t="shared" si="41"/>
        <v/>
      </c>
      <c r="DD30" s="37"/>
      <c r="DE30" s="33"/>
      <c r="DF30" s="34"/>
      <c r="DG30" s="35" t="str">
        <f t="shared" si="42"/>
        <v/>
      </c>
      <c r="DH30" s="36" t="str">
        <f t="shared" si="43"/>
        <v/>
      </c>
      <c r="DI30" s="37"/>
      <c r="DJ30" s="33"/>
      <c r="DK30" s="34"/>
      <c r="DL30" s="35" t="str">
        <f t="shared" si="44"/>
        <v/>
      </c>
      <c r="DM30" s="36" t="str">
        <f t="shared" si="45"/>
        <v/>
      </c>
      <c r="DN30" s="37"/>
      <c r="DO30" s="33"/>
      <c r="DP30" s="34"/>
      <c r="DQ30" s="35" t="str">
        <f t="shared" si="46"/>
        <v/>
      </c>
      <c r="DR30" s="36" t="str">
        <f t="shared" si="47"/>
        <v/>
      </c>
      <c r="DS30" s="37"/>
      <c r="DT30" s="33"/>
      <c r="DU30" s="34"/>
      <c r="DV30" s="35" t="str">
        <f t="shared" si="48"/>
        <v/>
      </c>
      <c r="DW30" s="36" t="str">
        <f t="shared" si="49"/>
        <v/>
      </c>
      <c r="DX30" s="37"/>
      <c r="DY30" s="33"/>
      <c r="DZ30" s="34"/>
      <c r="EA30" s="35" t="str">
        <f t="shared" si="50"/>
        <v/>
      </c>
      <c r="EB30" s="36" t="str">
        <f t="shared" si="51"/>
        <v/>
      </c>
      <c r="EC30" s="37"/>
      <c r="ED30" s="33"/>
      <c r="EE30" s="34"/>
      <c r="EF30" s="35" t="str">
        <f t="shared" si="52"/>
        <v/>
      </c>
      <c r="EG30" s="36" t="str">
        <f t="shared" si="53"/>
        <v/>
      </c>
      <c r="EH30" s="37"/>
      <c r="EI30" s="33"/>
      <c r="EJ30" s="34"/>
      <c r="EK30" s="35" t="str">
        <f t="shared" si="54"/>
        <v/>
      </c>
      <c r="EL30" s="36" t="str">
        <f t="shared" si="55"/>
        <v/>
      </c>
      <c r="EM30" s="37"/>
      <c r="EN30" s="33"/>
      <c r="EO30" s="34"/>
      <c r="EP30" s="35" t="str">
        <f t="shared" si="56"/>
        <v/>
      </c>
      <c r="EQ30" s="36" t="str">
        <f t="shared" si="57"/>
        <v/>
      </c>
      <c r="ER30" s="37"/>
      <c r="ES30" s="33"/>
      <c r="ET30" s="34"/>
      <c r="EU30" s="35" t="str">
        <f t="shared" si="58"/>
        <v/>
      </c>
      <c r="EV30" s="36" t="str">
        <f t="shared" si="59"/>
        <v/>
      </c>
      <c r="EW30" s="37"/>
    </row>
    <row r="31" spans="1:153" ht="19.5" customHeight="1">
      <c r="A31" s="32">
        <f>IF(DAY(DATE(対象年度,5,28))&lt;&gt;28,"",28)</f>
        <v>28</v>
      </c>
      <c r="B31" s="32" t="str">
        <f>IF(DAY(DATE(対象年度,5,28))&lt;&gt;28,"",CHOOSE(WEEKDAY(DATE(対象年度,5,28),2),"月","火","水","木","金","土","日"))</f>
        <v>木</v>
      </c>
      <c r="C31" s="32" t="str">
        <f>IF(DAY(DATE(対象年度,5,28))&lt;&gt;28,"",IF(ISNUMBER(MATCH(DATE(対象年度,5,28),祝日リスト,0)),"祝",""))</f>
        <v/>
      </c>
      <c r="D31" s="33"/>
      <c r="E31" s="34"/>
      <c r="F31" s="35" t="str">
        <f t="shared" si="0"/>
        <v/>
      </c>
      <c r="G31" s="36" t="str">
        <f t="shared" si="1"/>
        <v/>
      </c>
      <c r="H31" s="37"/>
      <c r="I31" s="33"/>
      <c r="J31" s="34"/>
      <c r="K31" s="35" t="str">
        <f t="shared" si="2"/>
        <v/>
      </c>
      <c r="L31" s="36" t="str">
        <f t="shared" si="3"/>
        <v/>
      </c>
      <c r="M31" s="37"/>
      <c r="N31" s="33"/>
      <c r="O31" s="34"/>
      <c r="P31" s="35" t="str">
        <f t="shared" si="4"/>
        <v/>
      </c>
      <c r="Q31" s="36" t="str">
        <f t="shared" si="5"/>
        <v/>
      </c>
      <c r="R31" s="37"/>
      <c r="S31" s="33"/>
      <c r="T31" s="34"/>
      <c r="U31" s="35" t="str">
        <f t="shared" si="6"/>
        <v/>
      </c>
      <c r="V31" s="36" t="str">
        <f t="shared" si="7"/>
        <v/>
      </c>
      <c r="W31" s="37"/>
      <c r="X31" s="33"/>
      <c r="Y31" s="34"/>
      <c r="Z31" s="35" t="str">
        <f t="shared" si="8"/>
        <v/>
      </c>
      <c r="AA31" s="36" t="str">
        <f t="shared" si="9"/>
        <v/>
      </c>
      <c r="AB31" s="37"/>
      <c r="AC31" s="33"/>
      <c r="AD31" s="34"/>
      <c r="AE31" s="35" t="str">
        <f t="shared" si="10"/>
        <v/>
      </c>
      <c r="AF31" s="36" t="str">
        <f t="shared" si="11"/>
        <v/>
      </c>
      <c r="AG31" s="37"/>
      <c r="AH31" s="33"/>
      <c r="AI31" s="34"/>
      <c r="AJ31" s="35" t="str">
        <f t="shared" si="12"/>
        <v/>
      </c>
      <c r="AK31" s="36" t="str">
        <f t="shared" si="13"/>
        <v/>
      </c>
      <c r="AL31" s="37"/>
      <c r="AM31" s="33"/>
      <c r="AN31" s="34"/>
      <c r="AO31" s="35" t="str">
        <f t="shared" si="14"/>
        <v/>
      </c>
      <c r="AP31" s="36" t="str">
        <f t="shared" si="15"/>
        <v/>
      </c>
      <c r="AQ31" s="37"/>
      <c r="AR31" s="33"/>
      <c r="AS31" s="34"/>
      <c r="AT31" s="35" t="str">
        <f t="shared" si="16"/>
        <v/>
      </c>
      <c r="AU31" s="36" t="str">
        <f t="shared" si="17"/>
        <v/>
      </c>
      <c r="AV31" s="37"/>
      <c r="AW31" s="33"/>
      <c r="AX31" s="34"/>
      <c r="AY31" s="35" t="str">
        <f t="shared" si="18"/>
        <v/>
      </c>
      <c r="AZ31" s="36" t="str">
        <f t="shared" si="19"/>
        <v/>
      </c>
      <c r="BA31" s="37"/>
      <c r="BB31" s="33"/>
      <c r="BC31" s="34"/>
      <c r="BD31" s="35" t="str">
        <f t="shared" si="20"/>
        <v/>
      </c>
      <c r="BE31" s="36" t="str">
        <f t="shared" si="21"/>
        <v/>
      </c>
      <c r="BF31" s="37"/>
      <c r="BG31" s="33"/>
      <c r="BH31" s="34"/>
      <c r="BI31" s="35" t="str">
        <f t="shared" si="22"/>
        <v/>
      </c>
      <c r="BJ31" s="36" t="str">
        <f t="shared" si="23"/>
        <v/>
      </c>
      <c r="BK31" s="37"/>
      <c r="BL31" s="33"/>
      <c r="BM31" s="34"/>
      <c r="BN31" s="35" t="str">
        <f t="shared" si="24"/>
        <v/>
      </c>
      <c r="BO31" s="36" t="str">
        <f t="shared" si="25"/>
        <v/>
      </c>
      <c r="BP31" s="37"/>
      <c r="BQ31" s="33"/>
      <c r="BR31" s="34"/>
      <c r="BS31" s="35" t="str">
        <f t="shared" si="26"/>
        <v/>
      </c>
      <c r="BT31" s="36" t="str">
        <f t="shared" si="27"/>
        <v/>
      </c>
      <c r="BU31" s="37"/>
      <c r="BV31" s="33"/>
      <c r="BW31" s="34"/>
      <c r="BX31" s="35" t="str">
        <f t="shared" si="28"/>
        <v/>
      </c>
      <c r="BY31" s="36" t="str">
        <f t="shared" si="29"/>
        <v/>
      </c>
      <c r="BZ31" s="37"/>
      <c r="CA31" s="33"/>
      <c r="CB31" s="34"/>
      <c r="CC31" s="35" t="str">
        <f t="shared" si="30"/>
        <v/>
      </c>
      <c r="CD31" s="36" t="str">
        <f t="shared" si="31"/>
        <v/>
      </c>
      <c r="CE31" s="37"/>
      <c r="CF31" s="33"/>
      <c r="CG31" s="34"/>
      <c r="CH31" s="35" t="str">
        <f t="shared" si="32"/>
        <v/>
      </c>
      <c r="CI31" s="36" t="str">
        <f t="shared" si="33"/>
        <v/>
      </c>
      <c r="CJ31" s="37"/>
      <c r="CK31" s="33"/>
      <c r="CL31" s="34"/>
      <c r="CM31" s="35" t="str">
        <f t="shared" si="34"/>
        <v/>
      </c>
      <c r="CN31" s="36" t="str">
        <f t="shared" si="35"/>
        <v/>
      </c>
      <c r="CO31" s="37"/>
      <c r="CP31" s="33"/>
      <c r="CQ31" s="34"/>
      <c r="CR31" s="35" t="str">
        <f t="shared" si="36"/>
        <v/>
      </c>
      <c r="CS31" s="36" t="str">
        <f t="shared" si="37"/>
        <v/>
      </c>
      <c r="CT31" s="37"/>
      <c r="CU31" s="33"/>
      <c r="CV31" s="34"/>
      <c r="CW31" s="35" t="str">
        <f t="shared" si="38"/>
        <v/>
      </c>
      <c r="CX31" s="36" t="str">
        <f t="shared" si="39"/>
        <v/>
      </c>
      <c r="CY31" s="37"/>
      <c r="CZ31" s="33"/>
      <c r="DA31" s="34"/>
      <c r="DB31" s="35" t="str">
        <f t="shared" si="40"/>
        <v/>
      </c>
      <c r="DC31" s="36" t="str">
        <f t="shared" si="41"/>
        <v/>
      </c>
      <c r="DD31" s="37"/>
      <c r="DE31" s="33"/>
      <c r="DF31" s="34"/>
      <c r="DG31" s="35" t="str">
        <f t="shared" si="42"/>
        <v/>
      </c>
      <c r="DH31" s="36" t="str">
        <f t="shared" si="43"/>
        <v/>
      </c>
      <c r="DI31" s="37"/>
      <c r="DJ31" s="33"/>
      <c r="DK31" s="34"/>
      <c r="DL31" s="35" t="str">
        <f t="shared" si="44"/>
        <v/>
      </c>
      <c r="DM31" s="36" t="str">
        <f t="shared" si="45"/>
        <v/>
      </c>
      <c r="DN31" s="37"/>
      <c r="DO31" s="33"/>
      <c r="DP31" s="34"/>
      <c r="DQ31" s="35" t="str">
        <f t="shared" si="46"/>
        <v/>
      </c>
      <c r="DR31" s="36" t="str">
        <f t="shared" si="47"/>
        <v/>
      </c>
      <c r="DS31" s="37"/>
      <c r="DT31" s="33"/>
      <c r="DU31" s="34"/>
      <c r="DV31" s="35" t="str">
        <f t="shared" si="48"/>
        <v/>
      </c>
      <c r="DW31" s="36" t="str">
        <f t="shared" si="49"/>
        <v/>
      </c>
      <c r="DX31" s="37"/>
      <c r="DY31" s="33"/>
      <c r="DZ31" s="34"/>
      <c r="EA31" s="35" t="str">
        <f t="shared" si="50"/>
        <v/>
      </c>
      <c r="EB31" s="36" t="str">
        <f t="shared" si="51"/>
        <v/>
      </c>
      <c r="EC31" s="37"/>
      <c r="ED31" s="33"/>
      <c r="EE31" s="34"/>
      <c r="EF31" s="35" t="str">
        <f t="shared" si="52"/>
        <v/>
      </c>
      <c r="EG31" s="36" t="str">
        <f t="shared" si="53"/>
        <v/>
      </c>
      <c r="EH31" s="37"/>
      <c r="EI31" s="33"/>
      <c r="EJ31" s="34"/>
      <c r="EK31" s="35" t="str">
        <f t="shared" si="54"/>
        <v/>
      </c>
      <c r="EL31" s="36" t="str">
        <f t="shared" si="55"/>
        <v/>
      </c>
      <c r="EM31" s="37"/>
      <c r="EN31" s="33"/>
      <c r="EO31" s="34"/>
      <c r="EP31" s="35" t="str">
        <f t="shared" si="56"/>
        <v/>
      </c>
      <c r="EQ31" s="36" t="str">
        <f t="shared" si="57"/>
        <v/>
      </c>
      <c r="ER31" s="37"/>
      <c r="ES31" s="33"/>
      <c r="ET31" s="34"/>
      <c r="EU31" s="35" t="str">
        <f t="shared" si="58"/>
        <v/>
      </c>
      <c r="EV31" s="36" t="str">
        <f t="shared" si="59"/>
        <v/>
      </c>
      <c r="EW31" s="37"/>
    </row>
    <row r="32" spans="1:153" ht="19.5" customHeight="1">
      <c r="A32" s="32">
        <f>IF(DAY(DATE(対象年度,5,29))&lt;&gt;29,"",29)</f>
        <v>29</v>
      </c>
      <c r="B32" s="32" t="str">
        <f>IF(DAY(DATE(対象年度,5,29))&lt;&gt;29,"",CHOOSE(WEEKDAY(DATE(対象年度,5,29),2),"月","火","水","木","金","土","日"))</f>
        <v>金</v>
      </c>
      <c r="C32" s="32" t="str">
        <f>IF(DAY(DATE(対象年度,5,29))&lt;&gt;29,"",IF(ISNUMBER(MATCH(DATE(対象年度,5,29),祝日リスト,0)),"祝",""))</f>
        <v/>
      </c>
      <c r="D32" s="33"/>
      <c r="E32" s="34"/>
      <c r="F32" s="35" t="str">
        <f t="shared" si="0"/>
        <v/>
      </c>
      <c r="G32" s="36" t="str">
        <f t="shared" si="1"/>
        <v/>
      </c>
      <c r="H32" s="37"/>
      <c r="I32" s="33"/>
      <c r="J32" s="34"/>
      <c r="K32" s="35" t="str">
        <f t="shared" si="2"/>
        <v/>
      </c>
      <c r="L32" s="36" t="str">
        <f t="shared" si="3"/>
        <v/>
      </c>
      <c r="M32" s="37"/>
      <c r="N32" s="33"/>
      <c r="O32" s="34"/>
      <c r="P32" s="35" t="str">
        <f t="shared" si="4"/>
        <v/>
      </c>
      <c r="Q32" s="36" t="str">
        <f t="shared" si="5"/>
        <v/>
      </c>
      <c r="R32" s="37"/>
      <c r="S32" s="33"/>
      <c r="T32" s="34"/>
      <c r="U32" s="35" t="str">
        <f t="shared" si="6"/>
        <v/>
      </c>
      <c r="V32" s="36" t="str">
        <f t="shared" si="7"/>
        <v/>
      </c>
      <c r="W32" s="37"/>
      <c r="X32" s="33"/>
      <c r="Y32" s="34"/>
      <c r="Z32" s="35" t="str">
        <f t="shared" si="8"/>
        <v/>
      </c>
      <c r="AA32" s="36" t="str">
        <f t="shared" si="9"/>
        <v/>
      </c>
      <c r="AB32" s="37"/>
      <c r="AC32" s="33"/>
      <c r="AD32" s="34"/>
      <c r="AE32" s="35" t="str">
        <f t="shared" si="10"/>
        <v/>
      </c>
      <c r="AF32" s="36" t="str">
        <f t="shared" si="11"/>
        <v/>
      </c>
      <c r="AG32" s="37"/>
      <c r="AH32" s="33"/>
      <c r="AI32" s="34"/>
      <c r="AJ32" s="35" t="str">
        <f t="shared" si="12"/>
        <v/>
      </c>
      <c r="AK32" s="36" t="str">
        <f t="shared" si="13"/>
        <v/>
      </c>
      <c r="AL32" s="37"/>
      <c r="AM32" s="33"/>
      <c r="AN32" s="34"/>
      <c r="AO32" s="35" t="str">
        <f t="shared" si="14"/>
        <v/>
      </c>
      <c r="AP32" s="36" t="str">
        <f t="shared" si="15"/>
        <v/>
      </c>
      <c r="AQ32" s="37"/>
      <c r="AR32" s="33"/>
      <c r="AS32" s="34"/>
      <c r="AT32" s="35" t="str">
        <f t="shared" si="16"/>
        <v/>
      </c>
      <c r="AU32" s="36" t="str">
        <f t="shared" si="17"/>
        <v/>
      </c>
      <c r="AV32" s="37"/>
      <c r="AW32" s="33"/>
      <c r="AX32" s="34"/>
      <c r="AY32" s="35" t="str">
        <f t="shared" si="18"/>
        <v/>
      </c>
      <c r="AZ32" s="36" t="str">
        <f t="shared" si="19"/>
        <v/>
      </c>
      <c r="BA32" s="37"/>
      <c r="BB32" s="33"/>
      <c r="BC32" s="34"/>
      <c r="BD32" s="35" t="str">
        <f t="shared" si="20"/>
        <v/>
      </c>
      <c r="BE32" s="36" t="str">
        <f t="shared" si="21"/>
        <v/>
      </c>
      <c r="BF32" s="37"/>
      <c r="BG32" s="33"/>
      <c r="BH32" s="34"/>
      <c r="BI32" s="35" t="str">
        <f t="shared" si="22"/>
        <v/>
      </c>
      <c r="BJ32" s="36" t="str">
        <f t="shared" si="23"/>
        <v/>
      </c>
      <c r="BK32" s="37"/>
      <c r="BL32" s="33"/>
      <c r="BM32" s="34"/>
      <c r="BN32" s="35" t="str">
        <f t="shared" si="24"/>
        <v/>
      </c>
      <c r="BO32" s="36" t="str">
        <f t="shared" si="25"/>
        <v/>
      </c>
      <c r="BP32" s="37"/>
      <c r="BQ32" s="33"/>
      <c r="BR32" s="34"/>
      <c r="BS32" s="35" t="str">
        <f t="shared" si="26"/>
        <v/>
      </c>
      <c r="BT32" s="36" t="str">
        <f t="shared" si="27"/>
        <v/>
      </c>
      <c r="BU32" s="37"/>
      <c r="BV32" s="33"/>
      <c r="BW32" s="34"/>
      <c r="BX32" s="35" t="str">
        <f t="shared" si="28"/>
        <v/>
      </c>
      <c r="BY32" s="36" t="str">
        <f t="shared" si="29"/>
        <v/>
      </c>
      <c r="BZ32" s="37"/>
      <c r="CA32" s="33"/>
      <c r="CB32" s="34"/>
      <c r="CC32" s="35" t="str">
        <f t="shared" si="30"/>
        <v/>
      </c>
      <c r="CD32" s="36" t="str">
        <f t="shared" si="31"/>
        <v/>
      </c>
      <c r="CE32" s="37"/>
      <c r="CF32" s="33"/>
      <c r="CG32" s="34"/>
      <c r="CH32" s="35" t="str">
        <f t="shared" si="32"/>
        <v/>
      </c>
      <c r="CI32" s="36" t="str">
        <f t="shared" si="33"/>
        <v/>
      </c>
      <c r="CJ32" s="37"/>
      <c r="CK32" s="33"/>
      <c r="CL32" s="34"/>
      <c r="CM32" s="35" t="str">
        <f t="shared" si="34"/>
        <v/>
      </c>
      <c r="CN32" s="36" t="str">
        <f t="shared" si="35"/>
        <v/>
      </c>
      <c r="CO32" s="37"/>
      <c r="CP32" s="33"/>
      <c r="CQ32" s="34"/>
      <c r="CR32" s="35" t="str">
        <f t="shared" si="36"/>
        <v/>
      </c>
      <c r="CS32" s="36" t="str">
        <f t="shared" si="37"/>
        <v/>
      </c>
      <c r="CT32" s="37"/>
      <c r="CU32" s="33"/>
      <c r="CV32" s="34"/>
      <c r="CW32" s="35" t="str">
        <f t="shared" si="38"/>
        <v/>
      </c>
      <c r="CX32" s="36" t="str">
        <f t="shared" si="39"/>
        <v/>
      </c>
      <c r="CY32" s="37"/>
      <c r="CZ32" s="33"/>
      <c r="DA32" s="34"/>
      <c r="DB32" s="35" t="str">
        <f t="shared" si="40"/>
        <v/>
      </c>
      <c r="DC32" s="36" t="str">
        <f t="shared" si="41"/>
        <v/>
      </c>
      <c r="DD32" s="37"/>
      <c r="DE32" s="33"/>
      <c r="DF32" s="34"/>
      <c r="DG32" s="35" t="str">
        <f t="shared" si="42"/>
        <v/>
      </c>
      <c r="DH32" s="36" t="str">
        <f t="shared" si="43"/>
        <v/>
      </c>
      <c r="DI32" s="37"/>
      <c r="DJ32" s="33"/>
      <c r="DK32" s="34"/>
      <c r="DL32" s="35" t="str">
        <f t="shared" si="44"/>
        <v/>
      </c>
      <c r="DM32" s="36" t="str">
        <f t="shared" si="45"/>
        <v/>
      </c>
      <c r="DN32" s="37"/>
      <c r="DO32" s="33"/>
      <c r="DP32" s="34"/>
      <c r="DQ32" s="35" t="str">
        <f t="shared" si="46"/>
        <v/>
      </c>
      <c r="DR32" s="36" t="str">
        <f t="shared" si="47"/>
        <v/>
      </c>
      <c r="DS32" s="37"/>
      <c r="DT32" s="33"/>
      <c r="DU32" s="34"/>
      <c r="DV32" s="35" t="str">
        <f t="shared" si="48"/>
        <v/>
      </c>
      <c r="DW32" s="36" t="str">
        <f t="shared" si="49"/>
        <v/>
      </c>
      <c r="DX32" s="37"/>
      <c r="DY32" s="33"/>
      <c r="DZ32" s="34"/>
      <c r="EA32" s="35" t="str">
        <f t="shared" si="50"/>
        <v/>
      </c>
      <c r="EB32" s="36" t="str">
        <f t="shared" si="51"/>
        <v/>
      </c>
      <c r="EC32" s="37"/>
      <c r="ED32" s="33"/>
      <c r="EE32" s="34"/>
      <c r="EF32" s="35" t="str">
        <f t="shared" si="52"/>
        <v/>
      </c>
      <c r="EG32" s="36" t="str">
        <f t="shared" si="53"/>
        <v/>
      </c>
      <c r="EH32" s="37"/>
      <c r="EI32" s="33"/>
      <c r="EJ32" s="34"/>
      <c r="EK32" s="35" t="str">
        <f t="shared" si="54"/>
        <v/>
      </c>
      <c r="EL32" s="36" t="str">
        <f t="shared" si="55"/>
        <v/>
      </c>
      <c r="EM32" s="37"/>
      <c r="EN32" s="33"/>
      <c r="EO32" s="34"/>
      <c r="EP32" s="35" t="str">
        <f t="shared" si="56"/>
        <v/>
      </c>
      <c r="EQ32" s="36" t="str">
        <f t="shared" si="57"/>
        <v/>
      </c>
      <c r="ER32" s="37"/>
      <c r="ES32" s="33"/>
      <c r="ET32" s="34"/>
      <c r="EU32" s="35" t="str">
        <f t="shared" si="58"/>
        <v/>
      </c>
      <c r="EV32" s="36" t="str">
        <f t="shared" si="59"/>
        <v/>
      </c>
      <c r="EW32" s="37"/>
    </row>
    <row r="33" spans="1:153" ht="19.5" customHeight="1">
      <c r="A33" s="32">
        <f>IF(DAY(DATE(対象年度,5,30))&lt;&gt;30,"",30)</f>
        <v>30</v>
      </c>
      <c r="B33" s="32" t="str">
        <f>IF(DAY(DATE(対象年度,5,30))&lt;&gt;30,"",CHOOSE(WEEKDAY(DATE(対象年度,5,30),2),"月","火","水","木","金","土","日"))</f>
        <v>土</v>
      </c>
      <c r="C33" s="32" t="str">
        <f>IF(DAY(DATE(対象年度,5,30))&lt;&gt;30,"",IF(ISNUMBER(MATCH(DATE(対象年度,5,30),祝日リスト,0)),"祝",""))</f>
        <v/>
      </c>
      <c r="D33" s="33"/>
      <c r="E33" s="34"/>
      <c r="F33" s="35" t="str">
        <f t="shared" si="0"/>
        <v/>
      </c>
      <c r="G33" s="36" t="str">
        <f t="shared" si="1"/>
        <v/>
      </c>
      <c r="H33" s="37"/>
      <c r="I33" s="33"/>
      <c r="J33" s="34"/>
      <c r="K33" s="35" t="str">
        <f t="shared" si="2"/>
        <v/>
      </c>
      <c r="L33" s="36" t="str">
        <f t="shared" si="3"/>
        <v/>
      </c>
      <c r="M33" s="37"/>
      <c r="N33" s="33"/>
      <c r="O33" s="34"/>
      <c r="P33" s="35" t="str">
        <f t="shared" si="4"/>
        <v/>
      </c>
      <c r="Q33" s="36" t="str">
        <f t="shared" si="5"/>
        <v/>
      </c>
      <c r="R33" s="37"/>
      <c r="S33" s="33"/>
      <c r="T33" s="34"/>
      <c r="U33" s="35" t="str">
        <f t="shared" si="6"/>
        <v/>
      </c>
      <c r="V33" s="36" t="str">
        <f t="shared" si="7"/>
        <v/>
      </c>
      <c r="W33" s="37"/>
      <c r="X33" s="33"/>
      <c r="Y33" s="34"/>
      <c r="Z33" s="35" t="str">
        <f t="shared" si="8"/>
        <v/>
      </c>
      <c r="AA33" s="36" t="str">
        <f t="shared" si="9"/>
        <v/>
      </c>
      <c r="AB33" s="37"/>
      <c r="AC33" s="33"/>
      <c r="AD33" s="34"/>
      <c r="AE33" s="35" t="str">
        <f t="shared" si="10"/>
        <v/>
      </c>
      <c r="AF33" s="36" t="str">
        <f t="shared" si="11"/>
        <v/>
      </c>
      <c r="AG33" s="37"/>
      <c r="AH33" s="33"/>
      <c r="AI33" s="34"/>
      <c r="AJ33" s="35" t="str">
        <f t="shared" si="12"/>
        <v/>
      </c>
      <c r="AK33" s="36" t="str">
        <f t="shared" si="13"/>
        <v/>
      </c>
      <c r="AL33" s="37"/>
      <c r="AM33" s="33"/>
      <c r="AN33" s="34"/>
      <c r="AO33" s="35" t="str">
        <f t="shared" si="14"/>
        <v/>
      </c>
      <c r="AP33" s="36" t="str">
        <f t="shared" si="15"/>
        <v/>
      </c>
      <c r="AQ33" s="37"/>
      <c r="AR33" s="33"/>
      <c r="AS33" s="34"/>
      <c r="AT33" s="35" t="str">
        <f t="shared" si="16"/>
        <v/>
      </c>
      <c r="AU33" s="36" t="str">
        <f t="shared" si="17"/>
        <v/>
      </c>
      <c r="AV33" s="37"/>
      <c r="AW33" s="33"/>
      <c r="AX33" s="34"/>
      <c r="AY33" s="35" t="str">
        <f t="shared" si="18"/>
        <v/>
      </c>
      <c r="AZ33" s="36" t="str">
        <f t="shared" si="19"/>
        <v/>
      </c>
      <c r="BA33" s="37"/>
      <c r="BB33" s="33"/>
      <c r="BC33" s="34"/>
      <c r="BD33" s="35" t="str">
        <f t="shared" si="20"/>
        <v/>
      </c>
      <c r="BE33" s="36" t="str">
        <f t="shared" si="21"/>
        <v/>
      </c>
      <c r="BF33" s="37"/>
      <c r="BG33" s="33"/>
      <c r="BH33" s="34"/>
      <c r="BI33" s="35" t="str">
        <f t="shared" si="22"/>
        <v/>
      </c>
      <c r="BJ33" s="36" t="str">
        <f t="shared" si="23"/>
        <v/>
      </c>
      <c r="BK33" s="37"/>
      <c r="BL33" s="33"/>
      <c r="BM33" s="34"/>
      <c r="BN33" s="35" t="str">
        <f t="shared" si="24"/>
        <v/>
      </c>
      <c r="BO33" s="36" t="str">
        <f t="shared" si="25"/>
        <v/>
      </c>
      <c r="BP33" s="37"/>
      <c r="BQ33" s="33"/>
      <c r="BR33" s="34"/>
      <c r="BS33" s="35" t="str">
        <f t="shared" si="26"/>
        <v/>
      </c>
      <c r="BT33" s="36" t="str">
        <f t="shared" si="27"/>
        <v/>
      </c>
      <c r="BU33" s="37"/>
      <c r="BV33" s="33"/>
      <c r="BW33" s="34"/>
      <c r="BX33" s="35" t="str">
        <f t="shared" si="28"/>
        <v/>
      </c>
      <c r="BY33" s="36" t="str">
        <f t="shared" si="29"/>
        <v/>
      </c>
      <c r="BZ33" s="37"/>
      <c r="CA33" s="33"/>
      <c r="CB33" s="34"/>
      <c r="CC33" s="35" t="str">
        <f t="shared" si="30"/>
        <v/>
      </c>
      <c r="CD33" s="36" t="str">
        <f t="shared" si="31"/>
        <v/>
      </c>
      <c r="CE33" s="37"/>
      <c r="CF33" s="33"/>
      <c r="CG33" s="34"/>
      <c r="CH33" s="35" t="str">
        <f t="shared" si="32"/>
        <v/>
      </c>
      <c r="CI33" s="36" t="str">
        <f t="shared" si="33"/>
        <v/>
      </c>
      <c r="CJ33" s="37"/>
      <c r="CK33" s="33"/>
      <c r="CL33" s="34"/>
      <c r="CM33" s="35" t="str">
        <f t="shared" si="34"/>
        <v/>
      </c>
      <c r="CN33" s="36" t="str">
        <f t="shared" si="35"/>
        <v/>
      </c>
      <c r="CO33" s="37"/>
      <c r="CP33" s="33"/>
      <c r="CQ33" s="34"/>
      <c r="CR33" s="35" t="str">
        <f t="shared" si="36"/>
        <v/>
      </c>
      <c r="CS33" s="36" t="str">
        <f t="shared" si="37"/>
        <v/>
      </c>
      <c r="CT33" s="37"/>
      <c r="CU33" s="33"/>
      <c r="CV33" s="34"/>
      <c r="CW33" s="35" t="str">
        <f t="shared" si="38"/>
        <v/>
      </c>
      <c r="CX33" s="36" t="str">
        <f t="shared" si="39"/>
        <v/>
      </c>
      <c r="CY33" s="37"/>
      <c r="CZ33" s="33"/>
      <c r="DA33" s="34"/>
      <c r="DB33" s="35" t="str">
        <f t="shared" si="40"/>
        <v/>
      </c>
      <c r="DC33" s="36" t="str">
        <f t="shared" si="41"/>
        <v/>
      </c>
      <c r="DD33" s="37"/>
      <c r="DE33" s="33"/>
      <c r="DF33" s="34"/>
      <c r="DG33" s="35" t="str">
        <f t="shared" si="42"/>
        <v/>
      </c>
      <c r="DH33" s="36" t="str">
        <f t="shared" si="43"/>
        <v/>
      </c>
      <c r="DI33" s="37"/>
      <c r="DJ33" s="33"/>
      <c r="DK33" s="34"/>
      <c r="DL33" s="35" t="str">
        <f t="shared" si="44"/>
        <v/>
      </c>
      <c r="DM33" s="36" t="str">
        <f t="shared" si="45"/>
        <v/>
      </c>
      <c r="DN33" s="37"/>
      <c r="DO33" s="33"/>
      <c r="DP33" s="34"/>
      <c r="DQ33" s="35" t="str">
        <f t="shared" si="46"/>
        <v/>
      </c>
      <c r="DR33" s="36" t="str">
        <f t="shared" si="47"/>
        <v/>
      </c>
      <c r="DS33" s="37"/>
      <c r="DT33" s="33"/>
      <c r="DU33" s="34"/>
      <c r="DV33" s="35" t="str">
        <f t="shared" si="48"/>
        <v/>
      </c>
      <c r="DW33" s="36" t="str">
        <f t="shared" si="49"/>
        <v/>
      </c>
      <c r="DX33" s="37"/>
      <c r="DY33" s="33"/>
      <c r="DZ33" s="34"/>
      <c r="EA33" s="35" t="str">
        <f t="shared" si="50"/>
        <v/>
      </c>
      <c r="EB33" s="36" t="str">
        <f t="shared" si="51"/>
        <v/>
      </c>
      <c r="EC33" s="37"/>
      <c r="ED33" s="33"/>
      <c r="EE33" s="34"/>
      <c r="EF33" s="35" t="str">
        <f t="shared" si="52"/>
        <v/>
      </c>
      <c r="EG33" s="36" t="str">
        <f t="shared" si="53"/>
        <v/>
      </c>
      <c r="EH33" s="37"/>
      <c r="EI33" s="33"/>
      <c r="EJ33" s="34"/>
      <c r="EK33" s="35" t="str">
        <f t="shared" si="54"/>
        <v/>
      </c>
      <c r="EL33" s="36" t="str">
        <f t="shared" si="55"/>
        <v/>
      </c>
      <c r="EM33" s="37"/>
      <c r="EN33" s="33"/>
      <c r="EO33" s="34"/>
      <c r="EP33" s="35" t="str">
        <f t="shared" si="56"/>
        <v/>
      </c>
      <c r="EQ33" s="36" t="str">
        <f t="shared" si="57"/>
        <v/>
      </c>
      <c r="ER33" s="37"/>
      <c r="ES33" s="33"/>
      <c r="ET33" s="34"/>
      <c r="EU33" s="35" t="str">
        <f t="shared" si="58"/>
        <v/>
      </c>
      <c r="EV33" s="36" t="str">
        <f t="shared" si="59"/>
        <v/>
      </c>
      <c r="EW33" s="37"/>
    </row>
    <row r="34" spans="1:153" ht="19.5" customHeight="1">
      <c r="A34" s="39">
        <f>IF(DAY(DATE(対象年度,5,31))&lt;&gt;31,"",31)</f>
        <v>31</v>
      </c>
      <c r="B34" s="39" t="str">
        <f>IF(DAY(DATE(対象年度,5,31))&lt;&gt;31,"",CHOOSE(WEEKDAY(DATE(対象年度,5,31),2),"月","火","水","木","金","土","日"))</f>
        <v>日</v>
      </c>
      <c r="C34" s="39" t="str">
        <f>IF(DAY(DATE(対象年度,5,31))&lt;&gt;31,"",IF(ISNUMBER(MATCH(DATE(対象年度,5,31),祝日リスト,0)),"祝",""))</f>
        <v/>
      </c>
      <c r="D34" s="40"/>
      <c r="E34" s="41"/>
      <c r="F34" s="42" t="str">
        <f t="shared" si="0"/>
        <v/>
      </c>
      <c r="G34" s="43" t="str">
        <f t="shared" si="1"/>
        <v/>
      </c>
      <c r="H34" s="44"/>
      <c r="I34" s="40"/>
      <c r="J34" s="41"/>
      <c r="K34" s="42" t="str">
        <f t="shared" si="2"/>
        <v/>
      </c>
      <c r="L34" s="43" t="str">
        <f t="shared" si="3"/>
        <v/>
      </c>
      <c r="M34" s="44"/>
      <c r="N34" s="40"/>
      <c r="O34" s="41"/>
      <c r="P34" s="42" t="str">
        <f t="shared" si="4"/>
        <v/>
      </c>
      <c r="Q34" s="43" t="str">
        <f t="shared" si="5"/>
        <v/>
      </c>
      <c r="R34" s="44"/>
      <c r="S34" s="40"/>
      <c r="T34" s="41"/>
      <c r="U34" s="42" t="str">
        <f t="shared" si="6"/>
        <v/>
      </c>
      <c r="V34" s="43" t="str">
        <f t="shared" si="7"/>
        <v/>
      </c>
      <c r="W34" s="44"/>
      <c r="X34" s="40"/>
      <c r="Y34" s="41"/>
      <c r="Z34" s="42" t="str">
        <f t="shared" si="8"/>
        <v/>
      </c>
      <c r="AA34" s="43" t="str">
        <f t="shared" si="9"/>
        <v/>
      </c>
      <c r="AB34" s="44"/>
      <c r="AC34" s="40"/>
      <c r="AD34" s="41"/>
      <c r="AE34" s="42" t="str">
        <f t="shared" si="10"/>
        <v/>
      </c>
      <c r="AF34" s="43" t="str">
        <f t="shared" si="11"/>
        <v/>
      </c>
      <c r="AG34" s="44"/>
      <c r="AH34" s="40"/>
      <c r="AI34" s="41"/>
      <c r="AJ34" s="42" t="str">
        <f t="shared" si="12"/>
        <v/>
      </c>
      <c r="AK34" s="43" t="str">
        <f t="shared" si="13"/>
        <v/>
      </c>
      <c r="AL34" s="44"/>
      <c r="AM34" s="40"/>
      <c r="AN34" s="41"/>
      <c r="AO34" s="42" t="str">
        <f t="shared" si="14"/>
        <v/>
      </c>
      <c r="AP34" s="43" t="str">
        <f t="shared" si="15"/>
        <v/>
      </c>
      <c r="AQ34" s="44"/>
      <c r="AR34" s="40"/>
      <c r="AS34" s="41"/>
      <c r="AT34" s="42" t="str">
        <f t="shared" si="16"/>
        <v/>
      </c>
      <c r="AU34" s="43" t="str">
        <f t="shared" si="17"/>
        <v/>
      </c>
      <c r="AV34" s="44"/>
      <c r="AW34" s="40"/>
      <c r="AX34" s="41"/>
      <c r="AY34" s="42" t="str">
        <f t="shared" si="18"/>
        <v/>
      </c>
      <c r="AZ34" s="43" t="str">
        <f t="shared" si="19"/>
        <v/>
      </c>
      <c r="BA34" s="44"/>
      <c r="BB34" s="40"/>
      <c r="BC34" s="41"/>
      <c r="BD34" s="42" t="str">
        <f t="shared" si="20"/>
        <v/>
      </c>
      <c r="BE34" s="43" t="str">
        <f t="shared" si="21"/>
        <v/>
      </c>
      <c r="BF34" s="44"/>
      <c r="BG34" s="40"/>
      <c r="BH34" s="41"/>
      <c r="BI34" s="42" t="str">
        <f t="shared" si="22"/>
        <v/>
      </c>
      <c r="BJ34" s="43" t="str">
        <f t="shared" si="23"/>
        <v/>
      </c>
      <c r="BK34" s="44"/>
      <c r="BL34" s="40"/>
      <c r="BM34" s="41"/>
      <c r="BN34" s="42" t="str">
        <f t="shared" si="24"/>
        <v/>
      </c>
      <c r="BO34" s="43" t="str">
        <f t="shared" si="25"/>
        <v/>
      </c>
      <c r="BP34" s="44"/>
      <c r="BQ34" s="40"/>
      <c r="BR34" s="41"/>
      <c r="BS34" s="42" t="str">
        <f t="shared" si="26"/>
        <v/>
      </c>
      <c r="BT34" s="43" t="str">
        <f t="shared" si="27"/>
        <v/>
      </c>
      <c r="BU34" s="44"/>
      <c r="BV34" s="40"/>
      <c r="BW34" s="41"/>
      <c r="BX34" s="42" t="str">
        <f t="shared" si="28"/>
        <v/>
      </c>
      <c r="BY34" s="43" t="str">
        <f t="shared" si="29"/>
        <v/>
      </c>
      <c r="BZ34" s="44"/>
      <c r="CA34" s="40"/>
      <c r="CB34" s="41"/>
      <c r="CC34" s="42" t="str">
        <f t="shared" si="30"/>
        <v/>
      </c>
      <c r="CD34" s="43" t="str">
        <f t="shared" si="31"/>
        <v/>
      </c>
      <c r="CE34" s="44"/>
      <c r="CF34" s="40"/>
      <c r="CG34" s="41"/>
      <c r="CH34" s="42" t="str">
        <f t="shared" si="32"/>
        <v/>
      </c>
      <c r="CI34" s="43" t="str">
        <f t="shared" si="33"/>
        <v/>
      </c>
      <c r="CJ34" s="44"/>
      <c r="CK34" s="40"/>
      <c r="CL34" s="41"/>
      <c r="CM34" s="42" t="str">
        <f t="shared" si="34"/>
        <v/>
      </c>
      <c r="CN34" s="43" t="str">
        <f t="shared" si="35"/>
        <v/>
      </c>
      <c r="CO34" s="44"/>
      <c r="CP34" s="40"/>
      <c r="CQ34" s="41"/>
      <c r="CR34" s="42" t="str">
        <f t="shared" si="36"/>
        <v/>
      </c>
      <c r="CS34" s="43" t="str">
        <f t="shared" si="37"/>
        <v/>
      </c>
      <c r="CT34" s="44"/>
      <c r="CU34" s="40"/>
      <c r="CV34" s="41"/>
      <c r="CW34" s="42" t="str">
        <f t="shared" si="38"/>
        <v/>
      </c>
      <c r="CX34" s="43" t="str">
        <f t="shared" si="39"/>
        <v/>
      </c>
      <c r="CY34" s="44"/>
      <c r="CZ34" s="40"/>
      <c r="DA34" s="41"/>
      <c r="DB34" s="42" t="str">
        <f t="shared" si="40"/>
        <v/>
      </c>
      <c r="DC34" s="43" t="str">
        <f t="shared" si="41"/>
        <v/>
      </c>
      <c r="DD34" s="44"/>
      <c r="DE34" s="40"/>
      <c r="DF34" s="41"/>
      <c r="DG34" s="42" t="str">
        <f t="shared" si="42"/>
        <v/>
      </c>
      <c r="DH34" s="43" t="str">
        <f t="shared" si="43"/>
        <v/>
      </c>
      <c r="DI34" s="44"/>
      <c r="DJ34" s="40"/>
      <c r="DK34" s="41"/>
      <c r="DL34" s="42" t="str">
        <f t="shared" si="44"/>
        <v/>
      </c>
      <c r="DM34" s="43" t="str">
        <f t="shared" si="45"/>
        <v/>
      </c>
      <c r="DN34" s="44"/>
      <c r="DO34" s="40"/>
      <c r="DP34" s="41"/>
      <c r="DQ34" s="42" t="str">
        <f t="shared" si="46"/>
        <v/>
      </c>
      <c r="DR34" s="43" t="str">
        <f t="shared" si="47"/>
        <v/>
      </c>
      <c r="DS34" s="44"/>
      <c r="DT34" s="40"/>
      <c r="DU34" s="41"/>
      <c r="DV34" s="42" t="str">
        <f t="shared" si="48"/>
        <v/>
      </c>
      <c r="DW34" s="43" t="str">
        <f t="shared" si="49"/>
        <v/>
      </c>
      <c r="DX34" s="44"/>
      <c r="DY34" s="40"/>
      <c r="DZ34" s="41"/>
      <c r="EA34" s="42" t="str">
        <f t="shared" si="50"/>
        <v/>
      </c>
      <c r="EB34" s="43" t="str">
        <f t="shared" si="51"/>
        <v/>
      </c>
      <c r="EC34" s="44"/>
      <c r="ED34" s="40"/>
      <c r="EE34" s="41"/>
      <c r="EF34" s="42" t="str">
        <f t="shared" si="52"/>
        <v/>
      </c>
      <c r="EG34" s="43" t="str">
        <f t="shared" si="53"/>
        <v/>
      </c>
      <c r="EH34" s="44"/>
      <c r="EI34" s="40"/>
      <c r="EJ34" s="41"/>
      <c r="EK34" s="42" t="str">
        <f t="shared" si="54"/>
        <v/>
      </c>
      <c r="EL34" s="43" t="str">
        <f t="shared" si="55"/>
        <v/>
      </c>
      <c r="EM34" s="44"/>
      <c r="EN34" s="40"/>
      <c r="EO34" s="41"/>
      <c r="EP34" s="42" t="str">
        <f t="shared" si="56"/>
        <v/>
      </c>
      <c r="EQ34" s="43" t="str">
        <f t="shared" si="57"/>
        <v/>
      </c>
      <c r="ER34" s="44"/>
      <c r="ES34" s="40"/>
      <c r="ET34" s="41"/>
      <c r="EU34" s="42" t="str">
        <f t="shared" si="58"/>
        <v/>
      </c>
      <c r="EV34" s="43" t="str">
        <f t="shared" si="59"/>
        <v/>
      </c>
      <c r="EW34" s="44"/>
    </row>
    <row r="35" spans="1:153" ht="21.75" customHeight="1">
      <c r="A35" s="98" t="s">
        <v>120</v>
      </c>
      <c r="B35" s="98"/>
      <c r="C35" s="98"/>
      <c r="D35" s="99">
        <f>COUNTIF(F4:F34,"○")</f>
        <v>0</v>
      </c>
      <c r="E35" s="99"/>
      <c r="F35" s="99"/>
      <c r="G35" s="99"/>
      <c r="H35" s="99"/>
      <c r="I35" s="99">
        <f>COUNTIF(K4:K34,"○")</f>
        <v>0</v>
      </c>
      <c r="J35" s="99"/>
      <c r="K35" s="99"/>
      <c r="L35" s="99"/>
      <c r="M35" s="99"/>
      <c r="N35" s="99">
        <f>COUNTIF(P4:P34,"○")</f>
        <v>0</v>
      </c>
      <c r="O35" s="99"/>
      <c r="P35" s="99"/>
      <c r="Q35" s="99"/>
      <c r="R35" s="99"/>
      <c r="S35" s="99">
        <f>COUNTIF(U4:U34,"○")</f>
        <v>0</v>
      </c>
      <c r="T35" s="99"/>
      <c r="U35" s="99"/>
      <c r="V35" s="99"/>
      <c r="W35" s="99"/>
      <c r="X35" s="99">
        <f>COUNTIF(Z4:Z34,"○")</f>
        <v>0</v>
      </c>
      <c r="Y35" s="99"/>
      <c r="Z35" s="99"/>
      <c r="AA35" s="99"/>
      <c r="AB35" s="99"/>
      <c r="AC35" s="99">
        <f>COUNTIF(AE4:AE34,"○")</f>
        <v>0</v>
      </c>
      <c r="AD35" s="99"/>
      <c r="AE35" s="99"/>
      <c r="AF35" s="99"/>
      <c r="AG35" s="99"/>
      <c r="AH35" s="99">
        <f>COUNTIF(AJ4:AJ34,"○")</f>
        <v>0</v>
      </c>
      <c r="AI35" s="99"/>
      <c r="AJ35" s="99"/>
      <c r="AK35" s="99"/>
      <c r="AL35" s="99"/>
      <c r="AM35" s="99">
        <f>COUNTIF(AO4:AO34,"○")</f>
        <v>0</v>
      </c>
      <c r="AN35" s="99"/>
      <c r="AO35" s="99"/>
      <c r="AP35" s="99"/>
      <c r="AQ35" s="99"/>
      <c r="AR35" s="99">
        <f>COUNTIF(AT4:AT34,"○")</f>
        <v>0</v>
      </c>
      <c r="AS35" s="99"/>
      <c r="AT35" s="99"/>
      <c r="AU35" s="99"/>
      <c r="AV35" s="99"/>
      <c r="AW35" s="99">
        <f>COUNTIF(AY4:AY34,"○")</f>
        <v>0</v>
      </c>
      <c r="AX35" s="99"/>
      <c r="AY35" s="99"/>
      <c r="AZ35" s="99"/>
      <c r="BA35" s="99"/>
      <c r="BB35" s="99">
        <f>COUNTIF(BD4:BD34,"○")</f>
        <v>0</v>
      </c>
      <c r="BC35" s="99"/>
      <c r="BD35" s="99"/>
      <c r="BE35" s="99"/>
      <c r="BF35" s="99"/>
      <c r="BG35" s="99">
        <f>COUNTIF(BI4:BI34,"○")</f>
        <v>0</v>
      </c>
      <c r="BH35" s="99"/>
      <c r="BI35" s="99"/>
      <c r="BJ35" s="99"/>
      <c r="BK35" s="99"/>
      <c r="BL35" s="99">
        <f>COUNTIF(BN4:BN34,"○")</f>
        <v>0</v>
      </c>
      <c r="BM35" s="99"/>
      <c r="BN35" s="99"/>
      <c r="BO35" s="99"/>
      <c r="BP35" s="99"/>
      <c r="BQ35" s="99">
        <f>COUNTIF(BS4:BS34,"○")</f>
        <v>0</v>
      </c>
      <c r="BR35" s="99"/>
      <c r="BS35" s="99"/>
      <c r="BT35" s="99"/>
      <c r="BU35" s="99"/>
      <c r="BV35" s="99">
        <f>COUNTIF(BX4:BX34,"○")</f>
        <v>0</v>
      </c>
      <c r="BW35" s="99"/>
      <c r="BX35" s="99"/>
      <c r="BY35" s="99"/>
      <c r="BZ35" s="99"/>
      <c r="CA35" s="99">
        <f>COUNTIF(CC4:CC34,"○")</f>
        <v>0</v>
      </c>
      <c r="CB35" s="99"/>
      <c r="CC35" s="99"/>
      <c r="CD35" s="99"/>
      <c r="CE35" s="99"/>
      <c r="CF35" s="99">
        <f>COUNTIF(CH4:CH34,"○")</f>
        <v>0</v>
      </c>
      <c r="CG35" s="99"/>
      <c r="CH35" s="99"/>
      <c r="CI35" s="99"/>
      <c r="CJ35" s="99"/>
      <c r="CK35" s="99">
        <f>COUNTIF(CM4:CM34,"○")</f>
        <v>0</v>
      </c>
      <c r="CL35" s="99"/>
      <c r="CM35" s="99"/>
      <c r="CN35" s="99"/>
      <c r="CO35" s="99"/>
      <c r="CP35" s="99">
        <f>COUNTIF(CR4:CR34,"○")</f>
        <v>0</v>
      </c>
      <c r="CQ35" s="99"/>
      <c r="CR35" s="99"/>
      <c r="CS35" s="99"/>
      <c r="CT35" s="99"/>
      <c r="CU35" s="99">
        <f>COUNTIF(CW4:CW34,"○")</f>
        <v>0</v>
      </c>
      <c r="CV35" s="99"/>
      <c r="CW35" s="99"/>
      <c r="CX35" s="99"/>
      <c r="CY35" s="99"/>
      <c r="CZ35" s="99">
        <f>COUNTIF(DB4:DB34,"○")</f>
        <v>0</v>
      </c>
      <c r="DA35" s="99"/>
      <c r="DB35" s="99"/>
      <c r="DC35" s="99"/>
      <c r="DD35" s="99"/>
      <c r="DE35" s="99">
        <f>COUNTIF(DG4:DG34,"○")</f>
        <v>0</v>
      </c>
      <c r="DF35" s="99"/>
      <c r="DG35" s="99"/>
      <c r="DH35" s="99"/>
      <c r="DI35" s="99"/>
      <c r="DJ35" s="99">
        <f>COUNTIF(DL4:DL34,"○")</f>
        <v>0</v>
      </c>
      <c r="DK35" s="99"/>
      <c r="DL35" s="99"/>
      <c r="DM35" s="99"/>
      <c r="DN35" s="99"/>
      <c r="DO35" s="99">
        <f>COUNTIF(DQ4:DQ34,"○")</f>
        <v>0</v>
      </c>
      <c r="DP35" s="99"/>
      <c r="DQ35" s="99"/>
      <c r="DR35" s="99"/>
      <c r="DS35" s="99"/>
      <c r="DT35" s="99">
        <f>COUNTIF(DV4:DV34,"○")</f>
        <v>0</v>
      </c>
      <c r="DU35" s="99"/>
      <c r="DV35" s="99"/>
      <c r="DW35" s="99"/>
      <c r="DX35" s="99"/>
      <c r="DY35" s="99">
        <f>COUNTIF(EA4:EA34,"○")</f>
        <v>0</v>
      </c>
      <c r="DZ35" s="99"/>
      <c r="EA35" s="99"/>
      <c r="EB35" s="99"/>
      <c r="EC35" s="99"/>
      <c r="ED35" s="99">
        <f>COUNTIF(EF4:EF34,"○")</f>
        <v>0</v>
      </c>
      <c r="EE35" s="99"/>
      <c r="EF35" s="99"/>
      <c r="EG35" s="99"/>
      <c r="EH35" s="99"/>
      <c r="EI35" s="99">
        <f>COUNTIF(EK4:EK34,"○")</f>
        <v>0</v>
      </c>
      <c r="EJ35" s="99"/>
      <c r="EK35" s="99"/>
      <c r="EL35" s="99"/>
      <c r="EM35" s="99"/>
      <c r="EN35" s="99">
        <f>COUNTIF(EP4:EP34,"○")</f>
        <v>0</v>
      </c>
      <c r="EO35" s="99"/>
      <c r="EP35" s="99"/>
      <c r="EQ35" s="99"/>
      <c r="ER35" s="99"/>
      <c r="ES35" s="99">
        <f>COUNTIF(EU4:EU34,"○")</f>
        <v>0</v>
      </c>
      <c r="ET35" s="99"/>
      <c r="EU35" s="99"/>
      <c r="EV35" s="99"/>
      <c r="EW35" s="99"/>
    </row>
    <row r="36" spans="1:153" ht="21.75" customHeight="1">
      <c r="A36" s="100" t="s">
        <v>121</v>
      </c>
      <c r="B36" s="100"/>
      <c r="C36" s="100"/>
      <c r="D36" s="101">
        <f>COUNTIF(G4:G34,"○")</f>
        <v>0</v>
      </c>
      <c r="E36" s="101"/>
      <c r="F36" s="101"/>
      <c r="G36" s="101"/>
      <c r="H36" s="101"/>
      <c r="I36" s="101">
        <f>COUNTIF(L4:L34,"○")</f>
        <v>0</v>
      </c>
      <c r="J36" s="101"/>
      <c r="K36" s="101"/>
      <c r="L36" s="101"/>
      <c r="M36" s="101"/>
      <c r="N36" s="101">
        <f>COUNTIF(Q4:Q34,"○")</f>
        <v>0</v>
      </c>
      <c r="O36" s="101"/>
      <c r="P36" s="101"/>
      <c r="Q36" s="101"/>
      <c r="R36" s="101"/>
      <c r="S36" s="101">
        <f>COUNTIF(V4:V34,"○")</f>
        <v>0</v>
      </c>
      <c r="T36" s="101"/>
      <c r="U36" s="101"/>
      <c r="V36" s="101"/>
      <c r="W36" s="101"/>
      <c r="X36" s="101">
        <f>COUNTIF(AA4:AA34,"○")</f>
        <v>0</v>
      </c>
      <c r="Y36" s="101"/>
      <c r="Z36" s="101"/>
      <c r="AA36" s="101"/>
      <c r="AB36" s="101"/>
      <c r="AC36" s="101">
        <f>COUNTIF(AF4:AF34,"○")</f>
        <v>0</v>
      </c>
      <c r="AD36" s="101"/>
      <c r="AE36" s="101"/>
      <c r="AF36" s="101"/>
      <c r="AG36" s="101"/>
      <c r="AH36" s="101">
        <f>COUNTIF(AK4:AK34,"○")</f>
        <v>0</v>
      </c>
      <c r="AI36" s="101"/>
      <c r="AJ36" s="101"/>
      <c r="AK36" s="101"/>
      <c r="AL36" s="101"/>
      <c r="AM36" s="101">
        <f>COUNTIF(AP4:AP34,"○")</f>
        <v>0</v>
      </c>
      <c r="AN36" s="101"/>
      <c r="AO36" s="101"/>
      <c r="AP36" s="101"/>
      <c r="AQ36" s="101"/>
      <c r="AR36" s="101">
        <f>COUNTIF(AU4:AU34,"○")</f>
        <v>0</v>
      </c>
      <c r="AS36" s="101"/>
      <c r="AT36" s="101"/>
      <c r="AU36" s="101"/>
      <c r="AV36" s="101"/>
      <c r="AW36" s="101">
        <f>COUNTIF(AZ4:AZ34,"○")</f>
        <v>0</v>
      </c>
      <c r="AX36" s="101"/>
      <c r="AY36" s="101"/>
      <c r="AZ36" s="101"/>
      <c r="BA36" s="101"/>
      <c r="BB36" s="101">
        <f>COUNTIF(BE4:BE34,"○")</f>
        <v>0</v>
      </c>
      <c r="BC36" s="101"/>
      <c r="BD36" s="101"/>
      <c r="BE36" s="101"/>
      <c r="BF36" s="101"/>
      <c r="BG36" s="101">
        <f>COUNTIF(BJ4:BJ34,"○")</f>
        <v>0</v>
      </c>
      <c r="BH36" s="101"/>
      <c r="BI36" s="101"/>
      <c r="BJ36" s="101"/>
      <c r="BK36" s="101"/>
      <c r="BL36" s="101">
        <f>COUNTIF(BO4:BO34,"○")</f>
        <v>0</v>
      </c>
      <c r="BM36" s="101"/>
      <c r="BN36" s="101"/>
      <c r="BO36" s="101"/>
      <c r="BP36" s="101"/>
      <c r="BQ36" s="101">
        <f>COUNTIF(BT4:BT34,"○")</f>
        <v>0</v>
      </c>
      <c r="BR36" s="101"/>
      <c r="BS36" s="101"/>
      <c r="BT36" s="101"/>
      <c r="BU36" s="101"/>
      <c r="BV36" s="101">
        <f>COUNTIF(BY4:BY34,"○")</f>
        <v>0</v>
      </c>
      <c r="BW36" s="101"/>
      <c r="BX36" s="101"/>
      <c r="BY36" s="101"/>
      <c r="BZ36" s="101"/>
      <c r="CA36" s="101">
        <f>COUNTIF(CD4:CD34,"○")</f>
        <v>0</v>
      </c>
      <c r="CB36" s="101"/>
      <c r="CC36" s="101"/>
      <c r="CD36" s="101"/>
      <c r="CE36" s="101"/>
      <c r="CF36" s="101">
        <f>COUNTIF(CI4:CI34,"○")</f>
        <v>0</v>
      </c>
      <c r="CG36" s="101"/>
      <c r="CH36" s="101"/>
      <c r="CI36" s="101"/>
      <c r="CJ36" s="101"/>
      <c r="CK36" s="101">
        <f>COUNTIF(CN4:CN34,"○")</f>
        <v>0</v>
      </c>
      <c r="CL36" s="101"/>
      <c r="CM36" s="101"/>
      <c r="CN36" s="101"/>
      <c r="CO36" s="101"/>
      <c r="CP36" s="101">
        <f>COUNTIF(CS4:CS34,"○")</f>
        <v>0</v>
      </c>
      <c r="CQ36" s="101"/>
      <c r="CR36" s="101"/>
      <c r="CS36" s="101"/>
      <c r="CT36" s="101"/>
      <c r="CU36" s="101">
        <f>COUNTIF(CX4:CX34,"○")</f>
        <v>0</v>
      </c>
      <c r="CV36" s="101"/>
      <c r="CW36" s="101"/>
      <c r="CX36" s="101"/>
      <c r="CY36" s="101"/>
      <c r="CZ36" s="101">
        <f>COUNTIF(DC4:DC34,"○")</f>
        <v>0</v>
      </c>
      <c r="DA36" s="101"/>
      <c r="DB36" s="101"/>
      <c r="DC36" s="101"/>
      <c r="DD36" s="101"/>
      <c r="DE36" s="101">
        <f>COUNTIF(DH4:DH34,"○")</f>
        <v>0</v>
      </c>
      <c r="DF36" s="101"/>
      <c r="DG36" s="101"/>
      <c r="DH36" s="101"/>
      <c r="DI36" s="101"/>
      <c r="DJ36" s="101">
        <f>COUNTIF(DM4:DM34,"○")</f>
        <v>0</v>
      </c>
      <c r="DK36" s="101"/>
      <c r="DL36" s="101"/>
      <c r="DM36" s="101"/>
      <c r="DN36" s="101"/>
      <c r="DO36" s="101">
        <f>COUNTIF(DR4:DR34,"○")</f>
        <v>0</v>
      </c>
      <c r="DP36" s="101"/>
      <c r="DQ36" s="101"/>
      <c r="DR36" s="101"/>
      <c r="DS36" s="101"/>
      <c r="DT36" s="101">
        <f>COUNTIF(DW4:DW34,"○")</f>
        <v>0</v>
      </c>
      <c r="DU36" s="101"/>
      <c r="DV36" s="101"/>
      <c r="DW36" s="101"/>
      <c r="DX36" s="101"/>
      <c r="DY36" s="101">
        <f>COUNTIF(EB4:EB34,"○")</f>
        <v>0</v>
      </c>
      <c r="DZ36" s="101"/>
      <c r="EA36" s="101"/>
      <c r="EB36" s="101"/>
      <c r="EC36" s="101"/>
      <c r="ED36" s="101">
        <f>COUNTIF(EG4:EG34,"○")</f>
        <v>0</v>
      </c>
      <c r="EE36" s="101"/>
      <c r="EF36" s="101"/>
      <c r="EG36" s="101"/>
      <c r="EH36" s="101"/>
      <c r="EI36" s="101">
        <f>COUNTIF(EL4:EL34,"○")</f>
        <v>0</v>
      </c>
      <c r="EJ36" s="101"/>
      <c r="EK36" s="101"/>
      <c r="EL36" s="101"/>
      <c r="EM36" s="101"/>
      <c r="EN36" s="101">
        <f>COUNTIF(EQ4:EQ34,"○")</f>
        <v>0</v>
      </c>
      <c r="EO36" s="101"/>
      <c r="EP36" s="101"/>
      <c r="EQ36" s="101"/>
      <c r="ER36" s="101"/>
      <c r="ES36" s="101">
        <f>COUNTIF(EV4:EV34,"○")</f>
        <v>0</v>
      </c>
      <c r="ET36" s="101"/>
      <c r="EU36" s="101"/>
      <c r="EV36" s="101"/>
      <c r="EW36" s="101"/>
    </row>
    <row r="37" spans="1:153" ht="21.75" customHeight="1">
      <c r="A37" s="102" t="s">
        <v>122</v>
      </c>
      <c r="B37" s="102"/>
      <c r="C37" s="102"/>
      <c r="D37" s="103">
        <f>D35+D36</f>
        <v>0</v>
      </c>
      <c r="E37" s="103"/>
      <c r="F37" s="103"/>
      <c r="G37" s="103"/>
      <c r="H37" s="103"/>
      <c r="I37" s="103">
        <f>I35+I36</f>
        <v>0</v>
      </c>
      <c r="J37" s="103"/>
      <c r="K37" s="103"/>
      <c r="L37" s="103"/>
      <c r="M37" s="103"/>
      <c r="N37" s="103">
        <f>N35+N36</f>
        <v>0</v>
      </c>
      <c r="O37" s="103"/>
      <c r="P37" s="103"/>
      <c r="Q37" s="103"/>
      <c r="R37" s="103"/>
      <c r="S37" s="103">
        <f>S35+S36</f>
        <v>0</v>
      </c>
      <c r="T37" s="103"/>
      <c r="U37" s="103"/>
      <c r="V37" s="103"/>
      <c r="W37" s="103"/>
      <c r="X37" s="103">
        <f>X35+X36</f>
        <v>0</v>
      </c>
      <c r="Y37" s="103"/>
      <c r="Z37" s="103"/>
      <c r="AA37" s="103"/>
      <c r="AB37" s="103"/>
      <c r="AC37" s="103">
        <f>AC35+AC36</f>
        <v>0</v>
      </c>
      <c r="AD37" s="103"/>
      <c r="AE37" s="103"/>
      <c r="AF37" s="103"/>
      <c r="AG37" s="103"/>
      <c r="AH37" s="103">
        <f>AH35+AH36</f>
        <v>0</v>
      </c>
      <c r="AI37" s="103"/>
      <c r="AJ37" s="103"/>
      <c r="AK37" s="103"/>
      <c r="AL37" s="103"/>
      <c r="AM37" s="103">
        <f>AM35+AM36</f>
        <v>0</v>
      </c>
      <c r="AN37" s="103"/>
      <c r="AO37" s="103"/>
      <c r="AP37" s="103"/>
      <c r="AQ37" s="103"/>
      <c r="AR37" s="103">
        <f>AR35+AR36</f>
        <v>0</v>
      </c>
      <c r="AS37" s="103"/>
      <c r="AT37" s="103"/>
      <c r="AU37" s="103"/>
      <c r="AV37" s="103"/>
      <c r="AW37" s="103">
        <f>AW35+AW36</f>
        <v>0</v>
      </c>
      <c r="AX37" s="103"/>
      <c r="AY37" s="103"/>
      <c r="AZ37" s="103"/>
      <c r="BA37" s="103"/>
      <c r="BB37" s="103">
        <f>BB35+BB36</f>
        <v>0</v>
      </c>
      <c r="BC37" s="103"/>
      <c r="BD37" s="103"/>
      <c r="BE37" s="103"/>
      <c r="BF37" s="103"/>
      <c r="BG37" s="103">
        <f>BG35+BG36</f>
        <v>0</v>
      </c>
      <c r="BH37" s="103"/>
      <c r="BI37" s="103"/>
      <c r="BJ37" s="103"/>
      <c r="BK37" s="103"/>
      <c r="BL37" s="103">
        <f>BL35+BL36</f>
        <v>0</v>
      </c>
      <c r="BM37" s="103"/>
      <c r="BN37" s="103"/>
      <c r="BO37" s="103"/>
      <c r="BP37" s="103"/>
      <c r="BQ37" s="103">
        <f>BQ35+BQ36</f>
        <v>0</v>
      </c>
      <c r="BR37" s="103"/>
      <c r="BS37" s="103"/>
      <c r="BT37" s="103"/>
      <c r="BU37" s="103"/>
      <c r="BV37" s="103">
        <f>BV35+BV36</f>
        <v>0</v>
      </c>
      <c r="BW37" s="103"/>
      <c r="BX37" s="103"/>
      <c r="BY37" s="103"/>
      <c r="BZ37" s="103"/>
      <c r="CA37" s="103">
        <f>CA35+CA36</f>
        <v>0</v>
      </c>
      <c r="CB37" s="103"/>
      <c r="CC37" s="103"/>
      <c r="CD37" s="103"/>
      <c r="CE37" s="103"/>
      <c r="CF37" s="103">
        <f>CF35+CF36</f>
        <v>0</v>
      </c>
      <c r="CG37" s="103"/>
      <c r="CH37" s="103"/>
      <c r="CI37" s="103"/>
      <c r="CJ37" s="103"/>
      <c r="CK37" s="103">
        <f>CK35+CK36</f>
        <v>0</v>
      </c>
      <c r="CL37" s="103"/>
      <c r="CM37" s="103"/>
      <c r="CN37" s="103"/>
      <c r="CO37" s="103"/>
      <c r="CP37" s="103">
        <f>CP35+CP36</f>
        <v>0</v>
      </c>
      <c r="CQ37" s="103"/>
      <c r="CR37" s="103"/>
      <c r="CS37" s="103"/>
      <c r="CT37" s="103"/>
      <c r="CU37" s="103">
        <f>CU35+CU36</f>
        <v>0</v>
      </c>
      <c r="CV37" s="103"/>
      <c r="CW37" s="103"/>
      <c r="CX37" s="103"/>
      <c r="CY37" s="103"/>
      <c r="CZ37" s="103">
        <f>CZ35+CZ36</f>
        <v>0</v>
      </c>
      <c r="DA37" s="103"/>
      <c r="DB37" s="103"/>
      <c r="DC37" s="103"/>
      <c r="DD37" s="103"/>
      <c r="DE37" s="103">
        <f>DE35+DE36</f>
        <v>0</v>
      </c>
      <c r="DF37" s="103"/>
      <c r="DG37" s="103"/>
      <c r="DH37" s="103"/>
      <c r="DI37" s="103"/>
      <c r="DJ37" s="103">
        <f>DJ35+DJ36</f>
        <v>0</v>
      </c>
      <c r="DK37" s="103"/>
      <c r="DL37" s="103"/>
      <c r="DM37" s="103"/>
      <c r="DN37" s="103"/>
      <c r="DO37" s="103">
        <f>DO35+DO36</f>
        <v>0</v>
      </c>
      <c r="DP37" s="103"/>
      <c r="DQ37" s="103"/>
      <c r="DR37" s="103"/>
      <c r="DS37" s="103"/>
      <c r="DT37" s="103">
        <f>DT35+DT36</f>
        <v>0</v>
      </c>
      <c r="DU37" s="103"/>
      <c r="DV37" s="103"/>
      <c r="DW37" s="103"/>
      <c r="DX37" s="103"/>
      <c r="DY37" s="103">
        <f>DY35+DY36</f>
        <v>0</v>
      </c>
      <c r="DZ37" s="103"/>
      <c r="EA37" s="103"/>
      <c r="EB37" s="103"/>
      <c r="EC37" s="103"/>
      <c r="ED37" s="103">
        <f>ED35+ED36</f>
        <v>0</v>
      </c>
      <c r="EE37" s="103"/>
      <c r="EF37" s="103"/>
      <c r="EG37" s="103"/>
      <c r="EH37" s="103"/>
      <c r="EI37" s="103">
        <f>EI35+EI36</f>
        <v>0</v>
      </c>
      <c r="EJ37" s="103"/>
      <c r="EK37" s="103"/>
      <c r="EL37" s="103"/>
      <c r="EM37" s="103"/>
      <c r="EN37" s="103">
        <f>EN35+EN36</f>
        <v>0</v>
      </c>
      <c r="EO37" s="103"/>
      <c r="EP37" s="103"/>
      <c r="EQ37" s="103"/>
      <c r="ER37" s="103"/>
      <c r="ES37" s="103">
        <f>ES35+ES36</f>
        <v>0</v>
      </c>
      <c r="ET37" s="103"/>
      <c r="EU37" s="103"/>
      <c r="EV37" s="103"/>
      <c r="EW37" s="103"/>
    </row>
    <row r="38" spans="1:153" ht="21.75" customHeight="1">
      <c r="A38" s="104" t="s">
        <v>123</v>
      </c>
      <c r="B38" s="104"/>
      <c r="C38" s="104"/>
      <c r="D38" s="105">
        <f>SUM(H4:H34)</f>
        <v>0</v>
      </c>
      <c r="E38" s="105"/>
      <c r="F38" s="105"/>
      <c r="G38" s="105"/>
      <c r="H38" s="105"/>
      <c r="I38" s="105">
        <f>SUM(M4:M34)</f>
        <v>0</v>
      </c>
      <c r="J38" s="105"/>
      <c r="K38" s="105"/>
      <c r="L38" s="105"/>
      <c r="M38" s="105"/>
      <c r="N38" s="105">
        <f>SUM(R4:R34)</f>
        <v>0</v>
      </c>
      <c r="O38" s="105"/>
      <c r="P38" s="105"/>
      <c r="Q38" s="105"/>
      <c r="R38" s="105"/>
      <c r="S38" s="105">
        <f>SUM(W4:W34)</f>
        <v>0</v>
      </c>
      <c r="T38" s="105"/>
      <c r="U38" s="105"/>
      <c r="V38" s="105"/>
      <c r="W38" s="105"/>
      <c r="X38" s="105">
        <f>SUM(AB4:AB34)</f>
        <v>0</v>
      </c>
      <c r="Y38" s="105"/>
      <c r="Z38" s="105"/>
      <c r="AA38" s="105"/>
      <c r="AB38" s="105"/>
      <c r="AC38" s="105">
        <f>SUM(AG4:AG34)</f>
        <v>0</v>
      </c>
      <c r="AD38" s="105"/>
      <c r="AE38" s="105"/>
      <c r="AF38" s="105"/>
      <c r="AG38" s="105"/>
      <c r="AH38" s="105">
        <f>SUM(AL4:AL34)</f>
        <v>0</v>
      </c>
      <c r="AI38" s="105"/>
      <c r="AJ38" s="105"/>
      <c r="AK38" s="105"/>
      <c r="AL38" s="105"/>
      <c r="AM38" s="105">
        <f>SUM(AQ4:AQ34)</f>
        <v>0</v>
      </c>
      <c r="AN38" s="105"/>
      <c r="AO38" s="105"/>
      <c r="AP38" s="105"/>
      <c r="AQ38" s="105"/>
      <c r="AR38" s="105">
        <f>SUM(AV4:AV34)</f>
        <v>0</v>
      </c>
      <c r="AS38" s="105"/>
      <c r="AT38" s="105"/>
      <c r="AU38" s="105"/>
      <c r="AV38" s="105"/>
      <c r="AW38" s="105">
        <f>SUM(BA4:BA34)</f>
        <v>0</v>
      </c>
      <c r="AX38" s="105"/>
      <c r="AY38" s="105"/>
      <c r="AZ38" s="105"/>
      <c r="BA38" s="105"/>
      <c r="BB38" s="105">
        <f>SUM(BF4:BF34)</f>
        <v>0</v>
      </c>
      <c r="BC38" s="105"/>
      <c r="BD38" s="105"/>
      <c r="BE38" s="105"/>
      <c r="BF38" s="105"/>
      <c r="BG38" s="105">
        <f>SUM(BK4:BK34)</f>
        <v>0</v>
      </c>
      <c r="BH38" s="105"/>
      <c r="BI38" s="105"/>
      <c r="BJ38" s="105"/>
      <c r="BK38" s="105"/>
      <c r="BL38" s="105">
        <f>SUM(BP4:BP34)</f>
        <v>0</v>
      </c>
      <c r="BM38" s="105"/>
      <c r="BN38" s="105"/>
      <c r="BO38" s="105"/>
      <c r="BP38" s="105"/>
      <c r="BQ38" s="105">
        <f>SUM(BU4:BU34)</f>
        <v>0</v>
      </c>
      <c r="BR38" s="105"/>
      <c r="BS38" s="105"/>
      <c r="BT38" s="105"/>
      <c r="BU38" s="105"/>
      <c r="BV38" s="105">
        <f>SUM(BZ4:BZ34)</f>
        <v>0</v>
      </c>
      <c r="BW38" s="105"/>
      <c r="BX38" s="105"/>
      <c r="BY38" s="105"/>
      <c r="BZ38" s="105"/>
      <c r="CA38" s="105">
        <f>SUM(CE4:CE34)</f>
        <v>0</v>
      </c>
      <c r="CB38" s="105"/>
      <c r="CC38" s="105"/>
      <c r="CD38" s="105"/>
      <c r="CE38" s="105"/>
      <c r="CF38" s="105">
        <f>SUM(CJ4:CJ34)</f>
        <v>0</v>
      </c>
      <c r="CG38" s="105"/>
      <c r="CH38" s="105"/>
      <c r="CI38" s="105"/>
      <c r="CJ38" s="105"/>
      <c r="CK38" s="105">
        <f>SUM(CO4:CO34)</f>
        <v>0</v>
      </c>
      <c r="CL38" s="105"/>
      <c r="CM38" s="105"/>
      <c r="CN38" s="105"/>
      <c r="CO38" s="105"/>
      <c r="CP38" s="105">
        <f>SUM(CT4:CT34)</f>
        <v>0</v>
      </c>
      <c r="CQ38" s="105"/>
      <c r="CR38" s="105"/>
      <c r="CS38" s="105"/>
      <c r="CT38" s="105"/>
      <c r="CU38" s="105">
        <f>SUM(CY4:CY34)</f>
        <v>0</v>
      </c>
      <c r="CV38" s="105"/>
      <c r="CW38" s="105"/>
      <c r="CX38" s="105"/>
      <c r="CY38" s="105"/>
      <c r="CZ38" s="105">
        <f>SUM(DD4:DD34)</f>
        <v>0</v>
      </c>
      <c r="DA38" s="105"/>
      <c r="DB38" s="105"/>
      <c r="DC38" s="105"/>
      <c r="DD38" s="105"/>
      <c r="DE38" s="105">
        <f>SUM(DI4:DI34)</f>
        <v>0</v>
      </c>
      <c r="DF38" s="105"/>
      <c r="DG38" s="105"/>
      <c r="DH38" s="105"/>
      <c r="DI38" s="105"/>
      <c r="DJ38" s="105">
        <f>SUM(DN4:DN34)</f>
        <v>0</v>
      </c>
      <c r="DK38" s="105"/>
      <c r="DL38" s="105"/>
      <c r="DM38" s="105"/>
      <c r="DN38" s="105"/>
      <c r="DO38" s="105">
        <f>SUM(DS4:DS34)</f>
        <v>0</v>
      </c>
      <c r="DP38" s="105"/>
      <c r="DQ38" s="105"/>
      <c r="DR38" s="105"/>
      <c r="DS38" s="105"/>
      <c r="DT38" s="105">
        <f>SUM(DX4:DX34)</f>
        <v>0</v>
      </c>
      <c r="DU38" s="105"/>
      <c r="DV38" s="105"/>
      <c r="DW38" s="105"/>
      <c r="DX38" s="105"/>
      <c r="DY38" s="105">
        <f>SUM(EC4:EC34)</f>
        <v>0</v>
      </c>
      <c r="DZ38" s="105"/>
      <c r="EA38" s="105"/>
      <c r="EB38" s="105"/>
      <c r="EC38" s="105"/>
      <c r="ED38" s="105">
        <f>SUM(EH4:EH34)</f>
        <v>0</v>
      </c>
      <c r="EE38" s="105"/>
      <c r="EF38" s="105"/>
      <c r="EG38" s="105"/>
      <c r="EH38" s="105"/>
      <c r="EI38" s="105">
        <f>SUM(EM4:EM34)</f>
        <v>0</v>
      </c>
      <c r="EJ38" s="105"/>
      <c r="EK38" s="105"/>
      <c r="EL38" s="105"/>
      <c r="EM38" s="105"/>
      <c r="EN38" s="105">
        <f>SUM(ER4:ER34)</f>
        <v>0</v>
      </c>
      <c r="EO38" s="105"/>
      <c r="EP38" s="105"/>
      <c r="EQ38" s="105"/>
      <c r="ER38" s="105"/>
      <c r="ES38" s="105">
        <f>SUM(EW4:EW34)</f>
        <v>0</v>
      </c>
      <c r="ET38" s="105"/>
      <c r="EU38" s="105"/>
      <c r="EV38" s="105"/>
      <c r="EW38" s="105"/>
    </row>
    <row r="39" spans="1:153" ht="21.75" customHeight="1">
      <c r="A39" s="106" t="s">
        <v>105</v>
      </c>
      <c r="B39" s="106"/>
      <c r="C39" s="106"/>
      <c r="D39" s="107">
        <f>COUNTIF(D4:D34,"有給")</f>
        <v>0</v>
      </c>
      <c r="E39" s="107"/>
      <c r="F39" s="107"/>
      <c r="G39" s="107"/>
      <c r="H39" s="107"/>
      <c r="I39" s="107">
        <f>COUNTIF(I4:I34,"有給")</f>
        <v>0</v>
      </c>
      <c r="J39" s="107"/>
      <c r="K39" s="107"/>
      <c r="L39" s="107"/>
      <c r="M39" s="107"/>
      <c r="N39" s="107">
        <f>COUNTIF(N4:N34,"有給")</f>
        <v>0</v>
      </c>
      <c r="O39" s="107"/>
      <c r="P39" s="107"/>
      <c r="Q39" s="107"/>
      <c r="R39" s="107"/>
      <c r="S39" s="107">
        <f>COUNTIF(S4:S34,"有給")</f>
        <v>0</v>
      </c>
      <c r="T39" s="107"/>
      <c r="U39" s="107"/>
      <c r="V39" s="107"/>
      <c r="W39" s="107"/>
      <c r="X39" s="107">
        <f>COUNTIF(X4:X34,"有給")</f>
        <v>0</v>
      </c>
      <c r="Y39" s="107"/>
      <c r="Z39" s="107"/>
      <c r="AA39" s="107"/>
      <c r="AB39" s="107"/>
      <c r="AC39" s="107">
        <f>COUNTIF(AC4:AC34,"有給")</f>
        <v>0</v>
      </c>
      <c r="AD39" s="107"/>
      <c r="AE39" s="107"/>
      <c r="AF39" s="107"/>
      <c r="AG39" s="107"/>
      <c r="AH39" s="107">
        <f>COUNTIF(AH4:AH34,"有給")</f>
        <v>0</v>
      </c>
      <c r="AI39" s="107"/>
      <c r="AJ39" s="107"/>
      <c r="AK39" s="107"/>
      <c r="AL39" s="107"/>
      <c r="AM39" s="107">
        <f>COUNTIF(AM4:AM34,"有給")</f>
        <v>0</v>
      </c>
      <c r="AN39" s="107"/>
      <c r="AO39" s="107"/>
      <c r="AP39" s="107"/>
      <c r="AQ39" s="107"/>
      <c r="AR39" s="107">
        <f>COUNTIF(AR4:AR34,"有給")</f>
        <v>0</v>
      </c>
      <c r="AS39" s="107"/>
      <c r="AT39" s="107"/>
      <c r="AU39" s="107"/>
      <c r="AV39" s="107"/>
      <c r="AW39" s="107">
        <f>COUNTIF(AW4:AW34,"有給")</f>
        <v>0</v>
      </c>
      <c r="AX39" s="107"/>
      <c r="AY39" s="107"/>
      <c r="AZ39" s="107"/>
      <c r="BA39" s="107"/>
      <c r="BB39" s="107">
        <f>COUNTIF(BB4:BB34,"有給")</f>
        <v>0</v>
      </c>
      <c r="BC39" s="107"/>
      <c r="BD39" s="107"/>
      <c r="BE39" s="107"/>
      <c r="BF39" s="107"/>
      <c r="BG39" s="107">
        <f>COUNTIF(BG4:BG34,"有給")</f>
        <v>0</v>
      </c>
      <c r="BH39" s="107"/>
      <c r="BI39" s="107"/>
      <c r="BJ39" s="107"/>
      <c r="BK39" s="107"/>
      <c r="BL39" s="107">
        <f>COUNTIF(BL4:BL34,"有給")</f>
        <v>0</v>
      </c>
      <c r="BM39" s="107"/>
      <c r="BN39" s="107"/>
      <c r="BO39" s="107"/>
      <c r="BP39" s="107"/>
      <c r="BQ39" s="107">
        <f>COUNTIF(BQ4:BQ34,"有給")</f>
        <v>0</v>
      </c>
      <c r="BR39" s="107"/>
      <c r="BS39" s="107"/>
      <c r="BT39" s="107"/>
      <c r="BU39" s="107"/>
      <c r="BV39" s="107">
        <f>COUNTIF(BV4:BV34,"有給")</f>
        <v>0</v>
      </c>
      <c r="BW39" s="107"/>
      <c r="BX39" s="107"/>
      <c r="BY39" s="107"/>
      <c r="BZ39" s="107"/>
      <c r="CA39" s="107">
        <f>COUNTIF(CA4:CA34,"有給")</f>
        <v>0</v>
      </c>
      <c r="CB39" s="107"/>
      <c r="CC39" s="107"/>
      <c r="CD39" s="107"/>
      <c r="CE39" s="107"/>
      <c r="CF39" s="107">
        <f>COUNTIF(CF4:CF34,"有給")</f>
        <v>0</v>
      </c>
      <c r="CG39" s="107"/>
      <c r="CH39" s="107"/>
      <c r="CI39" s="107"/>
      <c r="CJ39" s="107"/>
      <c r="CK39" s="107">
        <f>COUNTIF(CK4:CK34,"有給")</f>
        <v>0</v>
      </c>
      <c r="CL39" s="107"/>
      <c r="CM39" s="107"/>
      <c r="CN39" s="107"/>
      <c r="CO39" s="107"/>
      <c r="CP39" s="107">
        <f>COUNTIF(CP4:CP34,"有給")</f>
        <v>0</v>
      </c>
      <c r="CQ39" s="107"/>
      <c r="CR39" s="107"/>
      <c r="CS39" s="107"/>
      <c r="CT39" s="107"/>
      <c r="CU39" s="107">
        <f>COUNTIF(CU4:CU34,"有給")</f>
        <v>0</v>
      </c>
      <c r="CV39" s="107"/>
      <c r="CW39" s="107"/>
      <c r="CX39" s="107"/>
      <c r="CY39" s="107"/>
      <c r="CZ39" s="107">
        <f>COUNTIF(CZ4:CZ34,"有給")</f>
        <v>0</v>
      </c>
      <c r="DA39" s="107"/>
      <c r="DB39" s="107"/>
      <c r="DC39" s="107"/>
      <c r="DD39" s="107"/>
      <c r="DE39" s="107">
        <f>COUNTIF(DE4:DE34,"有給")</f>
        <v>0</v>
      </c>
      <c r="DF39" s="107"/>
      <c r="DG39" s="107"/>
      <c r="DH39" s="107"/>
      <c r="DI39" s="107"/>
      <c r="DJ39" s="107">
        <f>COUNTIF(DJ4:DJ34,"有給")</f>
        <v>0</v>
      </c>
      <c r="DK39" s="107"/>
      <c r="DL39" s="107"/>
      <c r="DM39" s="107"/>
      <c r="DN39" s="107"/>
      <c r="DO39" s="107">
        <f>COUNTIF(DO4:DO34,"有給")</f>
        <v>0</v>
      </c>
      <c r="DP39" s="107"/>
      <c r="DQ39" s="107"/>
      <c r="DR39" s="107"/>
      <c r="DS39" s="107"/>
      <c r="DT39" s="107">
        <f>COUNTIF(DT4:DT34,"有給")</f>
        <v>0</v>
      </c>
      <c r="DU39" s="107"/>
      <c r="DV39" s="107"/>
      <c r="DW39" s="107"/>
      <c r="DX39" s="107"/>
      <c r="DY39" s="107">
        <f>COUNTIF(DY4:DY34,"有給")</f>
        <v>0</v>
      </c>
      <c r="DZ39" s="107"/>
      <c r="EA39" s="107"/>
      <c r="EB39" s="107"/>
      <c r="EC39" s="107"/>
      <c r="ED39" s="107">
        <f>COUNTIF(ED4:ED34,"有給")</f>
        <v>0</v>
      </c>
      <c r="EE39" s="107"/>
      <c r="EF39" s="107"/>
      <c r="EG39" s="107"/>
      <c r="EH39" s="107"/>
      <c r="EI39" s="107">
        <f>COUNTIF(EI4:EI34,"有給")</f>
        <v>0</v>
      </c>
      <c r="EJ39" s="107"/>
      <c r="EK39" s="107"/>
      <c r="EL39" s="107"/>
      <c r="EM39" s="107"/>
      <c r="EN39" s="107">
        <f>COUNTIF(EN4:EN34,"有給")</f>
        <v>0</v>
      </c>
      <c r="EO39" s="107"/>
      <c r="EP39" s="107"/>
      <c r="EQ39" s="107"/>
      <c r="ER39" s="107"/>
      <c r="ES39" s="107">
        <f>COUNTIF(ES4:ES34,"有給")</f>
        <v>0</v>
      </c>
      <c r="ET39" s="107"/>
      <c r="EU39" s="107"/>
      <c r="EV39" s="107"/>
      <c r="EW39" s="107"/>
    </row>
    <row r="40" spans="1:153" ht="21.75" customHeight="1">
      <c r="A40" s="108" t="s">
        <v>106</v>
      </c>
      <c r="B40" s="108"/>
      <c r="C40" s="108"/>
      <c r="D40" s="109">
        <f>COUNTIF(D4:D34,"休業")</f>
        <v>0</v>
      </c>
      <c r="E40" s="109"/>
      <c r="F40" s="109"/>
      <c r="G40" s="109"/>
      <c r="H40" s="109"/>
      <c r="I40" s="109">
        <f>COUNTIF(I4:I34,"休業")</f>
        <v>0</v>
      </c>
      <c r="J40" s="109"/>
      <c r="K40" s="109"/>
      <c r="L40" s="109"/>
      <c r="M40" s="109"/>
      <c r="N40" s="109">
        <f>COUNTIF(N4:N34,"休業")</f>
        <v>0</v>
      </c>
      <c r="O40" s="109"/>
      <c r="P40" s="109"/>
      <c r="Q40" s="109"/>
      <c r="R40" s="109"/>
      <c r="S40" s="109">
        <f>COUNTIF(S4:S34,"休業")</f>
        <v>0</v>
      </c>
      <c r="T40" s="109"/>
      <c r="U40" s="109"/>
      <c r="V40" s="109"/>
      <c r="W40" s="109"/>
      <c r="X40" s="109">
        <f>COUNTIF(X4:X34,"休業")</f>
        <v>0</v>
      </c>
      <c r="Y40" s="109"/>
      <c r="Z40" s="109"/>
      <c r="AA40" s="109"/>
      <c r="AB40" s="109"/>
      <c r="AC40" s="109">
        <f>COUNTIF(AC4:AC34,"休業")</f>
        <v>0</v>
      </c>
      <c r="AD40" s="109"/>
      <c r="AE40" s="109"/>
      <c r="AF40" s="109"/>
      <c r="AG40" s="109"/>
      <c r="AH40" s="109">
        <f>COUNTIF(AH4:AH34,"休業")</f>
        <v>0</v>
      </c>
      <c r="AI40" s="109"/>
      <c r="AJ40" s="109"/>
      <c r="AK40" s="109"/>
      <c r="AL40" s="109"/>
      <c r="AM40" s="109">
        <f>COUNTIF(AM4:AM34,"休業")</f>
        <v>0</v>
      </c>
      <c r="AN40" s="109"/>
      <c r="AO40" s="109"/>
      <c r="AP40" s="109"/>
      <c r="AQ40" s="109"/>
      <c r="AR40" s="109">
        <f>COUNTIF(AR4:AR34,"休業")</f>
        <v>0</v>
      </c>
      <c r="AS40" s="109"/>
      <c r="AT40" s="109"/>
      <c r="AU40" s="109"/>
      <c r="AV40" s="109"/>
      <c r="AW40" s="109">
        <f>COUNTIF(AW4:AW34,"休業")</f>
        <v>0</v>
      </c>
      <c r="AX40" s="109"/>
      <c r="AY40" s="109"/>
      <c r="AZ40" s="109"/>
      <c r="BA40" s="109"/>
      <c r="BB40" s="109">
        <f>COUNTIF(BB4:BB34,"休業")</f>
        <v>0</v>
      </c>
      <c r="BC40" s="109"/>
      <c r="BD40" s="109"/>
      <c r="BE40" s="109"/>
      <c r="BF40" s="109"/>
      <c r="BG40" s="109">
        <f>COUNTIF(BG4:BG34,"休業")</f>
        <v>0</v>
      </c>
      <c r="BH40" s="109"/>
      <c r="BI40" s="109"/>
      <c r="BJ40" s="109"/>
      <c r="BK40" s="109"/>
      <c r="BL40" s="109">
        <f>COUNTIF(BL4:BL34,"休業")</f>
        <v>0</v>
      </c>
      <c r="BM40" s="109"/>
      <c r="BN40" s="109"/>
      <c r="BO40" s="109"/>
      <c r="BP40" s="109"/>
      <c r="BQ40" s="109">
        <f>COUNTIF(BQ4:BQ34,"休業")</f>
        <v>0</v>
      </c>
      <c r="BR40" s="109"/>
      <c r="BS40" s="109"/>
      <c r="BT40" s="109"/>
      <c r="BU40" s="109"/>
      <c r="BV40" s="109">
        <f>COUNTIF(BV4:BV34,"休業")</f>
        <v>0</v>
      </c>
      <c r="BW40" s="109"/>
      <c r="BX40" s="109"/>
      <c r="BY40" s="109"/>
      <c r="BZ40" s="109"/>
      <c r="CA40" s="109">
        <f>COUNTIF(CA4:CA34,"休業")</f>
        <v>0</v>
      </c>
      <c r="CB40" s="109"/>
      <c r="CC40" s="109"/>
      <c r="CD40" s="109"/>
      <c r="CE40" s="109"/>
      <c r="CF40" s="109">
        <f>COUNTIF(CF4:CF34,"休業")</f>
        <v>0</v>
      </c>
      <c r="CG40" s="109"/>
      <c r="CH40" s="109"/>
      <c r="CI40" s="109"/>
      <c r="CJ40" s="109"/>
      <c r="CK40" s="109">
        <f>COUNTIF(CK4:CK34,"休業")</f>
        <v>0</v>
      </c>
      <c r="CL40" s="109"/>
      <c r="CM40" s="109"/>
      <c r="CN40" s="109"/>
      <c r="CO40" s="109"/>
      <c r="CP40" s="109">
        <f>COUNTIF(CP4:CP34,"休業")</f>
        <v>0</v>
      </c>
      <c r="CQ40" s="109"/>
      <c r="CR40" s="109"/>
      <c r="CS40" s="109"/>
      <c r="CT40" s="109"/>
      <c r="CU40" s="109">
        <f>COUNTIF(CU4:CU34,"休業")</f>
        <v>0</v>
      </c>
      <c r="CV40" s="109"/>
      <c r="CW40" s="109"/>
      <c r="CX40" s="109"/>
      <c r="CY40" s="109"/>
      <c r="CZ40" s="109">
        <f>COUNTIF(CZ4:CZ34,"休業")</f>
        <v>0</v>
      </c>
      <c r="DA40" s="109"/>
      <c r="DB40" s="109"/>
      <c r="DC40" s="109"/>
      <c r="DD40" s="109"/>
      <c r="DE40" s="109">
        <f>COUNTIF(DE4:DE34,"休業")</f>
        <v>0</v>
      </c>
      <c r="DF40" s="109"/>
      <c r="DG40" s="109"/>
      <c r="DH40" s="109"/>
      <c r="DI40" s="109"/>
      <c r="DJ40" s="109">
        <f>COUNTIF(DJ4:DJ34,"休業")</f>
        <v>0</v>
      </c>
      <c r="DK40" s="109"/>
      <c r="DL40" s="109"/>
      <c r="DM40" s="109"/>
      <c r="DN40" s="109"/>
      <c r="DO40" s="109">
        <f>COUNTIF(DO4:DO34,"休業")</f>
        <v>0</v>
      </c>
      <c r="DP40" s="109"/>
      <c r="DQ40" s="109"/>
      <c r="DR40" s="109"/>
      <c r="DS40" s="109"/>
      <c r="DT40" s="109">
        <f>COUNTIF(DT4:DT34,"休業")</f>
        <v>0</v>
      </c>
      <c r="DU40" s="109"/>
      <c r="DV40" s="109"/>
      <c r="DW40" s="109"/>
      <c r="DX40" s="109"/>
      <c r="DY40" s="109">
        <f>COUNTIF(DY4:DY34,"休業")</f>
        <v>0</v>
      </c>
      <c r="DZ40" s="109"/>
      <c r="EA40" s="109"/>
      <c r="EB40" s="109"/>
      <c r="EC40" s="109"/>
      <c r="ED40" s="109">
        <f>COUNTIF(ED4:ED34,"休業")</f>
        <v>0</v>
      </c>
      <c r="EE40" s="109"/>
      <c r="EF40" s="109"/>
      <c r="EG40" s="109"/>
      <c r="EH40" s="109"/>
      <c r="EI40" s="109">
        <f>COUNTIF(EI4:EI34,"休業")</f>
        <v>0</v>
      </c>
      <c r="EJ40" s="109"/>
      <c r="EK40" s="109"/>
      <c r="EL40" s="109"/>
      <c r="EM40" s="109"/>
      <c r="EN40" s="109">
        <f>COUNTIF(EN4:EN34,"休業")</f>
        <v>0</v>
      </c>
      <c r="EO40" s="109"/>
      <c r="EP40" s="109"/>
      <c r="EQ40" s="109"/>
      <c r="ER40" s="109"/>
      <c r="ES40" s="109">
        <f>COUNTIF(ES4:ES34,"休業")</f>
        <v>0</v>
      </c>
      <c r="ET40" s="109"/>
      <c r="EU40" s="109"/>
      <c r="EV40" s="109"/>
      <c r="EW40" s="109"/>
    </row>
  </sheetData>
  <mergeCells count="217">
    <mergeCell ref="ED40:EH40"/>
    <mergeCell ref="EI40:EM40"/>
    <mergeCell ref="EN40:ER40"/>
    <mergeCell ref="ES40:EW40"/>
    <mergeCell ref="CK40:CO40"/>
    <mergeCell ref="CP40:CT40"/>
    <mergeCell ref="CU40:CY40"/>
    <mergeCell ref="CZ40:DD40"/>
    <mergeCell ref="DE40:DI40"/>
    <mergeCell ref="DJ40:DN40"/>
    <mergeCell ref="DO40:DS40"/>
    <mergeCell ref="DT40:DX40"/>
    <mergeCell ref="DY40:EC40"/>
    <mergeCell ref="DT39:DX39"/>
    <mergeCell ref="DY39:EC39"/>
    <mergeCell ref="ED39:EH39"/>
    <mergeCell ref="EI39:EM39"/>
    <mergeCell ref="EN39:ER39"/>
    <mergeCell ref="ES39:EW39"/>
    <mergeCell ref="A40:C40"/>
    <mergeCell ref="D40:H40"/>
    <mergeCell ref="I40:M40"/>
    <mergeCell ref="N40:R40"/>
    <mergeCell ref="S40:W40"/>
    <mergeCell ref="X40:AB40"/>
    <mergeCell ref="AC40:AG40"/>
    <mergeCell ref="AH40:AL40"/>
    <mergeCell ref="AM40:AQ40"/>
    <mergeCell ref="AR40:AV40"/>
    <mergeCell ref="AW40:BA40"/>
    <mergeCell ref="BB40:BF40"/>
    <mergeCell ref="BG40:BK40"/>
    <mergeCell ref="BL40:BP40"/>
    <mergeCell ref="BQ40:BU40"/>
    <mergeCell ref="BV40:BZ40"/>
    <mergeCell ref="CA40:CE40"/>
    <mergeCell ref="CF40:CJ40"/>
    <mergeCell ref="CA39:CE39"/>
    <mergeCell ref="CF39:CJ39"/>
    <mergeCell ref="CK39:CO39"/>
    <mergeCell ref="CP39:CT39"/>
    <mergeCell ref="CU39:CY39"/>
    <mergeCell ref="CZ39:DD39"/>
    <mergeCell ref="DE39:DI39"/>
    <mergeCell ref="DJ39:DN39"/>
    <mergeCell ref="DO39:DS39"/>
    <mergeCell ref="DJ38:DN38"/>
    <mergeCell ref="DO38:DS38"/>
    <mergeCell ref="DT38:DX38"/>
    <mergeCell ref="DY38:EC38"/>
    <mergeCell ref="ED38:EH38"/>
    <mergeCell ref="EI38:EM38"/>
    <mergeCell ref="EN38:ER38"/>
    <mergeCell ref="ES38:EW38"/>
    <mergeCell ref="A39:C39"/>
    <mergeCell ref="D39:H39"/>
    <mergeCell ref="I39:M39"/>
    <mergeCell ref="N39:R39"/>
    <mergeCell ref="S39:W39"/>
    <mergeCell ref="X39:AB39"/>
    <mergeCell ref="AC39:AG39"/>
    <mergeCell ref="AH39:AL39"/>
    <mergeCell ref="AM39:AQ39"/>
    <mergeCell ref="AR39:AV39"/>
    <mergeCell ref="AW39:BA39"/>
    <mergeCell ref="BB39:BF39"/>
    <mergeCell ref="BG39:BK39"/>
    <mergeCell ref="BL39:BP39"/>
    <mergeCell ref="BQ39:BU39"/>
    <mergeCell ref="BV39:BZ39"/>
    <mergeCell ref="ES37:EW37"/>
    <mergeCell ref="A38:C38"/>
    <mergeCell ref="D38:H38"/>
    <mergeCell ref="I38:M38"/>
    <mergeCell ref="N38:R38"/>
    <mergeCell ref="S38:W38"/>
    <mergeCell ref="X38:AB38"/>
    <mergeCell ref="AC38:AG38"/>
    <mergeCell ref="AH38:AL38"/>
    <mergeCell ref="AM38:AQ38"/>
    <mergeCell ref="AR38:AV38"/>
    <mergeCell ref="AW38:BA38"/>
    <mergeCell ref="BB38:BF38"/>
    <mergeCell ref="BG38:BK38"/>
    <mergeCell ref="BL38:BP38"/>
    <mergeCell ref="BQ38:BU38"/>
    <mergeCell ref="BV38:BZ38"/>
    <mergeCell ref="CA38:CE38"/>
    <mergeCell ref="CF38:CJ38"/>
    <mergeCell ref="CK38:CO38"/>
    <mergeCell ref="CP38:CT38"/>
    <mergeCell ref="CU38:CY38"/>
    <mergeCell ref="CZ38:DD38"/>
    <mergeCell ref="DE38:DI38"/>
    <mergeCell ref="CZ37:DD37"/>
    <mergeCell ref="DE37:DI37"/>
    <mergeCell ref="DJ37:DN37"/>
    <mergeCell ref="DO37:DS37"/>
    <mergeCell ref="DT37:DX37"/>
    <mergeCell ref="DY37:EC37"/>
    <mergeCell ref="ED37:EH37"/>
    <mergeCell ref="EI37:EM37"/>
    <mergeCell ref="EN37:ER37"/>
    <mergeCell ref="EI36:EM36"/>
    <mergeCell ref="EN36:ER36"/>
    <mergeCell ref="ES36:EW36"/>
    <mergeCell ref="A37:C37"/>
    <mergeCell ref="D37:H37"/>
    <mergeCell ref="I37:M37"/>
    <mergeCell ref="N37:R37"/>
    <mergeCell ref="S37:W37"/>
    <mergeCell ref="X37:AB37"/>
    <mergeCell ref="AC37:AG37"/>
    <mergeCell ref="AH37:AL37"/>
    <mergeCell ref="AM37:AQ37"/>
    <mergeCell ref="AR37:AV37"/>
    <mergeCell ref="AW37:BA37"/>
    <mergeCell ref="BB37:BF37"/>
    <mergeCell ref="BG37:BK37"/>
    <mergeCell ref="BL37:BP37"/>
    <mergeCell ref="BQ37:BU37"/>
    <mergeCell ref="BV37:BZ37"/>
    <mergeCell ref="CA37:CE37"/>
    <mergeCell ref="CF37:CJ37"/>
    <mergeCell ref="CK37:CO37"/>
    <mergeCell ref="CP37:CT37"/>
    <mergeCell ref="CU37:CY37"/>
    <mergeCell ref="CP36:CT36"/>
    <mergeCell ref="CU36:CY36"/>
    <mergeCell ref="CZ36:DD36"/>
    <mergeCell ref="DE36:DI36"/>
    <mergeCell ref="DJ36:DN36"/>
    <mergeCell ref="DO36:DS36"/>
    <mergeCell ref="DT36:DX36"/>
    <mergeCell ref="DY36:EC36"/>
    <mergeCell ref="ED36:EH36"/>
    <mergeCell ref="DY35:EC35"/>
    <mergeCell ref="ED35:EH35"/>
    <mergeCell ref="EI35:EM35"/>
    <mergeCell ref="EN35:ER35"/>
    <mergeCell ref="ES35:EW35"/>
    <mergeCell ref="A36:C36"/>
    <mergeCell ref="D36:H36"/>
    <mergeCell ref="I36:M36"/>
    <mergeCell ref="N36:R36"/>
    <mergeCell ref="S36:W36"/>
    <mergeCell ref="X36:AB36"/>
    <mergeCell ref="AC36:AG36"/>
    <mergeCell ref="AH36:AL36"/>
    <mergeCell ref="AM36:AQ36"/>
    <mergeCell ref="AR36:AV36"/>
    <mergeCell ref="AW36:BA36"/>
    <mergeCell ref="BB36:BF36"/>
    <mergeCell ref="BG36:BK36"/>
    <mergeCell ref="BL36:BP36"/>
    <mergeCell ref="BQ36:BU36"/>
    <mergeCell ref="BV36:BZ36"/>
    <mergeCell ref="CA36:CE36"/>
    <mergeCell ref="CF36:CJ36"/>
    <mergeCell ref="CK36:CO36"/>
    <mergeCell ref="CF35:CJ35"/>
    <mergeCell ref="CK35:CO35"/>
    <mergeCell ref="CP35:CT35"/>
    <mergeCell ref="CU35:CY35"/>
    <mergeCell ref="CZ35:DD35"/>
    <mergeCell ref="DE35:DI35"/>
    <mergeCell ref="DJ35:DN35"/>
    <mergeCell ref="DO35:DS35"/>
    <mergeCell ref="DT35:DX35"/>
    <mergeCell ref="DO2:DS2"/>
    <mergeCell ref="DT2:DX2"/>
    <mergeCell ref="DY2:EC2"/>
    <mergeCell ref="ED2:EH2"/>
    <mergeCell ref="EI2:EM2"/>
    <mergeCell ref="EN2:ER2"/>
    <mergeCell ref="ES2:EW2"/>
    <mergeCell ref="A35:C35"/>
    <mergeCell ref="D35:H35"/>
    <mergeCell ref="I35:M35"/>
    <mergeCell ref="N35:R35"/>
    <mergeCell ref="S35:W35"/>
    <mergeCell ref="X35:AB35"/>
    <mergeCell ref="AC35:AG35"/>
    <mergeCell ref="AH35:AL35"/>
    <mergeCell ref="AM35:AQ35"/>
    <mergeCell ref="AR35:AV35"/>
    <mergeCell ref="AW35:BA35"/>
    <mergeCell ref="BB35:BF35"/>
    <mergeCell ref="BG35:BK35"/>
    <mergeCell ref="BL35:BP35"/>
    <mergeCell ref="BQ35:BU35"/>
    <mergeCell ref="BV35:BZ35"/>
    <mergeCell ref="CA35:CE35"/>
    <mergeCell ref="A1:EW1"/>
    <mergeCell ref="D2:H2"/>
    <mergeCell ref="I2:M2"/>
    <mergeCell ref="N2:R2"/>
    <mergeCell ref="S2:W2"/>
    <mergeCell ref="X2:AB2"/>
    <mergeCell ref="AC2:AG2"/>
    <mergeCell ref="AH2:AL2"/>
    <mergeCell ref="AM2:AQ2"/>
    <mergeCell ref="AR2:AV2"/>
    <mergeCell ref="AW2:BA2"/>
    <mergeCell ref="BB2:BF2"/>
    <mergeCell ref="BG2:BK2"/>
    <mergeCell ref="BL2:BP2"/>
    <mergeCell ref="BQ2:BU2"/>
    <mergeCell ref="BV2:BZ2"/>
    <mergeCell ref="CA2:CE2"/>
    <mergeCell ref="CF2:CJ2"/>
    <mergeCell ref="CK2:CO2"/>
    <mergeCell ref="CP2:CT2"/>
    <mergeCell ref="CU2:CY2"/>
    <mergeCell ref="CZ2:DD2"/>
    <mergeCell ref="DE2:DI2"/>
    <mergeCell ref="DJ2:DN2"/>
  </mergeCells>
  <phoneticPr fontId="51"/>
  <conditionalFormatting sqref="A4:EW34">
    <cfRule type="expression" dxfId="568" priority="63">
      <formula>$B4="日"</formula>
    </cfRule>
    <cfRule type="expression" dxfId="567" priority="64">
      <formula>$B4="土"</formula>
    </cfRule>
    <cfRule type="expression" dxfId="566" priority="62">
      <formula>AND($A4&lt;&gt;"",ISNUMBER(MATCH(DATE(対象年度,5,$A4),祝日リスト,0)))</formula>
    </cfRule>
  </conditionalFormatting>
  <conditionalFormatting sqref="D4:D34">
    <cfRule type="expression" dxfId="565" priority="3">
      <formula>$D4="休業"</formula>
    </cfRule>
    <cfRule type="expression" dxfId="564" priority="2">
      <formula>$D4="有給"</formula>
    </cfRule>
  </conditionalFormatting>
  <conditionalFormatting sqref="I4:I34">
    <cfRule type="expression" dxfId="563" priority="4">
      <formula>$I4="有給"</formula>
    </cfRule>
    <cfRule type="expression" dxfId="562" priority="5">
      <formula>$I4="休業"</formula>
    </cfRule>
  </conditionalFormatting>
  <conditionalFormatting sqref="N4:N34">
    <cfRule type="expression" dxfId="561" priority="6">
      <formula>$N4="有給"</formula>
    </cfRule>
    <cfRule type="expression" dxfId="560" priority="7">
      <formula>$N4="休業"</formula>
    </cfRule>
  </conditionalFormatting>
  <conditionalFormatting sqref="S4:S34">
    <cfRule type="expression" dxfId="559" priority="8">
      <formula>$S4="有給"</formula>
    </cfRule>
    <cfRule type="expression" dxfId="558" priority="9">
      <formula>$S4="休業"</formula>
    </cfRule>
  </conditionalFormatting>
  <conditionalFormatting sqref="X4:X34">
    <cfRule type="expression" dxfId="557" priority="10">
      <formula>$X4="有給"</formula>
    </cfRule>
    <cfRule type="expression" dxfId="556" priority="11">
      <formula>$X4="休業"</formula>
    </cfRule>
  </conditionalFormatting>
  <conditionalFormatting sqref="AC4:AC34">
    <cfRule type="expression" dxfId="555" priority="12">
      <formula>$AC4="有給"</formula>
    </cfRule>
    <cfRule type="expression" dxfId="554" priority="13">
      <formula>$AC4="休業"</formula>
    </cfRule>
  </conditionalFormatting>
  <conditionalFormatting sqref="AH4:AH34">
    <cfRule type="expression" dxfId="553" priority="14">
      <formula>$AH4="有給"</formula>
    </cfRule>
    <cfRule type="expression" dxfId="552" priority="15">
      <formula>$AH4="休業"</formula>
    </cfRule>
  </conditionalFormatting>
  <conditionalFormatting sqref="AM4:AM34">
    <cfRule type="expression" dxfId="551" priority="17">
      <formula>$AM4="休業"</formula>
    </cfRule>
    <cfRule type="expression" dxfId="550" priority="16">
      <formula>$AM4="有給"</formula>
    </cfRule>
  </conditionalFormatting>
  <conditionalFormatting sqref="AR4:AR34">
    <cfRule type="expression" dxfId="549" priority="19">
      <formula>$AR4="休業"</formula>
    </cfRule>
    <cfRule type="expression" dxfId="548" priority="18">
      <formula>$AR4="有給"</formula>
    </cfRule>
  </conditionalFormatting>
  <conditionalFormatting sqref="AW4:AW34">
    <cfRule type="expression" dxfId="547" priority="20">
      <formula>$AW4="有給"</formula>
    </cfRule>
    <cfRule type="expression" dxfId="546" priority="21">
      <formula>$AW4="休業"</formula>
    </cfRule>
  </conditionalFormatting>
  <conditionalFormatting sqref="BB4:BB34">
    <cfRule type="expression" dxfId="545" priority="22">
      <formula>$BB4="有給"</formula>
    </cfRule>
    <cfRule type="expression" dxfId="544" priority="23">
      <formula>$BB4="休業"</formula>
    </cfRule>
  </conditionalFormatting>
  <conditionalFormatting sqref="BG4:BG34">
    <cfRule type="expression" dxfId="543" priority="24">
      <formula>$BG4="有給"</formula>
    </cfRule>
    <cfRule type="expression" dxfId="542" priority="25">
      <formula>$BG4="休業"</formula>
    </cfRule>
  </conditionalFormatting>
  <conditionalFormatting sqref="BL4:BL34">
    <cfRule type="expression" dxfId="541" priority="26">
      <formula>$BL4="有給"</formula>
    </cfRule>
    <cfRule type="expression" dxfId="540" priority="27">
      <formula>$BL4="休業"</formula>
    </cfRule>
  </conditionalFormatting>
  <conditionalFormatting sqref="BQ4:BQ34">
    <cfRule type="expression" dxfId="539" priority="28">
      <formula>$BQ4="有給"</formula>
    </cfRule>
    <cfRule type="expression" dxfId="538" priority="29">
      <formula>$BQ4="休業"</formula>
    </cfRule>
  </conditionalFormatting>
  <conditionalFormatting sqref="BV4:BV34">
    <cfRule type="expression" dxfId="537" priority="30">
      <formula>$BV4="有給"</formula>
    </cfRule>
    <cfRule type="expression" dxfId="536" priority="31">
      <formula>$BV4="休業"</formula>
    </cfRule>
  </conditionalFormatting>
  <conditionalFormatting sqref="CA4:CA34">
    <cfRule type="expression" dxfId="535" priority="33">
      <formula>$CA4="休業"</formula>
    </cfRule>
    <cfRule type="expression" dxfId="534" priority="32">
      <formula>$CA4="有給"</formula>
    </cfRule>
  </conditionalFormatting>
  <conditionalFormatting sqref="CF4:CF34">
    <cfRule type="expression" dxfId="533" priority="34">
      <formula>$CF4="有給"</formula>
    </cfRule>
    <cfRule type="expression" dxfId="532" priority="35">
      <formula>$CF4="休業"</formula>
    </cfRule>
  </conditionalFormatting>
  <conditionalFormatting sqref="CK4:CK34">
    <cfRule type="expression" dxfId="531" priority="37">
      <formula>$CK4="休業"</formula>
    </cfRule>
    <cfRule type="expression" dxfId="530" priority="36">
      <formula>$CK4="有給"</formula>
    </cfRule>
  </conditionalFormatting>
  <conditionalFormatting sqref="CP4:CP34">
    <cfRule type="expression" dxfId="529" priority="38">
      <formula>$CP4="有給"</formula>
    </cfRule>
    <cfRule type="expression" dxfId="528" priority="39">
      <formula>$CP4="休業"</formula>
    </cfRule>
  </conditionalFormatting>
  <conditionalFormatting sqref="CU4:CU34">
    <cfRule type="expression" dxfId="527" priority="40">
      <formula>$CU4="有給"</formula>
    </cfRule>
    <cfRule type="expression" dxfId="526" priority="41">
      <formula>$CU4="休業"</formula>
    </cfRule>
  </conditionalFormatting>
  <conditionalFormatting sqref="CZ4:CZ34">
    <cfRule type="expression" dxfId="525" priority="42">
      <formula>$CZ4="有給"</formula>
    </cfRule>
    <cfRule type="expression" dxfId="524" priority="43">
      <formula>$CZ4="休業"</formula>
    </cfRule>
  </conditionalFormatting>
  <conditionalFormatting sqref="DE4:DE34">
    <cfRule type="expression" dxfId="523" priority="44">
      <formula>$DE4="有給"</formula>
    </cfRule>
    <cfRule type="expression" dxfId="522" priority="45">
      <formula>$DE4="休業"</formula>
    </cfRule>
  </conditionalFormatting>
  <conditionalFormatting sqref="DJ4:DJ34">
    <cfRule type="expression" dxfId="521" priority="46">
      <formula>$DJ4="有給"</formula>
    </cfRule>
    <cfRule type="expression" dxfId="520" priority="47">
      <formula>$DJ4="休業"</formula>
    </cfRule>
  </conditionalFormatting>
  <conditionalFormatting sqref="DO4:DO34">
    <cfRule type="expression" dxfId="519" priority="48">
      <formula>$DO4="有給"</formula>
    </cfRule>
    <cfRule type="expression" dxfId="518" priority="49">
      <formula>$DO4="休業"</formula>
    </cfRule>
  </conditionalFormatting>
  <conditionalFormatting sqref="DT4:DT34">
    <cfRule type="expression" dxfId="517" priority="51">
      <formula>$DT4="休業"</formula>
    </cfRule>
    <cfRule type="expression" dxfId="516" priority="50">
      <formula>$DT4="有給"</formula>
    </cfRule>
  </conditionalFormatting>
  <conditionalFormatting sqref="DY4:DY34">
    <cfRule type="expression" dxfId="515" priority="52">
      <formula>$DY4="有給"</formula>
    </cfRule>
    <cfRule type="expression" dxfId="514" priority="53">
      <formula>$DY4="休業"</formula>
    </cfRule>
  </conditionalFormatting>
  <conditionalFormatting sqref="ED4:ED34">
    <cfRule type="expression" dxfId="513" priority="54">
      <formula>$ED4="有給"</formula>
    </cfRule>
    <cfRule type="expression" dxfId="512" priority="55">
      <formula>$ED4="休業"</formula>
    </cfRule>
  </conditionalFormatting>
  <conditionalFormatting sqref="EI4:EI34">
    <cfRule type="expression" dxfId="511" priority="56">
      <formula>$EI4="有給"</formula>
    </cfRule>
    <cfRule type="expression" dxfId="510" priority="57">
      <formula>$EI4="休業"</formula>
    </cfRule>
  </conditionalFormatting>
  <conditionalFormatting sqref="EN4:EN34">
    <cfRule type="expression" dxfId="509" priority="58">
      <formula>$EN4="有給"</formula>
    </cfRule>
    <cfRule type="expression" dxfId="508" priority="59">
      <formula>$EN4="休業"</formula>
    </cfRule>
  </conditionalFormatting>
  <conditionalFormatting sqref="ES4:ES34">
    <cfRule type="expression" dxfId="507" priority="60">
      <formula>$ES4="有給"</formula>
    </cfRule>
    <cfRule type="expression" dxfId="506" priority="61">
      <formula>$ES4="休業"</formula>
    </cfRule>
  </conditionalFormatting>
  <pageMargins left="0.31496062992125984" right="0.31496062992125984" top="0.98425196850393704" bottom="0.98425196850393704" header="0.51181102362204722" footer="0.51181102362204722"/>
  <pageSetup paperSize="8" scale="14" orientation="landscape" horizontalDpi="300" verticalDpi="300" r:id="rId1"/>
  <headerFooter>
    <oddFooter>&amp;C&amp;"ＭＳ Ｐゴシック,標準"制作：有限会社水越設備&amp;Rsp-mizukoshi.jp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00000000-0002-0000-0800-000000000000}">
          <x14:formula1>
            <xm:f>現場マスタ!$C$4:$C$43</xm:f>
          </x14:formula1>
          <x14:formula2>
            <xm:f>0</xm:f>
          </x14:formula2>
          <xm:sqref>D4:E34 I4:J34 N4:O34 S4:T34 X4:Y34 AC4:AD34 AH4:AI34 AM4:AN34 AR4:AS34 AW4:AX34 BB4:BC34 BG4:BH34 BL4:BM34 BQ4:BR34 BV4:BW34 CA4:CB34 CF4:CG34 CK4:CL34 CP4:CQ34 CU4:CV34 CZ4:DA34 DE4:DF34 DJ4:DK34 DO4:DP34 DT4:DU34 DY4:DZ34 ED4:EE34 EI4:EJ34 EN4:EO34 ES4:ET34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20</vt:i4>
      </vt:variant>
      <vt:variant>
        <vt:lpstr>名前付き一覧</vt:lpstr>
      </vt:variant>
      <vt:variant>
        <vt:i4>17</vt:i4>
      </vt:variant>
    </vt:vector>
  </HeadingPairs>
  <TitlesOfParts>
    <vt:vector size="37" baseType="lpstr">
      <vt:lpstr>読んで 使い方</vt:lpstr>
      <vt:lpstr>設定</vt:lpstr>
      <vt:lpstr>従業員マスタ</vt:lpstr>
      <vt:lpstr>現場マスタ</vt:lpstr>
      <vt:lpstr>1月</vt:lpstr>
      <vt:lpstr>2月</vt:lpstr>
      <vt:lpstr>3月</vt:lpstr>
      <vt:lpstr>4月</vt:lpstr>
      <vt:lpstr>5月</vt:lpstr>
      <vt:lpstr>6月</vt:lpstr>
      <vt:lpstr>7月</vt:lpstr>
      <vt:lpstr>8月</vt:lpstr>
      <vt:lpstr>9月</vt:lpstr>
      <vt:lpstr>10月</vt:lpstr>
      <vt:lpstr>11月</vt:lpstr>
      <vt:lpstr>12月</vt:lpstr>
      <vt:lpstr>個人別出勤簿</vt:lpstr>
      <vt:lpstr>全社員一括印刷</vt:lpstr>
      <vt:lpstr>年間集計</vt:lpstr>
      <vt:lpstr>現場別集計</vt:lpstr>
      <vt:lpstr>個人別出勤簿!Print_Area</vt:lpstr>
      <vt:lpstr>'10月'!Print_Titles</vt:lpstr>
      <vt:lpstr>'11月'!Print_Titles</vt:lpstr>
      <vt:lpstr>'12月'!Print_Titles</vt:lpstr>
      <vt:lpstr>'1月'!Print_Titles</vt:lpstr>
      <vt:lpstr>'2月'!Print_Titles</vt:lpstr>
      <vt:lpstr>'3月'!Print_Titles</vt:lpstr>
      <vt:lpstr>'4月'!Print_Titles</vt:lpstr>
      <vt:lpstr>'5月'!Print_Titles</vt:lpstr>
      <vt:lpstr>'6月'!Print_Titles</vt:lpstr>
      <vt:lpstr>'7月'!Print_Titles</vt:lpstr>
      <vt:lpstr>'8月'!Print_Titles</vt:lpstr>
      <vt:lpstr>'9月'!Print_Titles</vt:lpstr>
      <vt:lpstr>現場別集計!Print_Titles</vt:lpstr>
      <vt:lpstr>年間集計!Print_Titles</vt:lpstr>
      <vt:lpstr>祝日リスト</vt:lpstr>
      <vt:lpstr>対象年度</vt:lpstr>
    </vt:vector>
  </TitlesOfParts>
  <Manager>水越　誠</Manager>
  <Company>有限会社水越設備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MIZUKOSHI　出面表エクセルテンプレート</dc:title>
  <dc:subject>建設業向け　出面表エクセルテンプレート</dc:subject>
  <dc:creator>有限会社水越設備</dc:creator>
  <cp:keywords>建設業、出面表、テンプレート、著作権=有限会社水越設備</cp:keywords>
  <dc:description>このテンプレートの著作権は有限会社水越設備に帰属します。_x000d_
公開URL: https://www.sp-mizukoshi.jp/tools/demen.html_x000d_
利用規約: 自社業務での使用は自由、再配布・販売・改変販売は禁止_x000d_
© 2026 有限会社水越設備 All Rights Reserved.</dc:description>
  <cp:lastModifiedBy>水越誠</cp:lastModifiedBy>
  <cp:revision>0</cp:revision>
  <cp:lastPrinted>2026-04-25T01:49:03Z</cp:lastPrinted>
  <dcterms:created xsi:type="dcterms:W3CDTF">2026-04-23T21:11:59Z</dcterms:created>
  <dcterms:modified xsi:type="dcterms:W3CDTF">2026-04-25T02:36:59Z</dcterms:modified>
  <dc:language>en-US</dc:language>
</cp:coreProperties>
</file>